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harts/style1.xml" ContentType="application/vnd.ms-office.chartstyle+xml"/>
  <Override PartName="/xl/charts/colors1.xml" ContentType="application/vnd.ms-office.chartcolorstyle+xml"/>
  <Override PartName="/xl/charts/chart7.xml" ContentType="application/vnd.openxmlformats-officedocument.drawingml.chart+xml"/>
  <Override PartName="/xl/charts/style2.xml" ContentType="application/vnd.ms-office.chartstyle+xml"/>
  <Override PartName="/xl/charts/colors2.xml" ContentType="application/vnd.ms-office.chartcolorstyle+xml"/>
  <Override PartName="/xl/charts/chart8.xml" ContentType="application/vnd.openxmlformats-officedocument.drawingml.chart+xml"/>
  <Override PartName="/xl/charts/style3.xml" ContentType="application/vnd.ms-office.chartstyle+xml"/>
  <Override PartName="/xl/charts/colors3.xml" ContentType="application/vnd.ms-office.chartcolorstyle+xml"/>
  <Override PartName="/xl/charts/chart9.xml" ContentType="application/vnd.openxmlformats-officedocument.drawingml.chart+xml"/>
  <Override PartName="/xl/charts/style4.xml" ContentType="application/vnd.ms-office.chartstyle+xml"/>
  <Override PartName="/xl/charts/colors4.xml" ContentType="application/vnd.ms-office.chartcolorstyle+xml"/>
  <Override PartName="/xl/charts/chart10.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11.xml" ContentType="application/vnd.openxmlformats-officedocument.drawingml.chart+xml"/>
  <Override PartName="/xl/charts/style6.xml" ContentType="application/vnd.ms-office.chartstyle+xml"/>
  <Override PartName="/xl/charts/colors6.xml" ContentType="application/vnd.ms-office.chartcolorstyle+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harts/chart12.xml" ContentType="application/vnd.openxmlformats-officedocument.drawingml.chart+xml"/>
  <Override PartName="/xl/charts/style7.xml" ContentType="application/vnd.ms-office.chartstyle+xml"/>
  <Override PartName="/xl/charts/colors7.xml" ContentType="application/vnd.ms-office.chartcolorstyle+xml"/>
  <Override PartName="/xl/charts/chart13.xml" ContentType="application/vnd.openxmlformats-officedocument.drawingml.chart+xml"/>
  <Override PartName="/xl/charts/style8.xml" ContentType="application/vnd.ms-office.chartstyle+xml"/>
  <Override PartName="/xl/charts/colors8.xml" ContentType="application/vnd.ms-office.chartcolorstyle+xml"/>
  <Override PartName="/xl/charts/chart14.xml" ContentType="application/vnd.openxmlformats-officedocument.drawingml.chart+xml"/>
  <Override PartName="/xl/charts/style9.xml" ContentType="application/vnd.ms-office.chartstyle+xml"/>
  <Override PartName="/xl/charts/colors9.xml" ContentType="application/vnd.ms-office.chartcolorstyle+xml"/>
  <Override PartName="/xl/charts/chart15.xml" ContentType="application/vnd.openxmlformats-officedocument.drawingml.chart+xml"/>
  <Override PartName="/xl/charts/style10.xml" ContentType="application/vnd.ms-office.chartstyle+xml"/>
  <Override PartName="/xl/charts/colors10.xml" ContentType="application/vnd.ms-office.chartcolorstyle+xml"/>
  <Override PartName="/xl/charts/chart16.xml" ContentType="application/vnd.openxmlformats-officedocument.drawingml.chart+xml"/>
  <Override PartName="/xl/charts/style11.xml" ContentType="application/vnd.ms-office.chartstyle+xml"/>
  <Override PartName="/xl/charts/colors11.xml" ContentType="application/vnd.ms-office.chartcolorstyle+xml"/>
  <Override PartName="/xl/charts/chart17.xml" ContentType="application/vnd.openxmlformats-officedocument.drawingml.chart+xml"/>
  <Override PartName="/xl/charts/style12.xml" ContentType="application/vnd.ms-office.chartstyle+xml"/>
  <Override PartName="/xl/charts/colors12.xml" ContentType="application/vnd.ms-office.chartcolorstyle+xml"/>
  <Override PartName="/xl/charts/chart18.xml" ContentType="application/vnd.openxmlformats-officedocument.drawingml.chart+xml"/>
  <Override PartName="/xl/charts/style13.xml" ContentType="application/vnd.ms-office.chartstyle+xml"/>
  <Override PartName="/xl/charts/colors13.xml" ContentType="application/vnd.ms-office.chartcolorstyle+xml"/>
  <Override PartName="/xl/charts/chart19.xml" ContentType="application/vnd.openxmlformats-officedocument.drawingml.chart+xml"/>
  <Override PartName="/xl/charts/style14.xml" ContentType="application/vnd.ms-office.chartstyle+xml"/>
  <Override PartName="/xl/charts/colors14.xml" ContentType="application/vnd.ms-office.chartcolorstyle+xml"/>
  <Override PartName="/xl/charts/chart20.xml" ContentType="application/vnd.openxmlformats-officedocument.drawingml.chart+xml"/>
  <Override PartName="/xl/charts/style15.xml" ContentType="application/vnd.ms-office.chartstyle+xml"/>
  <Override PartName="/xl/charts/colors1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autoCompressPictures="0"/>
  <mc:AlternateContent xmlns:mc="http://schemas.openxmlformats.org/markup-compatibility/2006">
    <mc:Choice Requires="x15">
      <x15ac:absPath xmlns:x15ac="http://schemas.microsoft.com/office/spreadsheetml/2010/11/ac" url="https://universitytasmania-my.sharepoint.com/personal/cathryn_wynnedwards_utas_edu_au/Documents/sediment trap lab proc/2022_saz24/"/>
    </mc:Choice>
  </mc:AlternateContent>
  <xr:revisionPtr revIDLastSave="3276" documentId="8_{88C510FC-E5E6-49B3-AA1C-7C4AF7DFF3C9}" xr6:coauthVersionLast="47" xr6:coauthVersionMax="47" xr10:uidLastSave="{70FC4644-4F08-4425-9E90-4EAE869009D1}"/>
  <bookViews>
    <workbookView xWindow="-110" yWindow="-110" windowWidth="19420" windowHeight="10420" firstSheet="11" activeTab="13" xr2:uid="{00000000-000D-0000-FFFF-FFFF00000000}"/>
  </bookViews>
  <sheets>
    <sheet name="PIC data" sheetId="11" r:id="rId1"/>
    <sheet name="cup photo labels" sheetId="5" r:id="rId2"/>
    <sheet name="notes" sheetId="2" r:id="rId3"/>
    <sheet name="prep brines" sheetId="1" r:id="rId4"/>
    <sheet name="Schedule" sheetId="6" r:id="rId5"/>
    <sheet name="sample processing comments" sheetId="19" r:id="rId6"/>
    <sheet name="mass filt" sheetId="10" r:id="rId7"/>
    <sheet name="pH_Sal" sheetId="8" r:id="rId8"/>
    <sheet name="PIC data_CWE_QC" sheetId="14" r:id="rId9"/>
    <sheet name="CHN data" sheetId="12" r:id="rId10"/>
    <sheet name="BSi data" sheetId="13" r:id="rId11"/>
    <sheet name="Main" sheetId="7" r:id="rId12"/>
    <sheet name="report_47_flagged" sheetId="16" r:id="rId13"/>
    <sheet name="netCDF_format" sheetId="18" r:id="rId14"/>
    <sheet name="depths" sheetId="17" r:id="rId15"/>
    <sheet name="quick look plots" sheetId="15" r:id="rId16"/>
  </sheets>
  <externalReferences>
    <externalReference r:id="rId17"/>
  </externalReferences>
  <definedNames>
    <definedName name="_xlnm.Print_Area" localSheetId="1">'cup photo labels'!$A$1:$M$42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49" i="7" l="1"/>
  <c r="AE45" i="16" s="1"/>
  <c r="L53" i="18" s="1"/>
  <c r="V48" i="7"/>
  <c r="V47" i="7"/>
  <c r="AE43" i="16" s="1"/>
  <c r="L51" i="18" s="1"/>
  <c r="V46" i="7"/>
  <c r="V51" i="7"/>
  <c r="V50" i="7"/>
  <c r="V45" i="7"/>
  <c r="X13" i="10"/>
  <c r="X12" i="10"/>
  <c r="X11" i="10"/>
  <c r="X10" i="10"/>
  <c r="X9" i="10"/>
  <c r="X34" i="10"/>
  <c r="X35" i="10"/>
  <c r="V9" i="10"/>
  <c r="A29" i="19"/>
  <c r="A53" i="19"/>
  <c r="M8" i="7"/>
  <c r="Z52" i="18"/>
  <c r="Z51" i="18"/>
  <c r="C7" i="17"/>
  <c r="B7" i="17"/>
  <c r="AK76" i="18"/>
  <c r="AH76" i="18"/>
  <c r="AE76" i="18"/>
  <c r="AB76" i="18"/>
  <c r="Y76" i="18"/>
  <c r="V76" i="18"/>
  <c r="S76" i="18"/>
  <c r="P76" i="18"/>
  <c r="I76" i="18"/>
  <c r="H76" i="18"/>
  <c r="C76" i="18"/>
  <c r="AK75" i="18"/>
  <c r="AH75" i="18"/>
  <c r="AE75" i="18"/>
  <c r="AB75" i="18"/>
  <c r="Y75" i="18"/>
  <c r="V75" i="18"/>
  <c r="S75" i="18"/>
  <c r="P75" i="18"/>
  <c r="I75" i="18"/>
  <c r="H75" i="18"/>
  <c r="C75" i="18"/>
  <c r="AK74" i="18"/>
  <c r="AH74" i="18"/>
  <c r="AE74" i="18"/>
  <c r="AB74" i="18"/>
  <c r="Y74" i="18"/>
  <c r="V74" i="18"/>
  <c r="S74" i="18"/>
  <c r="P74" i="18"/>
  <c r="I74" i="18"/>
  <c r="H74" i="18"/>
  <c r="C74" i="18"/>
  <c r="AK73" i="18"/>
  <c r="AH73" i="18"/>
  <c r="AE73" i="18"/>
  <c r="AB73" i="18"/>
  <c r="Y73" i="18"/>
  <c r="V73" i="18"/>
  <c r="S73" i="18"/>
  <c r="P73" i="18"/>
  <c r="I73" i="18"/>
  <c r="H73" i="18"/>
  <c r="C73" i="18"/>
  <c r="AK72" i="18"/>
  <c r="AH72" i="18"/>
  <c r="AE72" i="18"/>
  <c r="AB72" i="18"/>
  <c r="Y72" i="18"/>
  <c r="V72" i="18"/>
  <c r="S72" i="18"/>
  <c r="P72" i="18"/>
  <c r="I72" i="18"/>
  <c r="H72" i="18"/>
  <c r="C72" i="18"/>
  <c r="AK71" i="18"/>
  <c r="AH71" i="18"/>
  <c r="AE71" i="18"/>
  <c r="AB71" i="18"/>
  <c r="Y71" i="18"/>
  <c r="V71" i="18"/>
  <c r="S71" i="18"/>
  <c r="P71" i="18"/>
  <c r="I71" i="18"/>
  <c r="H71" i="18"/>
  <c r="C71" i="18"/>
  <c r="AK70" i="18"/>
  <c r="AH70" i="18"/>
  <c r="AE70" i="18"/>
  <c r="AB70" i="18"/>
  <c r="Y70" i="18"/>
  <c r="V70" i="18"/>
  <c r="S70" i="18"/>
  <c r="P70" i="18"/>
  <c r="I70" i="18"/>
  <c r="H70" i="18"/>
  <c r="C70" i="18"/>
  <c r="AK69" i="18"/>
  <c r="AH69" i="18"/>
  <c r="AE69" i="18"/>
  <c r="AB69" i="18"/>
  <c r="Y69" i="18"/>
  <c r="V69" i="18"/>
  <c r="S69" i="18"/>
  <c r="P69" i="18"/>
  <c r="I69" i="18"/>
  <c r="H69" i="18"/>
  <c r="C69" i="18"/>
  <c r="AK68" i="18"/>
  <c r="AH68" i="18"/>
  <c r="AE68" i="18"/>
  <c r="AB68" i="18"/>
  <c r="Y68" i="18"/>
  <c r="V68" i="18"/>
  <c r="S68" i="18"/>
  <c r="P68" i="18"/>
  <c r="I68" i="18"/>
  <c r="H68" i="18"/>
  <c r="C68" i="18"/>
  <c r="AK67" i="18"/>
  <c r="AH67" i="18"/>
  <c r="AE67" i="18"/>
  <c r="AB67" i="18"/>
  <c r="Y67" i="18"/>
  <c r="V67" i="18"/>
  <c r="S67" i="18"/>
  <c r="P67" i="18"/>
  <c r="I67" i="18"/>
  <c r="H67" i="18"/>
  <c r="C67" i="18"/>
  <c r="AK66" i="18"/>
  <c r="AH66" i="18"/>
  <c r="AE66" i="18"/>
  <c r="AB66" i="18"/>
  <c r="Y66" i="18"/>
  <c r="V66" i="18"/>
  <c r="S66" i="18"/>
  <c r="P66" i="18"/>
  <c r="I66" i="18"/>
  <c r="H66" i="18"/>
  <c r="C66" i="18"/>
  <c r="AK65" i="18"/>
  <c r="AH65" i="18"/>
  <c r="AE65" i="18"/>
  <c r="AB65" i="18"/>
  <c r="Y65" i="18"/>
  <c r="V65" i="18"/>
  <c r="S65" i="18"/>
  <c r="P65" i="18"/>
  <c r="I65" i="18"/>
  <c r="H65" i="18"/>
  <c r="C65" i="18"/>
  <c r="AK64" i="18"/>
  <c r="AH64" i="18"/>
  <c r="AE64" i="18"/>
  <c r="AB64" i="18"/>
  <c r="Y64" i="18"/>
  <c r="V64" i="18"/>
  <c r="S64" i="18"/>
  <c r="P64" i="18"/>
  <c r="I64" i="18"/>
  <c r="H64" i="18"/>
  <c r="C64" i="18"/>
  <c r="AK63" i="18"/>
  <c r="AH63" i="18"/>
  <c r="AE63" i="18"/>
  <c r="AB63" i="18"/>
  <c r="Y63" i="18"/>
  <c r="V63" i="18"/>
  <c r="S63" i="18"/>
  <c r="P63" i="18"/>
  <c r="I63" i="18"/>
  <c r="H63" i="18"/>
  <c r="C63" i="18"/>
  <c r="AK62" i="18"/>
  <c r="AH62" i="18"/>
  <c r="AE62" i="18"/>
  <c r="AB62" i="18"/>
  <c r="Y62" i="18"/>
  <c r="V62" i="18"/>
  <c r="S62" i="18"/>
  <c r="P62" i="18"/>
  <c r="I62" i="18"/>
  <c r="H62" i="18"/>
  <c r="C62" i="18"/>
  <c r="AK61" i="18"/>
  <c r="AH61" i="18"/>
  <c r="AE61" i="18"/>
  <c r="AB61" i="18"/>
  <c r="Y61" i="18"/>
  <c r="V61" i="18"/>
  <c r="S61" i="18"/>
  <c r="P61" i="18"/>
  <c r="I61" i="18"/>
  <c r="H61" i="18"/>
  <c r="C61" i="18"/>
  <c r="AK60" i="18"/>
  <c r="AH60" i="18"/>
  <c r="AE60" i="18"/>
  <c r="AB60" i="18"/>
  <c r="Y60" i="18"/>
  <c r="V60" i="18"/>
  <c r="S60" i="18"/>
  <c r="P60" i="18"/>
  <c r="I60" i="18"/>
  <c r="H60" i="18"/>
  <c r="C60" i="18"/>
  <c r="AK59" i="18"/>
  <c r="AH59" i="18"/>
  <c r="AE59" i="18"/>
  <c r="AB59" i="18"/>
  <c r="Y59" i="18"/>
  <c r="V59" i="18"/>
  <c r="S59" i="18"/>
  <c r="P59" i="18"/>
  <c r="I59" i="18"/>
  <c r="H59" i="18"/>
  <c r="C59" i="18"/>
  <c r="AK58" i="18"/>
  <c r="AH58" i="18"/>
  <c r="AE58" i="18"/>
  <c r="AB58" i="18"/>
  <c r="Y58" i="18"/>
  <c r="V58" i="18"/>
  <c r="S58" i="18"/>
  <c r="P58" i="18"/>
  <c r="I58" i="18"/>
  <c r="H58" i="18"/>
  <c r="C58" i="18"/>
  <c r="AK57" i="18"/>
  <c r="AH57" i="18"/>
  <c r="AE57" i="18"/>
  <c r="AB57" i="18"/>
  <c r="Y57" i="18"/>
  <c r="V57" i="18"/>
  <c r="S57" i="18"/>
  <c r="P57" i="18"/>
  <c r="I57" i="18"/>
  <c r="H57" i="18"/>
  <c r="C57" i="18"/>
  <c r="AK56" i="18"/>
  <c r="AH56" i="18"/>
  <c r="AE56" i="18"/>
  <c r="AB56" i="18"/>
  <c r="Y56" i="18"/>
  <c r="V56" i="18"/>
  <c r="S56" i="18"/>
  <c r="P56" i="18"/>
  <c r="I56" i="18"/>
  <c r="H56" i="18"/>
  <c r="C56" i="18"/>
  <c r="AK55" i="18"/>
  <c r="AH55" i="18"/>
  <c r="AE55" i="18"/>
  <c r="AB55" i="18"/>
  <c r="Y55" i="18"/>
  <c r="V55" i="18"/>
  <c r="S55" i="18"/>
  <c r="P55" i="18"/>
  <c r="I55" i="18"/>
  <c r="H55" i="18"/>
  <c r="C55" i="18"/>
  <c r="AK54" i="18"/>
  <c r="AH54" i="18"/>
  <c r="AE54" i="18"/>
  <c r="AB54" i="18"/>
  <c r="Y54" i="18"/>
  <c r="V54" i="18"/>
  <c r="S54" i="18"/>
  <c r="P54" i="18"/>
  <c r="I54" i="18"/>
  <c r="H54" i="18"/>
  <c r="C54" i="18"/>
  <c r="AK53" i="18"/>
  <c r="AH53" i="18"/>
  <c r="AE53" i="18"/>
  <c r="AB53" i="18"/>
  <c r="AA53" i="18"/>
  <c r="Y53" i="18"/>
  <c r="V53" i="18"/>
  <c r="S53" i="18"/>
  <c r="P53" i="18"/>
  <c r="I53" i="18"/>
  <c r="H53" i="18"/>
  <c r="C53" i="18"/>
  <c r="AK52" i="18"/>
  <c r="AH52" i="18"/>
  <c r="AE52" i="18"/>
  <c r="AB52" i="18"/>
  <c r="AA52" i="18"/>
  <c r="Y52" i="18"/>
  <c r="V52" i="18"/>
  <c r="S52" i="18"/>
  <c r="P52" i="18"/>
  <c r="I52" i="18"/>
  <c r="H52" i="18"/>
  <c r="C52" i="18"/>
  <c r="AK51" i="18"/>
  <c r="AH51" i="18"/>
  <c r="AE51" i="18"/>
  <c r="AB51" i="18"/>
  <c r="AA51" i="18"/>
  <c r="Y51" i="18"/>
  <c r="V51" i="18"/>
  <c r="S51" i="18"/>
  <c r="P51" i="18"/>
  <c r="I51" i="18"/>
  <c r="H51" i="18"/>
  <c r="C51" i="18"/>
  <c r="AK50" i="18"/>
  <c r="AH50" i="18"/>
  <c r="AE50" i="18"/>
  <c r="AB50" i="18"/>
  <c r="Y50" i="18"/>
  <c r="V50" i="18"/>
  <c r="S50" i="18"/>
  <c r="P50" i="18"/>
  <c r="I50" i="18"/>
  <c r="H50" i="18"/>
  <c r="C50" i="18"/>
  <c r="AK49" i="18"/>
  <c r="AH49" i="18"/>
  <c r="AE49" i="18"/>
  <c r="AB49" i="18"/>
  <c r="AA49" i="18"/>
  <c r="Z49" i="18"/>
  <c r="Y49" i="18"/>
  <c r="V49" i="18"/>
  <c r="S49" i="18"/>
  <c r="P49" i="18"/>
  <c r="I49" i="18"/>
  <c r="H49" i="18"/>
  <c r="C49" i="18"/>
  <c r="AK48" i="18"/>
  <c r="AH48" i="18"/>
  <c r="AE48" i="18"/>
  <c r="AB48" i="18"/>
  <c r="AA48" i="18"/>
  <c r="Z48" i="18"/>
  <c r="Y48" i="18"/>
  <c r="V48" i="18"/>
  <c r="T48" i="18"/>
  <c r="S48" i="18"/>
  <c r="Q48" i="18"/>
  <c r="P48" i="18"/>
  <c r="I48" i="18"/>
  <c r="H48" i="18"/>
  <c r="C48" i="18"/>
  <c r="AK47" i="18"/>
  <c r="AH47" i="18"/>
  <c r="AE47" i="18"/>
  <c r="AB47" i="18"/>
  <c r="Y47" i="18"/>
  <c r="V47" i="18"/>
  <c r="S47" i="18"/>
  <c r="P47" i="18"/>
  <c r="I47" i="18"/>
  <c r="H47" i="18"/>
  <c r="C47" i="18"/>
  <c r="AK46" i="18"/>
  <c r="AH46" i="18"/>
  <c r="AE46" i="18"/>
  <c r="AB46" i="18"/>
  <c r="Y46" i="18"/>
  <c r="V46" i="18"/>
  <c r="S46" i="18"/>
  <c r="P46" i="18"/>
  <c r="I46" i="18"/>
  <c r="H46" i="18"/>
  <c r="C46" i="18"/>
  <c r="AK45" i="18"/>
  <c r="AH45" i="18"/>
  <c r="AE45" i="18"/>
  <c r="AB45" i="18"/>
  <c r="Y45" i="18"/>
  <c r="V45" i="18"/>
  <c r="S45" i="18"/>
  <c r="P45" i="18"/>
  <c r="I45" i="18"/>
  <c r="H45" i="18"/>
  <c r="C45" i="18"/>
  <c r="AK44" i="18"/>
  <c r="AH44" i="18"/>
  <c r="AE44" i="18"/>
  <c r="AB44" i="18"/>
  <c r="Y44" i="18"/>
  <c r="V44" i="18"/>
  <c r="S44" i="18"/>
  <c r="P44" i="18"/>
  <c r="I44" i="18"/>
  <c r="H44" i="18"/>
  <c r="C44" i="18"/>
  <c r="AK43" i="18"/>
  <c r="AH43" i="18"/>
  <c r="AE43" i="18"/>
  <c r="AB43" i="18"/>
  <c r="Y43" i="18"/>
  <c r="V43" i="18"/>
  <c r="S43" i="18"/>
  <c r="P43" i="18"/>
  <c r="I43" i="18"/>
  <c r="H43" i="18"/>
  <c r="C43" i="18"/>
  <c r="AK42" i="18"/>
  <c r="AH42" i="18"/>
  <c r="AE42" i="18"/>
  <c r="AB42" i="18"/>
  <c r="Y42" i="18"/>
  <c r="V42" i="18"/>
  <c r="S42" i="18"/>
  <c r="P42" i="18"/>
  <c r="I42" i="18"/>
  <c r="H42" i="18"/>
  <c r="C42" i="18"/>
  <c r="AK41" i="18"/>
  <c r="AH41" i="18"/>
  <c r="AE41" i="18"/>
  <c r="AB41" i="18"/>
  <c r="Y41" i="18"/>
  <c r="V41" i="18"/>
  <c r="S41" i="18"/>
  <c r="P41" i="18"/>
  <c r="I41" i="18"/>
  <c r="H41" i="18"/>
  <c r="C41" i="18"/>
  <c r="AK40" i="18"/>
  <c r="AH40" i="18"/>
  <c r="AE40" i="18"/>
  <c r="AB40" i="18"/>
  <c r="Y40" i="18"/>
  <c r="V40" i="18"/>
  <c r="S40" i="18"/>
  <c r="P40" i="18"/>
  <c r="I40" i="18"/>
  <c r="H40" i="18"/>
  <c r="C40" i="18"/>
  <c r="AK39" i="18"/>
  <c r="AH39" i="18"/>
  <c r="AE39" i="18"/>
  <c r="AB39" i="18"/>
  <c r="Y39" i="18"/>
  <c r="V39" i="18"/>
  <c r="S39" i="18"/>
  <c r="P39" i="18"/>
  <c r="I39" i="18"/>
  <c r="H39" i="18"/>
  <c r="C39" i="18"/>
  <c r="AK38" i="18"/>
  <c r="AH38" i="18"/>
  <c r="AE38" i="18"/>
  <c r="AB38" i="18"/>
  <c r="Y38" i="18"/>
  <c r="V38" i="18"/>
  <c r="S38" i="18"/>
  <c r="P38" i="18"/>
  <c r="I38" i="18"/>
  <c r="H38" i="18"/>
  <c r="C38" i="18"/>
  <c r="AK37" i="18"/>
  <c r="AH37" i="18"/>
  <c r="AE37" i="18"/>
  <c r="AB37" i="18"/>
  <c r="Y37" i="18"/>
  <c r="V37" i="18"/>
  <c r="S37" i="18"/>
  <c r="P37" i="18"/>
  <c r="I37" i="18"/>
  <c r="H37" i="18"/>
  <c r="C37" i="18"/>
  <c r="AK36" i="18"/>
  <c r="AH36" i="18"/>
  <c r="AE36" i="18"/>
  <c r="AB36" i="18"/>
  <c r="Y36" i="18"/>
  <c r="V36" i="18"/>
  <c r="S36" i="18"/>
  <c r="P36" i="18"/>
  <c r="I36" i="18"/>
  <c r="H36" i="18"/>
  <c r="C36" i="18"/>
  <c r="AK35" i="18"/>
  <c r="AH35" i="18"/>
  <c r="AE35" i="18"/>
  <c r="AB35" i="18"/>
  <c r="Y35" i="18"/>
  <c r="V35" i="18"/>
  <c r="S35" i="18"/>
  <c r="P35" i="18"/>
  <c r="I35" i="18"/>
  <c r="H35" i="18"/>
  <c r="C35" i="18"/>
  <c r="AK34" i="18"/>
  <c r="AH34" i="18"/>
  <c r="AE34" i="18"/>
  <c r="AB34" i="18"/>
  <c r="Y34" i="18"/>
  <c r="V34" i="18"/>
  <c r="S34" i="18"/>
  <c r="P34" i="18"/>
  <c r="I34" i="18"/>
  <c r="H34" i="18"/>
  <c r="C34" i="18"/>
  <c r="AK33" i="18"/>
  <c r="AH33" i="18"/>
  <c r="AE33" i="18"/>
  <c r="AB33" i="18"/>
  <c r="Y33" i="18"/>
  <c r="V33" i="18"/>
  <c r="S33" i="18"/>
  <c r="P33" i="18"/>
  <c r="I33" i="18"/>
  <c r="H33" i="18"/>
  <c r="C33" i="18"/>
  <c r="AK32" i="18"/>
  <c r="AH32" i="18"/>
  <c r="AE32" i="18"/>
  <c r="AB32" i="18"/>
  <c r="Y32" i="18"/>
  <c r="V32" i="18"/>
  <c r="S32" i="18"/>
  <c r="P32" i="18"/>
  <c r="I32" i="18"/>
  <c r="H32" i="18"/>
  <c r="C32" i="18"/>
  <c r="AK31" i="18"/>
  <c r="AH31" i="18"/>
  <c r="AE31" i="18"/>
  <c r="AB31" i="18"/>
  <c r="Y31" i="18"/>
  <c r="V31" i="18"/>
  <c r="S31" i="18"/>
  <c r="P31" i="18"/>
  <c r="I31" i="18"/>
  <c r="H31" i="18"/>
  <c r="C31" i="18"/>
  <c r="AK30" i="18"/>
  <c r="AH30" i="18"/>
  <c r="AE30" i="18"/>
  <c r="AB30" i="18"/>
  <c r="Y30" i="18"/>
  <c r="V30" i="18"/>
  <c r="S30" i="18"/>
  <c r="P30" i="18"/>
  <c r="I30" i="18"/>
  <c r="H30" i="18"/>
  <c r="C30" i="18"/>
  <c r="AK29" i="18"/>
  <c r="AH29" i="18"/>
  <c r="AE29" i="18"/>
  <c r="AB29" i="18"/>
  <c r="Y29" i="18"/>
  <c r="V29" i="18"/>
  <c r="S29" i="18"/>
  <c r="P29" i="18"/>
  <c r="I29" i="18"/>
  <c r="H29" i="18"/>
  <c r="C29" i="18"/>
  <c r="AK28" i="18"/>
  <c r="AH28" i="18"/>
  <c r="AE28" i="18"/>
  <c r="AB28" i="18"/>
  <c r="Y28" i="18"/>
  <c r="V28" i="18"/>
  <c r="S28" i="18"/>
  <c r="P28" i="18"/>
  <c r="I28" i="18"/>
  <c r="H28" i="18"/>
  <c r="C28" i="18"/>
  <c r="AK27" i="18"/>
  <c r="AH27" i="18"/>
  <c r="AE27" i="18"/>
  <c r="AB27" i="18"/>
  <c r="Y27" i="18"/>
  <c r="V27" i="18"/>
  <c r="S27" i="18"/>
  <c r="P27" i="18"/>
  <c r="I27" i="18"/>
  <c r="H27" i="18"/>
  <c r="C27" i="18"/>
  <c r="AK26" i="18"/>
  <c r="AH26" i="18"/>
  <c r="AE26" i="18"/>
  <c r="AB26" i="18"/>
  <c r="Y26" i="18"/>
  <c r="V26" i="18"/>
  <c r="S26" i="18"/>
  <c r="P26" i="18"/>
  <c r="I26" i="18"/>
  <c r="H26" i="18"/>
  <c r="C26" i="18"/>
  <c r="AK25" i="18"/>
  <c r="AH25" i="18"/>
  <c r="AE25" i="18"/>
  <c r="AB25" i="18"/>
  <c r="Y25" i="18"/>
  <c r="V25" i="18"/>
  <c r="S25" i="18"/>
  <c r="P25" i="18"/>
  <c r="I25" i="18"/>
  <c r="H25" i="18"/>
  <c r="C25" i="18"/>
  <c r="AK24" i="18"/>
  <c r="AH24" i="18"/>
  <c r="AE24" i="18"/>
  <c r="AB24" i="18"/>
  <c r="Y24" i="18"/>
  <c r="V24" i="18"/>
  <c r="S24" i="18"/>
  <c r="P24" i="18"/>
  <c r="I24" i="18"/>
  <c r="H24" i="18"/>
  <c r="C24" i="18"/>
  <c r="AK23" i="18"/>
  <c r="AH23" i="18"/>
  <c r="AE23" i="18"/>
  <c r="AB23" i="18"/>
  <c r="Y23" i="18"/>
  <c r="V23" i="18"/>
  <c r="S23" i="18"/>
  <c r="P23" i="18"/>
  <c r="I23" i="18"/>
  <c r="H23" i="18"/>
  <c r="C23" i="18"/>
  <c r="AK22" i="18"/>
  <c r="AH22" i="18"/>
  <c r="AE22" i="18"/>
  <c r="AB22" i="18"/>
  <c r="Y22" i="18"/>
  <c r="V22" i="18"/>
  <c r="S22" i="18"/>
  <c r="P22" i="18"/>
  <c r="I22" i="18"/>
  <c r="H22" i="18"/>
  <c r="C22" i="18"/>
  <c r="AK21" i="18"/>
  <c r="AH21" i="18"/>
  <c r="AE21" i="18"/>
  <c r="AB21" i="18"/>
  <c r="Y21" i="18"/>
  <c r="V21" i="18"/>
  <c r="S21" i="18"/>
  <c r="P21" i="18"/>
  <c r="I21" i="18"/>
  <c r="H21" i="18"/>
  <c r="C21" i="18"/>
  <c r="AK20" i="18"/>
  <c r="AH20" i="18"/>
  <c r="AE20" i="18"/>
  <c r="AB20" i="18"/>
  <c r="Y20" i="18"/>
  <c r="V20" i="18"/>
  <c r="S20" i="18"/>
  <c r="P20" i="18"/>
  <c r="I20" i="18"/>
  <c r="H20" i="18"/>
  <c r="C20" i="18"/>
  <c r="AK19" i="18"/>
  <c r="AH19" i="18"/>
  <c r="AE19" i="18"/>
  <c r="AB19" i="18"/>
  <c r="Y19" i="18"/>
  <c r="V19" i="18"/>
  <c r="S19" i="18"/>
  <c r="P19" i="18"/>
  <c r="I19" i="18"/>
  <c r="H19" i="18"/>
  <c r="C19" i="18"/>
  <c r="AK18" i="18"/>
  <c r="AH18" i="18"/>
  <c r="AE18" i="18"/>
  <c r="AB18" i="18"/>
  <c r="Y18" i="18"/>
  <c r="V18" i="18"/>
  <c r="S18" i="18"/>
  <c r="P18" i="18"/>
  <c r="I18" i="18"/>
  <c r="H18" i="18"/>
  <c r="C18" i="18"/>
  <c r="AK17" i="18"/>
  <c r="AH17" i="18"/>
  <c r="AE17" i="18"/>
  <c r="AB17" i="18"/>
  <c r="Y17" i="18"/>
  <c r="V17" i="18"/>
  <c r="S17" i="18"/>
  <c r="P17" i="18"/>
  <c r="I17" i="18"/>
  <c r="H17" i="18"/>
  <c r="C17" i="18"/>
  <c r="AK16" i="18"/>
  <c r="AH16" i="18"/>
  <c r="AE16" i="18"/>
  <c r="AB16" i="18"/>
  <c r="Y16" i="18"/>
  <c r="V16" i="18"/>
  <c r="S16" i="18"/>
  <c r="P16" i="18"/>
  <c r="I16" i="18"/>
  <c r="H16" i="18"/>
  <c r="C16" i="18"/>
  <c r="AK15" i="18"/>
  <c r="AH15" i="18"/>
  <c r="AE15" i="18"/>
  <c r="AB15" i="18"/>
  <c r="Y15" i="18"/>
  <c r="V15" i="18"/>
  <c r="S15" i="18"/>
  <c r="P15" i="18"/>
  <c r="I15" i="18"/>
  <c r="H15" i="18"/>
  <c r="C15" i="18"/>
  <c r="AK14" i="18"/>
  <c r="AH14" i="18"/>
  <c r="AE14" i="18"/>
  <c r="AB14" i="18"/>
  <c r="Y14" i="18"/>
  <c r="V14" i="18"/>
  <c r="S14" i="18"/>
  <c r="P14" i="18"/>
  <c r="I14" i="18"/>
  <c r="H14" i="18"/>
  <c r="C14" i="18"/>
  <c r="AM68" i="16"/>
  <c r="D76" i="18" s="1"/>
  <c r="A68" i="16"/>
  <c r="AM67" i="16"/>
  <c r="D75" i="18" s="1"/>
  <c r="A67" i="16"/>
  <c r="AM66" i="16"/>
  <c r="D74" i="18" s="1"/>
  <c r="A66" i="16"/>
  <c r="AM65" i="16"/>
  <c r="D73" i="18" s="1"/>
  <c r="A65" i="16"/>
  <c r="AM64" i="16"/>
  <c r="D72" i="18" s="1"/>
  <c r="A64" i="16"/>
  <c r="AM63" i="16"/>
  <c r="D71" i="18" s="1"/>
  <c r="A63" i="16"/>
  <c r="AM62" i="16"/>
  <c r="D70" i="18" s="1"/>
  <c r="A62" i="16"/>
  <c r="AM61" i="16"/>
  <c r="D69" i="18" s="1"/>
  <c r="A61" i="16"/>
  <c r="AM60" i="16"/>
  <c r="D68" i="18" s="1"/>
  <c r="A60" i="16"/>
  <c r="AM59" i="16"/>
  <c r="D67" i="18" s="1"/>
  <c r="A59" i="16"/>
  <c r="AM58" i="16"/>
  <c r="D66" i="18" s="1"/>
  <c r="A58" i="16"/>
  <c r="AM57" i="16"/>
  <c r="D65" i="18" s="1"/>
  <c r="A57" i="16"/>
  <c r="AM56" i="16"/>
  <c r="D64" i="18" s="1"/>
  <c r="A56" i="16"/>
  <c r="AM55" i="16"/>
  <c r="D63" i="18" s="1"/>
  <c r="A55" i="16"/>
  <c r="AM54" i="16"/>
  <c r="D62" i="18" s="1"/>
  <c r="A54" i="16"/>
  <c r="AM53" i="16"/>
  <c r="D61" i="18" s="1"/>
  <c r="A53" i="16"/>
  <c r="AM52" i="16"/>
  <c r="D60" i="18" s="1"/>
  <c r="A52" i="16"/>
  <c r="AM51" i="16"/>
  <c r="D59" i="18" s="1"/>
  <c r="A51" i="16"/>
  <c r="AM50" i="16"/>
  <c r="D58" i="18" s="1"/>
  <c r="A50" i="16"/>
  <c r="AM49" i="16"/>
  <c r="D57" i="18" s="1"/>
  <c r="A49" i="16"/>
  <c r="AM48" i="16"/>
  <c r="D56" i="18" s="1"/>
  <c r="A48" i="16"/>
  <c r="AM47" i="16"/>
  <c r="D55" i="18" s="1"/>
  <c r="A47" i="16"/>
  <c r="AM46" i="16"/>
  <c r="D54" i="18" s="1"/>
  <c r="A46" i="16"/>
  <c r="AM45" i="16"/>
  <c r="D53" i="18" s="1"/>
  <c r="V45" i="16"/>
  <c r="T45" i="16"/>
  <c r="R45" i="16"/>
  <c r="P45" i="16"/>
  <c r="N45" i="16"/>
  <c r="L45" i="16"/>
  <c r="K45" i="16"/>
  <c r="I45" i="16"/>
  <c r="H45" i="16"/>
  <c r="N53" i="18" s="1"/>
  <c r="O53" i="18" s="1"/>
  <c r="G45" i="16"/>
  <c r="A45" i="16"/>
  <c r="AM44" i="16"/>
  <c r="D52" i="18" s="1"/>
  <c r="AE44" i="16"/>
  <c r="L52" i="18" s="1"/>
  <c r="V44" i="16"/>
  <c r="T44" i="16"/>
  <c r="R44" i="16"/>
  <c r="AC52" i="18" s="1"/>
  <c r="AD52" i="18" s="1"/>
  <c r="P44" i="16"/>
  <c r="N44" i="16"/>
  <c r="L44" i="16"/>
  <c r="K44" i="16"/>
  <c r="I44" i="16"/>
  <c r="H44" i="16"/>
  <c r="N52" i="18" s="1"/>
  <c r="O52" i="18" s="1"/>
  <c r="G44" i="16"/>
  <c r="A44" i="16"/>
  <c r="AM43" i="16"/>
  <c r="D51" i="18" s="1"/>
  <c r="V43" i="16"/>
  <c r="T43" i="16"/>
  <c r="R43" i="16"/>
  <c r="P43" i="16"/>
  <c r="N43" i="16"/>
  <c r="L43" i="16"/>
  <c r="K43" i="16"/>
  <c r="I43" i="16"/>
  <c r="H43" i="16"/>
  <c r="N51" i="18" s="1"/>
  <c r="G43" i="16"/>
  <c r="A43" i="16"/>
  <c r="AM42" i="16"/>
  <c r="D50" i="18" s="1"/>
  <c r="A42" i="16"/>
  <c r="AM41" i="16"/>
  <c r="D49" i="18" s="1"/>
  <c r="V41" i="16"/>
  <c r="T41" i="16"/>
  <c r="AI49" i="18" s="1"/>
  <c r="AJ49" i="18" s="1"/>
  <c r="R41" i="16"/>
  <c r="AC49" i="18" s="1"/>
  <c r="AD49" i="18" s="1"/>
  <c r="P41" i="16"/>
  <c r="N41" i="16"/>
  <c r="L41" i="16"/>
  <c r="K41" i="16"/>
  <c r="I41" i="16"/>
  <c r="H41" i="16"/>
  <c r="N49" i="18" s="1"/>
  <c r="G41" i="16"/>
  <c r="A41" i="16"/>
  <c r="AM40" i="16"/>
  <c r="D48" i="18" s="1"/>
  <c r="AF40" i="16"/>
  <c r="M48" i="18" s="1"/>
  <c r="V40" i="16"/>
  <c r="T40" i="16"/>
  <c r="R40" i="16"/>
  <c r="P40" i="16"/>
  <c r="N40" i="16"/>
  <c r="L40" i="16"/>
  <c r="K40" i="16"/>
  <c r="I40" i="16"/>
  <c r="H40" i="16"/>
  <c r="N48" i="18" s="1"/>
  <c r="G40" i="16"/>
  <c r="B40" i="16"/>
  <c r="B48" i="18" s="1"/>
  <c r="A40" i="16"/>
  <c r="AM39" i="16"/>
  <c r="D47" i="18" s="1"/>
  <c r="A39" i="16"/>
  <c r="AM38" i="16"/>
  <c r="D46" i="18" s="1"/>
  <c r="A38" i="16"/>
  <c r="AM37" i="16"/>
  <c r="D45" i="18" s="1"/>
  <c r="A37" i="16"/>
  <c r="AM36" i="16"/>
  <c r="D44" i="18" s="1"/>
  <c r="A36" i="16"/>
  <c r="AM35" i="16"/>
  <c r="D43" i="18" s="1"/>
  <c r="A35" i="16"/>
  <c r="AM34" i="16"/>
  <c r="D42" i="18" s="1"/>
  <c r="A34" i="16"/>
  <c r="AM33" i="16"/>
  <c r="D41" i="18" s="1"/>
  <c r="A33" i="16"/>
  <c r="AM32" i="16"/>
  <c r="D40" i="18" s="1"/>
  <c r="A32" i="16"/>
  <c r="AM31" i="16"/>
  <c r="D39" i="18" s="1"/>
  <c r="A31" i="16"/>
  <c r="AM30" i="16"/>
  <c r="D38" i="18" s="1"/>
  <c r="A30" i="16"/>
  <c r="AM29" i="16"/>
  <c r="D37" i="18" s="1"/>
  <c r="A29" i="16"/>
  <c r="AM28" i="16"/>
  <c r="D36" i="18" s="1"/>
  <c r="A28" i="16"/>
  <c r="AM27" i="16"/>
  <c r="D35" i="18" s="1"/>
  <c r="A27" i="16"/>
  <c r="AM26" i="16"/>
  <c r="D34" i="18" s="1"/>
  <c r="A26" i="16"/>
  <c r="AM25" i="16"/>
  <c r="D33" i="18" s="1"/>
  <c r="A25" i="16"/>
  <c r="AM24" i="16"/>
  <c r="D32" i="18" s="1"/>
  <c r="A24" i="16"/>
  <c r="AM23" i="16"/>
  <c r="D31" i="18" s="1"/>
  <c r="A23" i="16"/>
  <c r="AM22" i="16"/>
  <c r="D30" i="18" s="1"/>
  <c r="V22" i="16"/>
  <c r="T22" i="16"/>
  <c r="R22" i="16"/>
  <c r="P22" i="16"/>
  <c r="N22" i="16"/>
  <c r="L22" i="16"/>
  <c r="K22" i="16"/>
  <c r="A22" i="16"/>
  <c r="AM21" i="16"/>
  <c r="D29" i="18" s="1"/>
  <c r="V21" i="16"/>
  <c r="T21" i="16"/>
  <c r="R21" i="16"/>
  <c r="P21" i="16"/>
  <c r="N21" i="16"/>
  <c r="L21" i="16"/>
  <c r="K21" i="16"/>
  <c r="A21" i="16"/>
  <c r="AM20" i="16"/>
  <c r="D28" i="18" s="1"/>
  <c r="A20" i="16"/>
  <c r="AM19" i="16"/>
  <c r="D27" i="18" s="1"/>
  <c r="A19" i="16"/>
  <c r="AM18" i="16"/>
  <c r="D26" i="18" s="1"/>
  <c r="A18" i="16"/>
  <c r="AM17" i="16"/>
  <c r="D25" i="18" s="1"/>
  <c r="A17" i="16"/>
  <c r="AM16" i="16"/>
  <c r="D24" i="18" s="1"/>
  <c r="A16" i="16"/>
  <c r="AM15" i="16"/>
  <c r="D23" i="18" s="1"/>
  <c r="A15" i="16"/>
  <c r="AM14" i="16"/>
  <c r="D22" i="18" s="1"/>
  <c r="A14" i="16"/>
  <c r="AM13" i="16"/>
  <c r="D21" i="18" s="1"/>
  <c r="A13" i="16"/>
  <c r="AM12" i="16"/>
  <c r="D20" i="18" s="1"/>
  <c r="A12" i="16"/>
  <c r="AM11" i="16"/>
  <c r="D19" i="18" s="1"/>
  <c r="A11" i="16"/>
  <c r="AM10" i="16"/>
  <c r="D18" i="18" s="1"/>
  <c r="A10" i="16"/>
  <c r="AM9" i="16"/>
  <c r="D17" i="18" s="1"/>
  <c r="A9" i="16"/>
  <c r="AM8" i="16"/>
  <c r="D16" i="18" s="1"/>
  <c r="A8" i="16"/>
  <c r="AM7" i="16"/>
  <c r="D15" i="18" s="1"/>
  <c r="A7" i="16"/>
  <c r="AM6" i="16"/>
  <c r="D14" i="18" s="1"/>
  <c r="A6" i="16"/>
  <c r="F86" i="7"/>
  <c r="D86" i="7" s="1"/>
  <c r="D82" i="7"/>
  <c r="D84" i="7" s="1"/>
  <c r="D81" i="7"/>
  <c r="D80" i="7"/>
  <c r="A76" i="7"/>
  <c r="S75" i="7"/>
  <c r="BC68" i="16" s="1"/>
  <c r="T76" i="18" s="1"/>
  <c r="U76" i="18" s="1"/>
  <c r="O75" i="7"/>
  <c r="P68" i="16" s="1"/>
  <c r="N75" i="7"/>
  <c r="M75" i="7"/>
  <c r="N68" i="16" s="1"/>
  <c r="G75" i="7"/>
  <c r="D75" i="7"/>
  <c r="B75" i="7"/>
  <c r="B68" i="16" s="1"/>
  <c r="B76" i="18" s="1"/>
  <c r="S74" i="7"/>
  <c r="BC67" i="16" s="1"/>
  <c r="T75" i="18" s="1"/>
  <c r="U75" i="18" s="1"/>
  <c r="O74" i="7"/>
  <c r="P67" i="16" s="1"/>
  <c r="N74" i="7"/>
  <c r="M74" i="7"/>
  <c r="N67" i="16" s="1"/>
  <c r="G74" i="7"/>
  <c r="D74" i="7"/>
  <c r="B74" i="7"/>
  <c r="B67" i="16" s="1"/>
  <c r="B75" i="18" s="1"/>
  <c r="S73" i="7"/>
  <c r="BC66" i="16" s="1"/>
  <c r="T74" i="18" s="1"/>
  <c r="U74" i="18" s="1"/>
  <c r="O73" i="7"/>
  <c r="P66" i="16" s="1"/>
  <c r="N73" i="7"/>
  <c r="M73" i="7"/>
  <c r="N66" i="16" s="1"/>
  <c r="G73" i="7"/>
  <c r="D73" i="7"/>
  <c r="B73" i="7"/>
  <c r="B66" i="16" s="1"/>
  <c r="B74" i="18" s="1"/>
  <c r="S72" i="7"/>
  <c r="BC65" i="16" s="1"/>
  <c r="T73" i="18" s="1"/>
  <c r="U73" i="18" s="1"/>
  <c r="O72" i="7"/>
  <c r="P65" i="16" s="1"/>
  <c r="N72" i="7"/>
  <c r="M72" i="7"/>
  <c r="N65" i="16" s="1"/>
  <c r="G72" i="7"/>
  <c r="D72" i="7"/>
  <c r="B72" i="7"/>
  <c r="B65" i="16" s="1"/>
  <c r="B73" i="18" s="1"/>
  <c r="S71" i="7"/>
  <c r="BC64" i="16" s="1"/>
  <c r="T72" i="18" s="1"/>
  <c r="U72" i="18" s="1"/>
  <c r="O71" i="7"/>
  <c r="P64" i="16" s="1"/>
  <c r="N71" i="7"/>
  <c r="M71" i="7"/>
  <c r="N64" i="16" s="1"/>
  <c r="G71" i="7"/>
  <c r="D71" i="7"/>
  <c r="B71" i="7"/>
  <c r="B64" i="16" s="1"/>
  <c r="B72" i="18" s="1"/>
  <c r="S70" i="7"/>
  <c r="BC63" i="16" s="1"/>
  <c r="T71" i="18" s="1"/>
  <c r="U71" i="18" s="1"/>
  <c r="O70" i="7"/>
  <c r="P63" i="16" s="1"/>
  <c r="N70" i="7"/>
  <c r="M70" i="7"/>
  <c r="N63" i="16" s="1"/>
  <c r="G70" i="7"/>
  <c r="D70" i="7"/>
  <c r="B70" i="7"/>
  <c r="B63" i="16" s="1"/>
  <c r="B71" i="18" s="1"/>
  <c r="S69" i="7"/>
  <c r="BC62" i="16" s="1"/>
  <c r="T70" i="18" s="1"/>
  <c r="U70" i="18" s="1"/>
  <c r="O69" i="7"/>
  <c r="P62" i="16" s="1"/>
  <c r="N69" i="7"/>
  <c r="M69" i="7"/>
  <c r="N62" i="16" s="1"/>
  <c r="G69" i="7"/>
  <c r="D69" i="7"/>
  <c r="B69" i="7"/>
  <c r="B62" i="16" s="1"/>
  <c r="B70" i="18" s="1"/>
  <c r="S68" i="7"/>
  <c r="BC61" i="16" s="1"/>
  <c r="T69" i="18" s="1"/>
  <c r="U69" i="18" s="1"/>
  <c r="O68" i="7"/>
  <c r="P61" i="16" s="1"/>
  <c r="N68" i="7"/>
  <c r="M68" i="7"/>
  <c r="G68" i="7"/>
  <c r="D68" i="7"/>
  <c r="B68" i="7"/>
  <c r="B61" i="16" s="1"/>
  <c r="B69" i="18" s="1"/>
  <c r="S67" i="7"/>
  <c r="BC60" i="16" s="1"/>
  <c r="T68" i="18" s="1"/>
  <c r="U68" i="18" s="1"/>
  <c r="O67" i="7"/>
  <c r="P60" i="16" s="1"/>
  <c r="N67" i="7"/>
  <c r="M67" i="7"/>
  <c r="N60" i="16" s="1"/>
  <c r="G67" i="7"/>
  <c r="D67" i="7"/>
  <c r="B67" i="7"/>
  <c r="B60" i="16" s="1"/>
  <c r="B68" i="18" s="1"/>
  <c r="S66" i="7"/>
  <c r="BC59" i="16" s="1"/>
  <c r="T67" i="18" s="1"/>
  <c r="U67" i="18" s="1"/>
  <c r="O66" i="7"/>
  <c r="P59" i="16" s="1"/>
  <c r="N66" i="7"/>
  <c r="M66" i="7"/>
  <c r="N59" i="16" s="1"/>
  <c r="G66" i="7"/>
  <c r="D66" i="7"/>
  <c r="B66" i="7"/>
  <c r="B59" i="16" s="1"/>
  <c r="B67" i="18" s="1"/>
  <c r="S65" i="7"/>
  <c r="BC58" i="16" s="1"/>
  <c r="T66" i="18" s="1"/>
  <c r="U66" i="18" s="1"/>
  <c r="O65" i="7"/>
  <c r="P58" i="16" s="1"/>
  <c r="N65" i="7"/>
  <c r="M65" i="7"/>
  <c r="N58" i="16" s="1"/>
  <c r="G65" i="7"/>
  <c r="D65" i="7"/>
  <c r="B65" i="7"/>
  <c r="B58" i="16" s="1"/>
  <c r="B66" i="18" s="1"/>
  <c r="S64" i="7"/>
  <c r="BC57" i="16" s="1"/>
  <c r="T65" i="18" s="1"/>
  <c r="U65" i="18" s="1"/>
  <c r="O64" i="7"/>
  <c r="P57" i="16" s="1"/>
  <c r="N64" i="7"/>
  <c r="M64" i="7"/>
  <c r="G64" i="7"/>
  <c r="D64" i="7"/>
  <c r="B64" i="7"/>
  <c r="B57" i="16" s="1"/>
  <c r="B65" i="18" s="1"/>
  <c r="S63" i="7"/>
  <c r="BC56" i="16" s="1"/>
  <c r="T64" i="18" s="1"/>
  <c r="U64" i="18" s="1"/>
  <c r="O63" i="7"/>
  <c r="P56" i="16" s="1"/>
  <c r="N63" i="7"/>
  <c r="M63" i="7"/>
  <c r="N56" i="16" s="1"/>
  <c r="G63" i="7"/>
  <c r="D63" i="7"/>
  <c r="B63" i="7"/>
  <c r="B56" i="16" s="1"/>
  <c r="B64" i="18" s="1"/>
  <c r="S62" i="7"/>
  <c r="BC55" i="16" s="1"/>
  <c r="T63" i="18" s="1"/>
  <c r="U63" i="18" s="1"/>
  <c r="O62" i="7"/>
  <c r="P55" i="16" s="1"/>
  <c r="N62" i="7"/>
  <c r="M62" i="7"/>
  <c r="N55" i="16" s="1"/>
  <c r="G62" i="7"/>
  <c r="D62" i="7"/>
  <c r="B62" i="7"/>
  <c r="B55" i="16" s="1"/>
  <c r="B63" i="18" s="1"/>
  <c r="S61" i="7"/>
  <c r="BC54" i="16" s="1"/>
  <c r="T62" i="18" s="1"/>
  <c r="U62" i="18" s="1"/>
  <c r="O61" i="7"/>
  <c r="P54" i="16" s="1"/>
  <c r="N61" i="7"/>
  <c r="M61" i="7"/>
  <c r="N54" i="16" s="1"/>
  <c r="G61" i="7"/>
  <c r="D61" i="7"/>
  <c r="B61" i="7"/>
  <c r="B54" i="16" s="1"/>
  <c r="B62" i="18" s="1"/>
  <c r="S60" i="7"/>
  <c r="BC53" i="16" s="1"/>
  <c r="T61" i="18" s="1"/>
  <c r="U61" i="18" s="1"/>
  <c r="O60" i="7"/>
  <c r="P53" i="16" s="1"/>
  <c r="N60" i="7"/>
  <c r="M60" i="7"/>
  <c r="N53" i="16" s="1"/>
  <c r="G60" i="7"/>
  <c r="D60" i="7"/>
  <c r="B60" i="7"/>
  <c r="B53" i="16" s="1"/>
  <c r="B61" i="18" s="1"/>
  <c r="S59" i="7"/>
  <c r="BC52" i="16" s="1"/>
  <c r="T60" i="18" s="1"/>
  <c r="U60" i="18" s="1"/>
  <c r="O59" i="7"/>
  <c r="P52" i="16" s="1"/>
  <c r="N59" i="7"/>
  <c r="M59" i="7"/>
  <c r="N52" i="16" s="1"/>
  <c r="G59" i="7"/>
  <c r="D59" i="7"/>
  <c r="B59" i="7"/>
  <c r="B52" i="16" s="1"/>
  <c r="B60" i="18" s="1"/>
  <c r="S58" i="7"/>
  <c r="BC51" i="16" s="1"/>
  <c r="T59" i="18" s="1"/>
  <c r="U59" i="18" s="1"/>
  <c r="O58" i="7"/>
  <c r="P51" i="16" s="1"/>
  <c r="N58" i="7"/>
  <c r="M58" i="7"/>
  <c r="N51" i="16" s="1"/>
  <c r="G58" i="7"/>
  <c r="D58" i="7"/>
  <c r="B58" i="7"/>
  <c r="B51" i="16" s="1"/>
  <c r="B59" i="18" s="1"/>
  <c r="S57" i="7"/>
  <c r="BC50" i="16" s="1"/>
  <c r="T58" i="18" s="1"/>
  <c r="U58" i="18" s="1"/>
  <c r="O57" i="7"/>
  <c r="P50" i="16" s="1"/>
  <c r="N57" i="7"/>
  <c r="M57" i="7"/>
  <c r="N50" i="16" s="1"/>
  <c r="G57" i="7"/>
  <c r="D57" i="7"/>
  <c r="B57" i="7"/>
  <c r="B50" i="16" s="1"/>
  <c r="B58" i="18" s="1"/>
  <c r="S56" i="7"/>
  <c r="BC49" i="16" s="1"/>
  <c r="T57" i="18" s="1"/>
  <c r="U57" i="18" s="1"/>
  <c r="O56" i="7"/>
  <c r="P49" i="16" s="1"/>
  <c r="N56" i="7"/>
  <c r="M56" i="7"/>
  <c r="N49" i="16" s="1"/>
  <c r="G56" i="7"/>
  <c r="D56" i="7"/>
  <c r="B56" i="7"/>
  <c r="B49" i="16" s="1"/>
  <c r="B57" i="18" s="1"/>
  <c r="S55" i="7"/>
  <c r="BC48" i="16" s="1"/>
  <c r="T56" i="18" s="1"/>
  <c r="U56" i="18" s="1"/>
  <c r="O55" i="7"/>
  <c r="P48" i="16" s="1"/>
  <c r="N55" i="7"/>
  <c r="M55" i="7"/>
  <c r="N48" i="16" s="1"/>
  <c r="G55" i="7"/>
  <c r="D55" i="7"/>
  <c r="B55" i="7"/>
  <c r="B48" i="16" s="1"/>
  <c r="B56" i="18" s="1"/>
  <c r="B54" i="7"/>
  <c r="A52" i="7"/>
  <c r="S51" i="7"/>
  <c r="BC47" i="16" s="1"/>
  <c r="T55" i="18" s="1"/>
  <c r="U55" i="18" s="1"/>
  <c r="O51" i="7"/>
  <c r="P47" i="16" s="1"/>
  <c r="N51" i="7"/>
  <c r="M51" i="7"/>
  <c r="N47" i="16" s="1"/>
  <c r="G51" i="7"/>
  <c r="D51" i="7"/>
  <c r="B51" i="7"/>
  <c r="B47" i="16" s="1"/>
  <c r="B55" i="18" s="1"/>
  <c r="S50" i="7"/>
  <c r="BC46" i="16" s="1"/>
  <c r="T54" i="18" s="1"/>
  <c r="U54" i="18" s="1"/>
  <c r="O50" i="7"/>
  <c r="P46" i="16" s="1"/>
  <c r="N50" i="7"/>
  <c r="M50" i="7"/>
  <c r="N46" i="16" s="1"/>
  <c r="G50" i="7"/>
  <c r="D50" i="7"/>
  <c r="B50" i="7"/>
  <c r="B46" i="16" s="1"/>
  <c r="B54" i="18" s="1"/>
  <c r="S49" i="7"/>
  <c r="BC45" i="16" s="1"/>
  <c r="T53" i="18" s="1"/>
  <c r="U53" i="18" s="1"/>
  <c r="G49" i="7"/>
  <c r="D49" i="7"/>
  <c r="B49" i="7"/>
  <c r="B45" i="16" s="1"/>
  <c r="B53" i="18" s="1"/>
  <c r="S48" i="7"/>
  <c r="BC44" i="16" s="1"/>
  <c r="T52" i="18" s="1"/>
  <c r="U52" i="18" s="1"/>
  <c r="G48" i="7"/>
  <c r="D48" i="7"/>
  <c r="B48" i="7"/>
  <c r="B44" i="16" s="1"/>
  <c r="B52" i="18" s="1"/>
  <c r="S47" i="7"/>
  <c r="BC43" i="16" s="1"/>
  <c r="T51" i="18" s="1"/>
  <c r="U51" i="18" s="1"/>
  <c r="G47" i="7"/>
  <c r="D47" i="7"/>
  <c r="B47" i="7"/>
  <c r="B43" i="16" s="1"/>
  <c r="B51" i="18" s="1"/>
  <c r="S46" i="7"/>
  <c r="BC42" i="16" s="1"/>
  <c r="T50" i="18" s="1"/>
  <c r="U50" i="18" s="1"/>
  <c r="O46" i="7"/>
  <c r="P42" i="16" s="1"/>
  <c r="N46" i="7"/>
  <c r="M46" i="7"/>
  <c r="N42" i="16" s="1"/>
  <c r="G46" i="7"/>
  <c r="D46" i="7"/>
  <c r="B46" i="7"/>
  <c r="B42" i="16" s="1"/>
  <c r="B50" i="18" s="1"/>
  <c r="S45" i="7"/>
  <c r="BC41" i="16" s="1"/>
  <c r="T49" i="18" s="1"/>
  <c r="U49" i="18" s="1"/>
  <c r="G45" i="7"/>
  <c r="D45" i="7"/>
  <c r="B45" i="7"/>
  <c r="B41" i="16" s="1"/>
  <c r="B49" i="18" s="1"/>
  <c r="Y44" i="7"/>
  <c r="S43" i="7"/>
  <c r="BC39" i="16" s="1"/>
  <c r="T47" i="18" s="1"/>
  <c r="U47" i="18" s="1"/>
  <c r="O43" i="7"/>
  <c r="P39" i="16" s="1"/>
  <c r="N43" i="7"/>
  <c r="M43" i="7"/>
  <c r="N39" i="16" s="1"/>
  <c r="G43" i="7"/>
  <c r="D43" i="7"/>
  <c r="B43" i="7"/>
  <c r="B39" i="16" s="1"/>
  <c r="B47" i="18" s="1"/>
  <c r="S42" i="7"/>
  <c r="BC38" i="16" s="1"/>
  <c r="T46" i="18" s="1"/>
  <c r="U46" i="18" s="1"/>
  <c r="O42" i="7"/>
  <c r="P38" i="16" s="1"/>
  <c r="N42" i="7"/>
  <c r="M42" i="7"/>
  <c r="N38" i="16" s="1"/>
  <c r="G42" i="7"/>
  <c r="D42" i="7"/>
  <c r="B42" i="7"/>
  <c r="B38" i="16" s="1"/>
  <c r="B46" i="18" s="1"/>
  <c r="S41" i="7"/>
  <c r="BC37" i="16" s="1"/>
  <c r="T45" i="18" s="1"/>
  <c r="U45" i="18" s="1"/>
  <c r="O41" i="7"/>
  <c r="P37" i="16" s="1"/>
  <c r="N41" i="7"/>
  <c r="M41" i="7"/>
  <c r="N37" i="16" s="1"/>
  <c r="G41" i="7"/>
  <c r="D41" i="7"/>
  <c r="B41" i="7"/>
  <c r="B37" i="16" s="1"/>
  <c r="B45" i="18" s="1"/>
  <c r="S40" i="7"/>
  <c r="BC36" i="16" s="1"/>
  <c r="T44" i="18" s="1"/>
  <c r="U44" i="18" s="1"/>
  <c r="O40" i="7"/>
  <c r="P36" i="16" s="1"/>
  <c r="N40" i="7"/>
  <c r="M40" i="7"/>
  <c r="N36" i="16" s="1"/>
  <c r="G40" i="7"/>
  <c r="D40" i="7"/>
  <c r="B40" i="7"/>
  <c r="B36" i="16" s="1"/>
  <c r="B44" i="18" s="1"/>
  <c r="S39" i="7"/>
  <c r="BC35" i="16" s="1"/>
  <c r="T43" i="18" s="1"/>
  <c r="U43" i="18" s="1"/>
  <c r="O39" i="7"/>
  <c r="P35" i="16" s="1"/>
  <c r="N39" i="7"/>
  <c r="M39" i="7"/>
  <c r="N35" i="16" s="1"/>
  <c r="G39" i="7"/>
  <c r="D39" i="7"/>
  <c r="B39" i="7"/>
  <c r="B35" i="16" s="1"/>
  <c r="B43" i="18" s="1"/>
  <c r="S38" i="7"/>
  <c r="BC34" i="16" s="1"/>
  <c r="T42" i="18" s="1"/>
  <c r="U42" i="18" s="1"/>
  <c r="O38" i="7"/>
  <c r="P34" i="16" s="1"/>
  <c r="N38" i="7"/>
  <c r="M38" i="7"/>
  <c r="N34" i="16" s="1"/>
  <c r="G38" i="7"/>
  <c r="D38" i="7"/>
  <c r="B38" i="7"/>
  <c r="B34" i="16" s="1"/>
  <c r="B42" i="18" s="1"/>
  <c r="S37" i="7"/>
  <c r="BC33" i="16" s="1"/>
  <c r="T41" i="18" s="1"/>
  <c r="U41" i="18" s="1"/>
  <c r="O37" i="7"/>
  <c r="P33" i="16" s="1"/>
  <c r="N37" i="7"/>
  <c r="M37" i="7"/>
  <c r="N33" i="16" s="1"/>
  <c r="G37" i="7"/>
  <c r="D37" i="7"/>
  <c r="B37" i="7"/>
  <c r="B33" i="16" s="1"/>
  <c r="B41" i="18" s="1"/>
  <c r="S36" i="7"/>
  <c r="BC32" i="16" s="1"/>
  <c r="T40" i="18" s="1"/>
  <c r="U40" i="18" s="1"/>
  <c r="O36" i="7"/>
  <c r="P32" i="16" s="1"/>
  <c r="N36" i="7"/>
  <c r="M36" i="7"/>
  <c r="N32" i="16" s="1"/>
  <c r="G36" i="7"/>
  <c r="D36" i="7"/>
  <c r="B36" i="7"/>
  <c r="B32" i="16" s="1"/>
  <c r="B40" i="18" s="1"/>
  <c r="S35" i="7"/>
  <c r="BC31" i="16" s="1"/>
  <c r="T39" i="18" s="1"/>
  <c r="U39" i="18" s="1"/>
  <c r="O35" i="7"/>
  <c r="P31" i="16" s="1"/>
  <c r="N35" i="7"/>
  <c r="M35" i="7"/>
  <c r="N31" i="16" s="1"/>
  <c r="G35" i="7"/>
  <c r="D35" i="7"/>
  <c r="B35" i="7"/>
  <c r="B31" i="16" s="1"/>
  <c r="B39" i="18" s="1"/>
  <c r="S34" i="7"/>
  <c r="BC30" i="16" s="1"/>
  <c r="T38" i="18" s="1"/>
  <c r="U38" i="18" s="1"/>
  <c r="O34" i="7"/>
  <c r="P30" i="16" s="1"/>
  <c r="N34" i="7"/>
  <c r="M34" i="7"/>
  <c r="G34" i="7"/>
  <c r="D34" i="7"/>
  <c r="B34" i="7"/>
  <c r="B30" i="16" s="1"/>
  <c r="B38" i="18" s="1"/>
  <c r="S33" i="7"/>
  <c r="BC29" i="16" s="1"/>
  <c r="T37" i="18" s="1"/>
  <c r="U37" i="18" s="1"/>
  <c r="O33" i="7"/>
  <c r="P29" i="16" s="1"/>
  <c r="N33" i="7"/>
  <c r="M33" i="7"/>
  <c r="G33" i="7"/>
  <c r="D33" i="7"/>
  <c r="B33" i="7"/>
  <c r="B29" i="16" s="1"/>
  <c r="B37" i="18" s="1"/>
  <c r="S32" i="7"/>
  <c r="BC28" i="16" s="1"/>
  <c r="T36" i="18" s="1"/>
  <c r="U36" i="18" s="1"/>
  <c r="O32" i="7"/>
  <c r="P28" i="16" s="1"/>
  <c r="N32" i="7"/>
  <c r="M32" i="7"/>
  <c r="G32" i="7"/>
  <c r="D32" i="7"/>
  <c r="B32" i="7"/>
  <c r="B28" i="16" s="1"/>
  <c r="B36" i="18" s="1"/>
  <c r="S31" i="7"/>
  <c r="BC27" i="16" s="1"/>
  <c r="T35" i="18" s="1"/>
  <c r="U35" i="18" s="1"/>
  <c r="O31" i="7"/>
  <c r="P27" i="16" s="1"/>
  <c r="N31" i="7"/>
  <c r="M31" i="7"/>
  <c r="N27" i="16" s="1"/>
  <c r="G31" i="7"/>
  <c r="D31" i="7"/>
  <c r="B31" i="7"/>
  <c r="B27" i="16" s="1"/>
  <c r="B35" i="18" s="1"/>
  <c r="B30" i="7"/>
  <c r="A28" i="7"/>
  <c r="S27" i="7"/>
  <c r="BC26" i="16" s="1"/>
  <c r="T34" i="18" s="1"/>
  <c r="U34" i="18" s="1"/>
  <c r="O27" i="7"/>
  <c r="P26" i="16" s="1"/>
  <c r="N27" i="7"/>
  <c r="M27" i="7"/>
  <c r="G27" i="7"/>
  <c r="D27" i="7"/>
  <c r="C27" i="7"/>
  <c r="B27" i="7"/>
  <c r="B26" i="16" s="1"/>
  <c r="B34" i="18" s="1"/>
  <c r="S26" i="7"/>
  <c r="BC25" i="16" s="1"/>
  <c r="T33" i="18" s="1"/>
  <c r="U33" i="18" s="1"/>
  <c r="O26" i="7"/>
  <c r="P25" i="16" s="1"/>
  <c r="N26" i="7"/>
  <c r="M26" i="7"/>
  <c r="N25" i="16" s="1"/>
  <c r="G26" i="7"/>
  <c r="D26" i="7"/>
  <c r="C26" i="7"/>
  <c r="B26" i="7"/>
  <c r="B25" i="16" s="1"/>
  <c r="B33" i="18" s="1"/>
  <c r="S25" i="7"/>
  <c r="BC24" i="16" s="1"/>
  <c r="T32" i="18" s="1"/>
  <c r="U32" i="18" s="1"/>
  <c r="O25" i="7"/>
  <c r="P24" i="16" s="1"/>
  <c r="N25" i="7"/>
  <c r="M25" i="7"/>
  <c r="N24" i="16" s="1"/>
  <c r="G25" i="7"/>
  <c r="D25" i="7"/>
  <c r="C25" i="7"/>
  <c r="B25" i="7"/>
  <c r="B24" i="16" s="1"/>
  <c r="B32" i="18" s="1"/>
  <c r="S24" i="7"/>
  <c r="BC23" i="16" s="1"/>
  <c r="T31" i="18" s="1"/>
  <c r="U31" i="18" s="1"/>
  <c r="O24" i="7"/>
  <c r="P23" i="16" s="1"/>
  <c r="N24" i="7"/>
  <c r="M24" i="7"/>
  <c r="N23" i="16" s="1"/>
  <c r="G24" i="7"/>
  <c r="D24" i="7"/>
  <c r="C24" i="7"/>
  <c r="B24" i="7"/>
  <c r="B23" i="16" s="1"/>
  <c r="B31" i="18" s="1"/>
  <c r="S23" i="7"/>
  <c r="BC22" i="16" s="1"/>
  <c r="T30" i="18" s="1"/>
  <c r="U30" i="18" s="1"/>
  <c r="G23" i="7"/>
  <c r="D23" i="7"/>
  <c r="C23" i="7"/>
  <c r="B23" i="7"/>
  <c r="B22" i="16" s="1"/>
  <c r="B30" i="18" s="1"/>
  <c r="S22" i="7"/>
  <c r="BC21" i="16" s="1"/>
  <c r="T29" i="18" s="1"/>
  <c r="U29" i="18" s="1"/>
  <c r="G22" i="7"/>
  <c r="D22" i="7"/>
  <c r="C22" i="7"/>
  <c r="B22" i="7"/>
  <c r="B21" i="16" s="1"/>
  <c r="B29" i="18" s="1"/>
  <c r="S21" i="7"/>
  <c r="BC20" i="16" s="1"/>
  <c r="T28" i="18" s="1"/>
  <c r="U28" i="18" s="1"/>
  <c r="O21" i="7"/>
  <c r="P20" i="16" s="1"/>
  <c r="N21" i="7"/>
  <c r="M21" i="7"/>
  <c r="G21" i="7"/>
  <c r="D21" i="7"/>
  <c r="C21" i="7"/>
  <c r="B21" i="7"/>
  <c r="B20" i="16" s="1"/>
  <c r="B28" i="18" s="1"/>
  <c r="S20" i="7"/>
  <c r="BC19" i="16" s="1"/>
  <c r="T27" i="18" s="1"/>
  <c r="U27" i="18" s="1"/>
  <c r="O20" i="7"/>
  <c r="P19" i="16" s="1"/>
  <c r="N20" i="7"/>
  <c r="M20" i="7"/>
  <c r="G20" i="7"/>
  <c r="D20" i="7"/>
  <c r="C20" i="7"/>
  <c r="B20" i="7"/>
  <c r="B19" i="16" s="1"/>
  <c r="B27" i="18" s="1"/>
  <c r="S19" i="7"/>
  <c r="BC18" i="16" s="1"/>
  <c r="T26" i="18" s="1"/>
  <c r="U26" i="18" s="1"/>
  <c r="O19" i="7"/>
  <c r="P18" i="16" s="1"/>
  <c r="N19" i="7"/>
  <c r="M19" i="7"/>
  <c r="G19" i="7"/>
  <c r="D19" i="7"/>
  <c r="C19" i="7"/>
  <c r="B19" i="7"/>
  <c r="B18" i="16" s="1"/>
  <c r="B26" i="18" s="1"/>
  <c r="S18" i="7"/>
  <c r="BC17" i="16" s="1"/>
  <c r="T25" i="18" s="1"/>
  <c r="U25" i="18" s="1"/>
  <c r="O18" i="7"/>
  <c r="P17" i="16" s="1"/>
  <c r="N18" i="7"/>
  <c r="M18" i="7"/>
  <c r="G18" i="7"/>
  <c r="D18" i="7"/>
  <c r="C18" i="7"/>
  <c r="B18" i="7"/>
  <c r="B17" i="16" s="1"/>
  <c r="B25" i="18" s="1"/>
  <c r="S17" i="7"/>
  <c r="BC16" i="16" s="1"/>
  <c r="T24" i="18" s="1"/>
  <c r="U24" i="18" s="1"/>
  <c r="O17" i="7"/>
  <c r="P16" i="16" s="1"/>
  <c r="N17" i="7"/>
  <c r="M17" i="7"/>
  <c r="G17" i="7"/>
  <c r="D17" i="7"/>
  <c r="C17" i="7"/>
  <c r="B17" i="7"/>
  <c r="B16" i="16" s="1"/>
  <c r="B24" i="18" s="1"/>
  <c r="S16" i="7"/>
  <c r="BC15" i="16" s="1"/>
  <c r="T23" i="18" s="1"/>
  <c r="U23" i="18" s="1"/>
  <c r="O16" i="7"/>
  <c r="P15" i="16" s="1"/>
  <c r="N16" i="7"/>
  <c r="M16" i="7"/>
  <c r="G16" i="7"/>
  <c r="D16" i="7"/>
  <c r="C16" i="7"/>
  <c r="B16" i="7"/>
  <c r="B15" i="16" s="1"/>
  <c r="B23" i="18" s="1"/>
  <c r="S15" i="7"/>
  <c r="BC14" i="16" s="1"/>
  <c r="T22" i="18" s="1"/>
  <c r="U22" i="18" s="1"/>
  <c r="O15" i="7"/>
  <c r="P14" i="16" s="1"/>
  <c r="N15" i="7"/>
  <c r="M15" i="7"/>
  <c r="G15" i="7"/>
  <c r="D15" i="7"/>
  <c r="C15" i="7"/>
  <c r="B15" i="7"/>
  <c r="B14" i="16" s="1"/>
  <c r="B22" i="18" s="1"/>
  <c r="S14" i="7"/>
  <c r="BC13" i="16" s="1"/>
  <c r="T21" i="18" s="1"/>
  <c r="U21" i="18" s="1"/>
  <c r="O14" i="7"/>
  <c r="P13" i="16" s="1"/>
  <c r="N14" i="7"/>
  <c r="M14" i="7"/>
  <c r="G14" i="7"/>
  <c r="D14" i="7"/>
  <c r="C14" i="7"/>
  <c r="B14" i="7"/>
  <c r="B13" i="16" s="1"/>
  <c r="B21" i="18" s="1"/>
  <c r="S13" i="7"/>
  <c r="BC12" i="16" s="1"/>
  <c r="T20" i="18" s="1"/>
  <c r="U20" i="18" s="1"/>
  <c r="O13" i="7"/>
  <c r="P12" i="16" s="1"/>
  <c r="N13" i="7"/>
  <c r="M13" i="7"/>
  <c r="G13" i="7"/>
  <c r="D13" i="7"/>
  <c r="C13" i="7"/>
  <c r="B13" i="7"/>
  <c r="B12" i="16" s="1"/>
  <c r="B20" i="18" s="1"/>
  <c r="S12" i="7"/>
  <c r="BC11" i="16" s="1"/>
  <c r="T19" i="18" s="1"/>
  <c r="U19" i="18" s="1"/>
  <c r="O12" i="7"/>
  <c r="P11" i="16" s="1"/>
  <c r="N12" i="7"/>
  <c r="M12" i="7"/>
  <c r="G12" i="7"/>
  <c r="D12" i="7"/>
  <c r="C12" i="7"/>
  <c r="B12" i="7"/>
  <c r="B11" i="16" s="1"/>
  <c r="B19" i="18" s="1"/>
  <c r="S11" i="7"/>
  <c r="BC10" i="16" s="1"/>
  <c r="T18" i="18" s="1"/>
  <c r="U18" i="18" s="1"/>
  <c r="O11" i="7"/>
  <c r="P10" i="16" s="1"/>
  <c r="N11" i="7"/>
  <c r="M11" i="7"/>
  <c r="N10" i="16" s="1"/>
  <c r="G11" i="7"/>
  <c r="D11" i="7"/>
  <c r="C11" i="7"/>
  <c r="B11" i="7"/>
  <c r="B10" i="16" s="1"/>
  <c r="B18" i="18" s="1"/>
  <c r="S10" i="7"/>
  <c r="BC9" i="16" s="1"/>
  <c r="T17" i="18" s="1"/>
  <c r="U17" i="18" s="1"/>
  <c r="O10" i="7"/>
  <c r="P9" i="16" s="1"/>
  <c r="N10" i="7"/>
  <c r="M10" i="7"/>
  <c r="N9" i="16" s="1"/>
  <c r="G10" i="7"/>
  <c r="D10" i="7"/>
  <c r="C10" i="7"/>
  <c r="B10" i="7"/>
  <c r="B9" i="16" s="1"/>
  <c r="B17" i="18" s="1"/>
  <c r="S9" i="7"/>
  <c r="BC8" i="16" s="1"/>
  <c r="T16" i="18" s="1"/>
  <c r="U16" i="18" s="1"/>
  <c r="O9" i="7"/>
  <c r="P8" i="16" s="1"/>
  <c r="N9" i="7"/>
  <c r="M9" i="7"/>
  <c r="N8" i="16" s="1"/>
  <c r="G9" i="7"/>
  <c r="D9" i="7"/>
  <c r="C9" i="7"/>
  <c r="B9" i="7"/>
  <c r="B8" i="16" s="1"/>
  <c r="B16" i="18" s="1"/>
  <c r="S8" i="7"/>
  <c r="BC7" i="16" s="1"/>
  <c r="T15" i="18" s="1"/>
  <c r="U15" i="18" s="1"/>
  <c r="O8" i="7"/>
  <c r="P7" i="16" s="1"/>
  <c r="N8" i="7"/>
  <c r="N7" i="16"/>
  <c r="G8" i="7"/>
  <c r="D8" i="7"/>
  <c r="C8" i="7"/>
  <c r="B8" i="7"/>
  <c r="B7" i="16" s="1"/>
  <c r="B15" i="18" s="1"/>
  <c r="S7" i="7"/>
  <c r="BC6" i="16" s="1"/>
  <c r="T14" i="18" s="1"/>
  <c r="U14" i="18" s="1"/>
  <c r="O7" i="7"/>
  <c r="P6" i="16" s="1"/>
  <c r="N7" i="7"/>
  <c r="M7" i="7"/>
  <c r="G7" i="7"/>
  <c r="D7" i="7"/>
  <c r="C7" i="7"/>
  <c r="B7" i="7"/>
  <c r="B6" i="16" s="1"/>
  <c r="B14" i="18" s="1"/>
  <c r="B6" i="7"/>
  <c r="B5" i="10" s="1"/>
  <c r="A6" i="7"/>
  <c r="F160" i="13"/>
  <c r="F159" i="13"/>
  <c r="J115" i="13"/>
  <c r="K115" i="13" s="1"/>
  <c r="L115" i="13" s="1"/>
  <c r="K87" i="13"/>
  <c r="L87" i="13" s="1"/>
  <c r="J87" i="13"/>
  <c r="J81" i="13"/>
  <c r="K81" i="13" s="1"/>
  <c r="L81" i="13" s="1"/>
  <c r="J77" i="13"/>
  <c r="J74" i="13"/>
  <c r="K74" i="13" s="1"/>
  <c r="L74" i="13" s="1"/>
  <c r="H74" i="13"/>
  <c r="K73" i="13"/>
  <c r="L73" i="13" s="1"/>
  <c r="J73" i="13"/>
  <c r="H73" i="13"/>
  <c r="J71" i="13"/>
  <c r="K71" i="13" s="1"/>
  <c r="L71" i="13" s="1"/>
  <c r="H71" i="13"/>
  <c r="L70" i="13"/>
  <c r="K70" i="13"/>
  <c r="J70" i="13"/>
  <c r="H70" i="13"/>
  <c r="J69" i="13"/>
  <c r="K69" i="13" s="1"/>
  <c r="L69" i="13" s="1"/>
  <c r="H69" i="13"/>
  <c r="K68" i="13"/>
  <c r="L68" i="13" s="1"/>
  <c r="J68" i="13"/>
  <c r="H68" i="13"/>
  <c r="J67" i="13"/>
  <c r="K67" i="13" s="1"/>
  <c r="L67" i="13" s="1"/>
  <c r="H67" i="13"/>
  <c r="J66" i="13"/>
  <c r="K66" i="13" s="1"/>
  <c r="L66" i="13" s="1"/>
  <c r="H66" i="13"/>
  <c r="H65" i="13"/>
  <c r="H64" i="13"/>
  <c r="J63" i="13"/>
  <c r="K63" i="13" s="1"/>
  <c r="L63" i="13" s="1"/>
  <c r="H63" i="13"/>
  <c r="K62" i="13"/>
  <c r="L62" i="13" s="1"/>
  <c r="J62" i="13"/>
  <c r="H62" i="13"/>
  <c r="H61" i="13"/>
  <c r="M60" i="13"/>
  <c r="O60" i="13" s="1"/>
  <c r="K60" i="13"/>
  <c r="L60" i="13" s="1"/>
  <c r="N60" i="13" s="1"/>
  <c r="P60" i="13" s="1"/>
  <c r="J60" i="13"/>
  <c r="H60" i="13"/>
  <c r="J59" i="13"/>
  <c r="K59" i="13" s="1"/>
  <c r="L59" i="13" s="1"/>
  <c r="H59" i="13"/>
  <c r="O58" i="13"/>
  <c r="N58" i="13"/>
  <c r="P58" i="13" s="1"/>
  <c r="J58" i="13"/>
  <c r="K58" i="13" s="1"/>
  <c r="L58" i="13" s="1"/>
  <c r="M58" i="13" s="1"/>
  <c r="H58" i="13"/>
  <c r="L57" i="13"/>
  <c r="N57" i="13" s="1"/>
  <c r="P57" i="13" s="1"/>
  <c r="K57" i="13"/>
  <c r="J57" i="13"/>
  <c r="H57" i="13"/>
  <c r="L56" i="13"/>
  <c r="N56" i="13" s="1"/>
  <c r="P56" i="13" s="1"/>
  <c r="J56" i="13"/>
  <c r="K56" i="13" s="1"/>
  <c r="H56" i="13"/>
  <c r="J55" i="13"/>
  <c r="K55" i="13" s="1"/>
  <c r="L55" i="13" s="1"/>
  <c r="H55" i="13"/>
  <c r="L53" i="13"/>
  <c r="N53" i="13" s="1"/>
  <c r="P53" i="13" s="1"/>
  <c r="K53" i="13"/>
  <c r="J53" i="13"/>
  <c r="H53" i="13"/>
  <c r="K52" i="13"/>
  <c r="L52" i="13" s="1"/>
  <c r="J52" i="13"/>
  <c r="H52" i="13"/>
  <c r="J51" i="13"/>
  <c r="K51" i="13" s="1"/>
  <c r="L51" i="13" s="1"/>
  <c r="H51" i="13"/>
  <c r="J50" i="13"/>
  <c r="K50" i="13" s="1"/>
  <c r="L50" i="13" s="1"/>
  <c r="H50" i="13"/>
  <c r="M49" i="13"/>
  <c r="O49" i="13" s="1"/>
  <c r="L49" i="13"/>
  <c r="N49" i="13" s="1"/>
  <c r="P49" i="13" s="1"/>
  <c r="J49" i="13"/>
  <c r="K49" i="13" s="1"/>
  <c r="H49" i="13"/>
  <c r="J48" i="13"/>
  <c r="K48" i="13" s="1"/>
  <c r="L48" i="13" s="1"/>
  <c r="H48" i="13"/>
  <c r="H47" i="13"/>
  <c r="K46" i="13"/>
  <c r="L46" i="13" s="1"/>
  <c r="J46" i="13"/>
  <c r="H46" i="13"/>
  <c r="K45" i="13"/>
  <c r="L45" i="13" s="1"/>
  <c r="J45" i="13"/>
  <c r="H45" i="13"/>
  <c r="K44" i="13"/>
  <c r="L44" i="13" s="1"/>
  <c r="J44" i="13"/>
  <c r="H44" i="13"/>
  <c r="K42" i="13"/>
  <c r="L42" i="13" s="1"/>
  <c r="J42" i="13"/>
  <c r="H42" i="13"/>
  <c r="J41" i="13"/>
  <c r="K41" i="13" s="1"/>
  <c r="L41" i="13" s="1"/>
  <c r="H41" i="13"/>
  <c r="P40" i="13"/>
  <c r="N40" i="13"/>
  <c r="J40" i="13"/>
  <c r="K40" i="13" s="1"/>
  <c r="L40" i="13" s="1"/>
  <c r="M40" i="13" s="1"/>
  <c r="O40" i="13" s="1"/>
  <c r="H40" i="13"/>
  <c r="J39" i="13"/>
  <c r="K39" i="13" s="1"/>
  <c r="L39" i="13" s="1"/>
  <c r="M39" i="13" s="1"/>
  <c r="O39" i="13" s="1"/>
  <c r="Q39" i="13" s="1"/>
  <c r="H39" i="13"/>
  <c r="K38" i="13"/>
  <c r="L38" i="13" s="1"/>
  <c r="J38" i="13"/>
  <c r="H38" i="13"/>
  <c r="L37" i="13"/>
  <c r="J37" i="13"/>
  <c r="K37" i="13" s="1"/>
  <c r="H37" i="13"/>
  <c r="H36" i="13"/>
  <c r="J35" i="13"/>
  <c r="K35" i="13" s="1"/>
  <c r="L35" i="13" s="1"/>
  <c r="H35" i="13"/>
  <c r="J34" i="13"/>
  <c r="K34" i="13" s="1"/>
  <c r="L34" i="13" s="1"/>
  <c r="H34" i="13"/>
  <c r="J33" i="13"/>
  <c r="K33" i="13" s="1"/>
  <c r="L33" i="13" s="1"/>
  <c r="M33" i="13" s="1"/>
  <c r="O33" i="13" s="1"/>
  <c r="H33" i="13"/>
  <c r="J32" i="13"/>
  <c r="K32" i="13" s="1"/>
  <c r="L32" i="13" s="1"/>
  <c r="H32" i="13"/>
  <c r="J31" i="13"/>
  <c r="K31" i="13" s="1"/>
  <c r="L31" i="13" s="1"/>
  <c r="M31" i="13" s="1"/>
  <c r="O31" i="13" s="1"/>
  <c r="H31" i="13"/>
  <c r="H30" i="13"/>
  <c r="H29" i="13"/>
  <c r="H28" i="13"/>
  <c r="K27" i="13"/>
  <c r="L27" i="13" s="1"/>
  <c r="J27" i="13"/>
  <c r="H27" i="13"/>
  <c r="J26" i="13"/>
  <c r="K26" i="13" s="1"/>
  <c r="L26" i="13" s="1"/>
  <c r="N26" i="13" s="1"/>
  <c r="P26" i="13" s="1"/>
  <c r="X42" i="13" s="1"/>
  <c r="AC27" i="7" s="1"/>
  <c r="V26" i="16" s="1"/>
  <c r="H26" i="13"/>
  <c r="J25" i="13"/>
  <c r="K25" i="13" s="1"/>
  <c r="L25" i="13" s="1"/>
  <c r="H25" i="13"/>
  <c r="J24" i="13"/>
  <c r="K24" i="13" s="1"/>
  <c r="L24" i="13" s="1"/>
  <c r="H24" i="13"/>
  <c r="K23" i="13"/>
  <c r="L23" i="13" s="1"/>
  <c r="N23" i="13" s="1"/>
  <c r="P23" i="13" s="1"/>
  <c r="J23" i="13"/>
  <c r="H23" i="13"/>
  <c r="M22" i="13"/>
  <c r="O22" i="13" s="1"/>
  <c r="L22" i="13"/>
  <c r="N22" i="13" s="1"/>
  <c r="P22" i="13" s="1"/>
  <c r="J22" i="13"/>
  <c r="K22" i="13" s="1"/>
  <c r="H22" i="13"/>
  <c r="Z21" i="13"/>
  <c r="W21" i="13"/>
  <c r="J21" i="13"/>
  <c r="K21" i="13" s="1"/>
  <c r="L21" i="13" s="1"/>
  <c r="H21" i="13"/>
  <c r="H20" i="13"/>
  <c r="K19" i="13"/>
  <c r="L19" i="13" s="1"/>
  <c r="J19" i="13"/>
  <c r="H19" i="13"/>
  <c r="J18" i="13"/>
  <c r="K18" i="13" s="1"/>
  <c r="L18" i="13" s="1"/>
  <c r="H18" i="13"/>
  <c r="H17" i="13"/>
  <c r="J16" i="13"/>
  <c r="K16" i="13" s="1"/>
  <c r="L16" i="13" s="1"/>
  <c r="H16" i="13"/>
  <c r="J15" i="13"/>
  <c r="K15" i="13" s="1"/>
  <c r="L15" i="13" s="1"/>
  <c r="M15" i="13" s="1"/>
  <c r="O15" i="13" s="1"/>
  <c r="H15" i="13"/>
  <c r="O13" i="13"/>
  <c r="N13" i="13"/>
  <c r="P13" i="13" s="1"/>
  <c r="J13" i="13"/>
  <c r="K13" i="13" s="1"/>
  <c r="L13" i="13" s="1"/>
  <c r="M13" i="13" s="1"/>
  <c r="H13" i="13"/>
  <c r="N12" i="13"/>
  <c r="P12" i="13" s="1"/>
  <c r="M12" i="13"/>
  <c r="O12" i="13" s="1"/>
  <c r="J12" i="13"/>
  <c r="K12" i="13" s="1"/>
  <c r="L12" i="13" s="1"/>
  <c r="H12" i="13"/>
  <c r="M11" i="13"/>
  <c r="O11" i="13" s="1"/>
  <c r="L11" i="13"/>
  <c r="N11" i="13" s="1"/>
  <c r="P11" i="13" s="1"/>
  <c r="J11" i="13"/>
  <c r="K11" i="13" s="1"/>
  <c r="H11" i="13"/>
  <c r="O10" i="13"/>
  <c r="N10" i="13"/>
  <c r="P10" i="13" s="1"/>
  <c r="J10" i="13"/>
  <c r="K10" i="13" s="1"/>
  <c r="L10" i="13" s="1"/>
  <c r="M10" i="13" s="1"/>
  <c r="H10" i="13"/>
  <c r="L9" i="13"/>
  <c r="N9" i="13" s="1"/>
  <c r="P9" i="13" s="1"/>
  <c r="K9" i="13"/>
  <c r="J9" i="13"/>
  <c r="H9" i="13"/>
  <c r="M8" i="13"/>
  <c r="O8" i="13" s="1"/>
  <c r="L8" i="13"/>
  <c r="N8" i="13" s="1"/>
  <c r="P8" i="13" s="1"/>
  <c r="J8" i="13"/>
  <c r="K8" i="13" s="1"/>
  <c r="H8" i="13"/>
  <c r="J7" i="13"/>
  <c r="K7" i="13" s="1"/>
  <c r="L7" i="13" s="1"/>
  <c r="M7" i="13" s="1"/>
  <c r="O7" i="13" s="1"/>
  <c r="H7" i="13"/>
  <c r="H6" i="13"/>
  <c r="K5" i="13"/>
  <c r="L5" i="13" s="1"/>
  <c r="N5" i="13" s="1"/>
  <c r="P5" i="13" s="1"/>
  <c r="J5" i="13"/>
  <c r="H5" i="13"/>
  <c r="K4" i="13"/>
  <c r="L4" i="13" s="1"/>
  <c r="J4" i="13"/>
  <c r="H4" i="13"/>
  <c r="J1" i="13"/>
  <c r="J61" i="13" s="1"/>
  <c r="K61" i="13" s="1"/>
  <c r="L61" i="13" s="1"/>
  <c r="K125" i="12"/>
  <c r="K124" i="12"/>
  <c r="S123" i="12"/>
  <c r="T123" i="12" s="1"/>
  <c r="K123" i="12"/>
  <c r="S122" i="12"/>
  <c r="P122" i="12"/>
  <c r="P123" i="12" s="1"/>
  <c r="Q123" i="12" s="1"/>
  <c r="M122" i="12"/>
  <c r="M123" i="12" s="1"/>
  <c r="N123" i="12" s="1"/>
  <c r="K122" i="12"/>
  <c r="K120" i="12"/>
  <c r="K119" i="12"/>
  <c r="K118" i="12"/>
  <c r="K117" i="12"/>
  <c r="K116" i="12"/>
  <c r="K115" i="12"/>
  <c r="K112" i="12"/>
  <c r="N111" i="12"/>
  <c r="M111" i="12"/>
  <c r="K111" i="12"/>
  <c r="K110" i="12"/>
  <c r="K109" i="12"/>
  <c r="K108" i="12"/>
  <c r="K106" i="12"/>
  <c r="K105" i="12"/>
  <c r="K104" i="12"/>
  <c r="N103" i="12"/>
  <c r="M103" i="12"/>
  <c r="K103" i="12"/>
  <c r="K102" i="12"/>
  <c r="K95" i="12"/>
  <c r="K94" i="12"/>
  <c r="N93" i="12"/>
  <c r="M93" i="12"/>
  <c r="K93" i="12"/>
  <c r="N92" i="12"/>
  <c r="M92" i="12"/>
  <c r="K92" i="12"/>
  <c r="N91" i="12"/>
  <c r="M91" i="12"/>
  <c r="K91" i="12"/>
  <c r="K90" i="12"/>
  <c r="N88" i="12"/>
  <c r="M88" i="12"/>
  <c r="K88" i="12"/>
  <c r="N87" i="12"/>
  <c r="M87" i="12"/>
  <c r="K87" i="12"/>
  <c r="N86" i="12"/>
  <c r="M86" i="12"/>
  <c r="K86" i="12"/>
  <c r="K85" i="12"/>
  <c r="N84" i="12"/>
  <c r="M84" i="12"/>
  <c r="K84" i="12"/>
  <c r="I76" i="12"/>
  <c r="I75" i="12"/>
  <c r="I74" i="12"/>
  <c r="I73" i="12"/>
  <c r="I72" i="12"/>
  <c r="I71" i="12"/>
  <c r="I70" i="12"/>
  <c r="N69" i="12"/>
  <c r="M69" i="12"/>
  <c r="I69" i="12"/>
  <c r="I68" i="12"/>
  <c r="I67" i="12"/>
  <c r="I66" i="12"/>
  <c r="I64" i="12"/>
  <c r="N63" i="12"/>
  <c r="M63" i="12"/>
  <c r="I63" i="12"/>
  <c r="I62" i="12"/>
  <c r="I61" i="12"/>
  <c r="I60" i="12"/>
  <c r="I59" i="12"/>
  <c r="I58" i="12"/>
  <c r="I57" i="12"/>
  <c r="X56" i="12"/>
  <c r="O56" i="12"/>
  <c r="I56" i="12"/>
  <c r="X55" i="12"/>
  <c r="I55" i="12"/>
  <c r="X54" i="12"/>
  <c r="I54" i="12"/>
  <c r="Y53" i="12"/>
  <c r="X53" i="12"/>
  <c r="I53" i="12"/>
  <c r="I51" i="12"/>
  <c r="X50" i="12"/>
  <c r="I50" i="12"/>
  <c r="X49" i="12"/>
  <c r="W49" i="12"/>
  <c r="V49" i="12"/>
  <c r="Y51" i="12" s="1"/>
  <c r="U49" i="12"/>
  <c r="T49" i="12"/>
  <c r="I49" i="12"/>
  <c r="N48" i="12"/>
  <c r="M48" i="12"/>
  <c r="P56" i="12" s="1"/>
  <c r="L48" i="12"/>
  <c r="K48" i="12"/>
  <c r="I48" i="12"/>
  <c r="I47" i="12"/>
  <c r="I46" i="12"/>
  <c r="I45" i="12"/>
  <c r="I44" i="12"/>
  <c r="I43" i="12"/>
  <c r="I42" i="12"/>
  <c r="I41" i="12"/>
  <c r="N40" i="12"/>
  <c r="M40" i="12"/>
  <c r="I40" i="12"/>
  <c r="I38" i="12"/>
  <c r="I37" i="12"/>
  <c r="I36" i="12"/>
  <c r="I35" i="12"/>
  <c r="I34" i="12"/>
  <c r="I33" i="12"/>
  <c r="I32" i="12"/>
  <c r="I31" i="12"/>
  <c r="I30" i="12"/>
  <c r="I29" i="12"/>
  <c r="N28" i="12"/>
  <c r="M28" i="12"/>
  <c r="I28" i="12"/>
  <c r="I27" i="12"/>
  <c r="I26" i="12"/>
  <c r="I25" i="12"/>
  <c r="I24" i="12"/>
  <c r="I23" i="12"/>
  <c r="I22" i="12"/>
  <c r="I21" i="12"/>
  <c r="I20" i="12"/>
  <c r="I19" i="12"/>
  <c r="I18" i="12"/>
  <c r="I17" i="12"/>
  <c r="N16" i="12"/>
  <c r="M16" i="12"/>
  <c r="I16" i="12"/>
  <c r="I15" i="12"/>
  <c r="I13" i="12"/>
  <c r="I12" i="12"/>
  <c r="I11" i="12"/>
  <c r="N10" i="12"/>
  <c r="M10" i="12"/>
  <c r="I10" i="12"/>
  <c r="I9" i="12"/>
  <c r="I8" i="12"/>
  <c r="I7" i="12"/>
  <c r="I6" i="12"/>
  <c r="I5" i="12"/>
  <c r="I4" i="12"/>
  <c r="I3" i="12"/>
  <c r="X547" i="14"/>
  <c r="Y547" i="14" s="1"/>
  <c r="X546" i="14"/>
  <c r="Y546" i="14" s="1"/>
  <c r="X545" i="14"/>
  <c r="Y545" i="14" s="1"/>
  <c r="Y544" i="14"/>
  <c r="X544" i="14"/>
  <c r="X543" i="14"/>
  <c r="Y543" i="14" s="1"/>
  <c r="X542" i="14"/>
  <c r="Y542" i="14" s="1"/>
  <c r="X541" i="14"/>
  <c r="X513" i="14"/>
  <c r="Y513" i="14" s="1"/>
  <c r="X512" i="14"/>
  <c r="Y512" i="14" s="1"/>
  <c r="X511" i="14"/>
  <c r="Y511" i="14" s="1"/>
  <c r="X510" i="14"/>
  <c r="Y510" i="14" s="1"/>
  <c r="X509" i="14"/>
  <c r="Y509" i="14" s="1"/>
  <c r="X508" i="14"/>
  <c r="Y508" i="14" s="1"/>
  <c r="X507" i="14"/>
  <c r="X480" i="14"/>
  <c r="Y480" i="14" s="1"/>
  <c r="X479" i="14"/>
  <c r="Y479" i="14" s="1"/>
  <c r="X478" i="14"/>
  <c r="Y478" i="14" s="1"/>
  <c r="Y477" i="14"/>
  <c r="X477" i="14"/>
  <c r="X476" i="14"/>
  <c r="Y476" i="14" s="1"/>
  <c r="Y475" i="14"/>
  <c r="X475" i="14"/>
  <c r="X474" i="14"/>
  <c r="X451" i="14"/>
  <c r="Y451" i="14" s="1"/>
  <c r="X450" i="14"/>
  <c r="Y450" i="14" s="1"/>
  <c r="Y449" i="14"/>
  <c r="X449" i="14"/>
  <c r="X448" i="14"/>
  <c r="Y448" i="14" s="1"/>
  <c r="Y447" i="14"/>
  <c r="X447" i="14"/>
  <c r="X446" i="14"/>
  <c r="Y446" i="14" s="1"/>
  <c r="X445" i="14"/>
  <c r="Y421" i="14"/>
  <c r="X421" i="14"/>
  <c r="Y420" i="14"/>
  <c r="X420" i="14"/>
  <c r="Y419" i="14"/>
  <c r="X419" i="14"/>
  <c r="X418" i="14"/>
  <c r="Y418" i="14" s="1"/>
  <c r="X417" i="14"/>
  <c r="Y417" i="14" s="1"/>
  <c r="X416" i="14"/>
  <c r="Y416" i="14" s="1"/>
  <c r="Y422" i="14" s="1"/>
  <c r="X415" i="14"/>
  <c r="Y389" i="14"/>
  <c r="X389" i="14"/>
  <c r="X388" i="14"/>
  <c r="Y388" i="14" s="1"/>
  <c r="X387" i="14"/>
  <c r="Y387" i="14" s="1"/>
  <c r="X386" i="14"/>
  <c r="Y386" i="14" s="1"/>
  <c r="X385" i="14"/>
  <c r="Y385" i="14" s="1"/>
  <c r="Y390" i="14" s="1"/>
  <c r="Y384" i="14"/>
  <c r="X384" i="14"/>
  <c r="X383" i="14"/>
  <c r="X359" i="14"/>
  <c r="Y359" i="14" s="1"/>
  <c r="Y358" i="14"/>
  <c r="X358" i="14"/>
  <c r="X357" i="14"/>
  <c r="Y357" i="14" s="1"/>
  <c r="X356" i="14"/>
  <c r="Y356" i="14" s="1"/>
  <c r="Y355" i="14"/>
  <c r="X355" i="14"/>
  <c r="X354" i="14"/>
  <c r="Y354" i="14" s="1"/>
  <c r="Y360" i="14" s="1"/>
  <c r="X353" i="14"/>
  <c r="Y326" i="14"/>
  <c r="X326" i="14"/>
  <c r="Y325" i="14"/>
  <c r="X325" i="14"/>
  <c r="Y324" i="14"/>
  <c r="X324" i="14"/>
  <c r="X323" i="14"/>
  <c r="Y323" i="14" s="1"/>
  <c r="X322" i="14"/>
  <c r="Y322" i="14" s="1"/>
  <c r="Y321" i="14"/>
  <c r="X321" i="14"/>
  <c r="X320" i="14"/>
  <c r="X291" i="14"/>
  <c r="Y291" i="14" s="1"/>
  <c r="X290" i="14"/>
  <c r="Y290" i="14" s="1"/>
  <c r="X289" i="14"/>
  <c r="Y289" i="14" s="1"/>
  <c r="X288" i="14"/>
  <c r="Y288" i="14" s="1"/>
  <c r="Y287" i="14"/>
  <c r="X287" i="14"/>
  <c r="X286" i="14"/>
  <c r="Y286" i="14" s="1"/>
  <c r="X285" i="14"/>
  <c r="AF258" i="14"/>
  <c r="AF257" i="14"/>
  <c r="AH257" i="14" s="1"/>
  <c r="AJ69" i="14" s="1"/>
  <c r="AF256" i="14"/>
  <c r="AF255" i="14"/>
  <c r="AH255" i="14" s="1"/>
  <c r="AI69" i="14" s="1"/>
  <c r="AF254" i="14"/>
  <c r="AF253" i="14"/>
  <c r="AH252" i="14" s="1"/>
  <c r="AH68" i="14" s="1"/>
  <c r="AF252" i="14"/>
  <c r="AF251" i="14"/>
  <c r="AF67" i="14" s="1"/>
  <c r="AF72" i="7" s="1"/>
  <c r="AF250" i="14"/>
  <c r="AF249" i="14"/>
  <c r="AH248" i="14"/>
  <c r="AH66" i="14" s="1"/>
  <c r="AF248" i="14"/>
  <c r="AF247" i="14"/>
  <c r="AH247" i="14" s="1"/>
  <c r="AJ65" i="14" s="1"/>
  <c r="AH246" i="14"/>
  <c r="AF246" i="14"/>
  <c r="AF245" i="14"/>
  <c r="AF244" i="14"/>
  <c r="AF243" i="14"/>
  <c r="AF242" i="14"/>
  <c r="AH242" i="14" s="1"/>
  <c r="AI64" i="14" s="1"/>
  <c r="AF241" i="14"/>
  <c r="AH241" i="14" s="1"/>
  <c r="AH64" i="14" s="1"/>
  <c r="AF240" i="14"/>
  <c r="AF239" i="14"/>
  <c r="AH239" i="14" s="1"/>
  <c r="AH63" i="14" s="1"/>
  <c r="AF238" i="14"/>
  <c r="AH237" i="14" s="1"/>
  <c r="AF237" i="14"/>
  <c r="AF236" i="14"/>
  <c r="AF235" i="14"/>
  <c r="AH235" i="14" s="1"/>
  <c r="AF234" i="14"/>
  <c r="AH236" i="14" s="1"/>
  <c r="AF233" i="14"/>
  <c r="AG232" i="14"/>
  <c r="AF232" i="14"/>
  <c r="AF231" i="14"/>
  <c r="AH230" i="14" s="1"/>
  <c r="AG230" i="14"/>
  <c r="AF230" i="14"/>
  <c r="AF229" i="14"/>
  <c r="AF228" i="14"/>
  <c r="AH228" i="14" s="1"/>
  <c r="AF227" i="14"/>
  <c r="AF226" i="14"/>
  <c r="AF225" i="14"/>
  <c r="AG224" i="14"/>
  <c r="AF224" i="14"/>
  <c r="AF223" i="14"/>
  <c r="AF222" i="14"/>
  <c r="AF221" i="14"/>
  <c r="AF220" i="14"/>
  <c r="AF219" i="14"/>
  <c r="AG218" i="14"/>
  <c r="AF218" i="14"/>
  <c r="AH223" i="14" s="1"/>
  <c r="AF217" i="14"/>
  <c r="AF216" i="14"/>
  <c r="AF215" i="14"/>
  <c r="AF214" i="14"/>
  <c r="AF213" i="14"/>
  <c r="AG212" i="14"/>
  <c r="AF212" i="14"/>
  <c r="AH217" i="14" s="1"/>
  <c r="AJ211" i="14"/>
  <c r="AF211" i="14"/>
  <c r="AH210" i="14"/>
  <c r="AF210" i="14"/>
  <c r="AF209" i="14"/>
  <c r="AF208" i="14"/>
  <c r="AF207" i="14"/>
  <c r="AF206" i="14"/>
  <c r="AG205" i="14"/>
  <c r="AF205" i="14"/>
  <c r="AH205" i="14" s="1"/>
  <c r="AF204" i="14"/>
  <c r="AF203" i="14"/>
  <c r="AH202" i="14"/>
  <c r="AF202" i="14"/>
  <c r="AF201" i="14"/>
  <c r="AF200" i="14"/>
  <c r="AF199" i="14"/>
  <c r="AF198" i="14"/>
  <c r="AF197" i="14"/>
  <c r="AG196" i="14"/>
  <c r="AF196" i="14"/>
  <c r="AH195" i="14"/>
  <c r="AG195" i="14"/>
  <c r="AF195" i="14"/>
  <c r="AF194" i="14"/>
  <c r="AF193" i="14"/>
  <c r="AF192" i="14"/>
  <c r="AH192" i="14" s="1"/>
  <c r="AF191" i="14"/>
  <c r="AF190" i="14"/>
  <c r="AH189" i="14"/>
  <c r="AF189" i="14"/>
  <c r="AH188" i="14"/>
  <c r="AG188" i="14"/>
  <c r="AF188" i="14"/>
  <c r="AF187" i="14"/>
  <c r="AF186" i="14"/>
  <c r="AH186" i="14" s="1"/>
  <c r="AF185" i="14"/>
  <c r="AF184" i="14"/>
  <c r="AF183" i="14"/>
  <c r="AG182" i="14"/>
  <c r="AF182" i="14"/>
  <c r="AH182" i="14" s="1"/>
  <c r="AF181" i="14"/>
  <c r="AH181" i="14" s="1"/>
  <c r="AF180" i="14"/>
  <c r="AF179" i="14"/>
  <c r="AF178" i="14"/>
  <c r="AF177" i="14"/>
  <c r="AF176" i="14"/>
  <c r="AG175" i="14"/>
  <c r="AF175" i="14"/>
  <c r="AH180" i="14" s="1"/>
  <c r="AF174" i="14"/>
  <c r="AF173" i="14"/>
  <c r="AF172" i="14"/>
  <c r="AF171" i="14"/>
  <c r="AF170" i="14"/>
  <c r="AG169" i="14"/>
  <c r="AF169" i="14"/>
  <c r="AH169" i="14" s="1"/>
  <c r="AF168" i="14"/>
  <c r="AF167" i="14"/>
  <c r="AH167" i="14" s="1"/>
  <c r="AF166" i="14"/>
  <c r="AF165" i="14"/>
  <c r="AF164" i="14"/>
  <c r="AG163" i="14"/>
  <c r="AF163" i="14"/>
  <c r="AH163" i="14" s="1"/>
  <c r="AF161" i="14"/>
  <c r="AF160" i="14"/>
  <c r="AH159" i="14"/>
  <c r="AH48" i="14" s="1"/>
  <c r="AF159" i="14"/>
  <c r="AF155" i="14"/>
  <c r="AF152" i="14"/>
  <c r="AF151" i="14"/>
  <c r="AF150" i="14"/>
  <c r="AF149" i="14"/>
  <c r="AF148" i="14"/>
  <c r="AH147" i="14"/>
  <c r="AF147" i="14"/>
  <c r="AF146" i="14"/>
  <c r="AF145" i="14"/>
  <c r="AH145" i="14" s="1"/>
  <c r="AF144" i="14"/>
  <c r="AF38" i="14" s="1"/>
  <c r="AF40" i="7" s="1"/>
  <c r="AF143" i="14"/>
  <c r="AF142" i="14"/>
  <c r="AH141" i="14"/>
  <c r="AF141" i="14"/>
  <c r="AF36" i="14" s="1"/>
  <c r="AF38" i="7" s="1"/>
  <c r="AF140" i="14"/>
  <c r="AF139" i="14"/>
  <c r="AH138" i="14"/>
  <c r="AF138" i="14"/>
  <c r="AF137" i="14"/>
  <c r="AF33" i="14" s="1"/>
  <c r="AF35" i="7" s="1"/>
  <c r="AF136" i="14"/>
  <c r="AF32" i="14" s="1"/>
  <c r="AF34" i="7" s="1"/>
  <c r="AF135" i="14"/>
  <c r="AF31" i="14" s="1"/>
  <c r="AF33" i="7" s="1"/>
  <c r="AF134" i="14"/>
  <c r="AF133" i="14"/>
  <c r="AF30" i="14" s="1"/>
  <c r="AF32" i="7" s="1"/>
  <c r="AF132" i="14"/>
  <c r="AF29" i="14" s="1"/>
  <c r="AF31" i="7" s="1"/>
  <c r="AF130" i="14"/>
  <c r="AF129" i="14"/>
  <c r="AF128" i="14"/>
  <c r="AF26" i="14" s="1"/>
  <c r="AF25" i="7" s="1"/>
  <c r="AF127" i="14"/>
  <c r="AF124" i="14"/>
  <c r="AF123" i="14"/>
  <c r="AF122" i="14"/>
  <c r="AF121" i="14"/>
  <c r="AF21" i="14" s="1"/>
  <c r="AF20" i="7" s="1"/>
  <c r="AF120" i="14"/>
  <c r="AF119" i="14"/>
  <c r="AH118" i="14"/>
  <c r="AH20" i="14" s="1"/>
  <c r="AF118" i="14"/>
  <c r="AF117" i="14"/>
  <c r="AF116" i="14"/>
  <c r="AF19" i="14" s="1"/>
  <c r="AF18" i="7" s="1"/>
  <c r="AF115" i="14"/>
  <c r="AF114" i="14"/>
  <c r="AH114" i="14" s="1"/>
  <c r="AI18" i="14" s="1"/>
  <c r="AF113" i="14"/>
  <c r="AF112" i="14"/>
  <c r="AF111" i="14"/>
  <c r="AF110" i="14"/>
  <c r="AF109" i="14"/>
  <c r="AH108" i="14" s="1"/>
  <c r="AH18" i="14" s="1"/>
  <c r="AF108" i="14"/>
  <c r="AF107" i="14"/>
  <c r="AH106" i="14"/>
  <c r="AF106" i="14"/>
  <c r="AF105" i="14"/>
  <c r="AF104" i="14"/>
  <c r="AF16" i="14" s="1"/>
  <c r="AF15" i="7" s="1"/>
  <c r="AF103" i="14"/>
  <c r="AH100" i="14" s="1"/>
  <c r="AH15" i="14" s="1"/>
  <c r="AF102" i="14"/>
  <c r="AF101" i="14"/>
  <c r="AF100" i="14"/>
  <c r="AF99" i="14"/>
  <c r="AF98" i="14"/>
  <c r="AH97" i="14"/>
  <c r="AF97" i="14"/>
  <c r="AF96" i="14"/>
  <c r="AF95" i="14"/>
  <c r="AH95" i="14" s="1"/>
  <c r="AH13" i="14" s="1"/>
  <c r="AF94" i="14"/>
  <c r="AH93" i="14" s="1"/>
  <c r="AH12" i="14" s="1"/>
  <c r="AF93" i="14"/>
  <c r="AF92" i="14"/>
  <c r="AF91" i="14"/>
  <c r="AF90" i="14"/>
  <c r="X90" i="14"/>
  <c r="Y90" i="14" s="1"/>
  <c r="AF89" i="14"/>
  <c r="AH89" i="14" s="1"/>
  <c r="X89" i="14"/>
  <c r="Y89" i="14" s="1"/>
  <c r="AF88" i="14"/>
  <c r="Y88" i="14"/>
  <c r="X88" i="14"/>
  <c r="AH87" i="14"/>
  <c r="AH10" i="14" s="1"/>
  <c r="AF87" i="14"/>
  <c r="X87" i="14"/>
  <c r="Y87" i="14" s="1"/>
  <c r="AF86" i="14"/>
  <c r="X86" i="14"/>
  <c r="Y86" i="14" s="1"/>
  <c r="AF85" i="14"/>
  <c r="X85" i="14"/>
  <c r="Y85" i="14" s="1"/>
  <c r="Y91" i="14" s="1"/>
  <c r="AF84" i="14"/>
  <c r="X84" i="14"/>
  <c r="AF83" i="14"/>
  <c r="AH83" i="14" s="1"/>
  <c r="AF82" i="14"/>
  <c r="AH81" i="14"/>
  <c r="AF81" i="14"/>
  <c r="AF80" i="14"/>
  <c r="AH79" i="14"/>
  <c r="AH8" i="14" s="1"/>
  <c r="AF79" i="14"/>
  <c r="AH70" i="14"/>
  <c r="AF70" i="14"/>
  <c r="AF75" i="7" s="1"/>
  <c r="AF68" i="14"/>
  <c r="AF73" i="7" s="1"/>
  <c r="AF66" i="14"/>
  <c r="AF71" i="7" s="1"/>
  <c r="AI65" i="14"/>
  <c r="AF63" i="14"/>
  <c r="AF68" i="7" s="1"/>
  <c r="AH62" i="14"/>
  <c r="AF62" i="14"/>
  <c r="AF67" i="7" s="1"/>
  <c r="AF61" i="14"/>
  <c r="AF66" i="7" s="1"/>
  <c r="AH60" i="14"/>
  <c r="AF60" i="14"/>
  <c r="AF65" i="7" s="1"/>
  <c r="AF59" i="14"/>
  <c r="AF64" i="7" s="1"/>
  <c r="AF58" i="14"/>
  <c r="AF63" i="7" s="1"/>
  <c r="AF57" i="14"/>
  <c r="AF62" i="7" s="1"/>
  <c r="AH56" i="14"/>
  <c r="AF56" i="14"/>
  <c r="AF61" i="7" s="1"/>
  <c r="AF55" i="14"/>
  <c r="AF60" i="7" s="1"/>
  <c r="AF54" i="14"/>
  <c r="AF59" i="7" s="1"/>
  <c r="AF53" i="14"/>
  <c r="AF58" i="7" s="1"/>
  <c r="X53" i="14"/>
  <c r="Y53" i="14" s="1"/>
  <c r="AF52" i="14"/>
  <c r="AF57" i="7" s="1"/>
  <c r="X52" i="14"/>
  <c r="Y52" i="14" s="1"/>
  <c r="AF51" i="14"/>
  <c r="AF56" i="7" s="1"/>
  <c r="X51" i="14"/>
  <c r="Y51" i="14" s="1"/>
  <c r="AF50" i="14"/>
  <c r="AF55" i="7" s="1"/>
  <c r="X50" i="14"/>
  <c r="Y50" i="14" s="1"/>
  <c r="AF49" i="14"/>
  <c r="AF51" i="7" s="1"/>
  <c r="X49" i="14"/>
  <c r="Y49" i="14" s="1"/>
  <c r="X48" i="14"/>
  <c r="Y48" i="14" s="1"/>
  <c r="X47" i="14"/>
  <c r="AF44" i="14"/>
  <c r="AF46" i="7" s="1"/>
  <c r="AF41" i="14"/>
  <c r="AF43" i="7" s="1"/>
  <c r="AF40" i="14"/>
  <c r="AF42" i="7" s="1"/>
  <c r="AH39" i="14"/>
  <c r="AF37" i="14"/>
  <c r="AF39" i="7" s="1"/>
  <c r="AH36" i="14"/>
  <c r="AF35" i="14"/>
  <c r="AF37" i="7" s="1"/>
  <c r="AH34" i="14"/>
  <c r="AF34" i="14"/>
  <c r="AF36" i="7" s="1"/>
  <c r="AF28" i="14"/>
  <c r="AF27" i="7" s="1"/>
  <c r="AF27" i="14"/>
  <c r="AF26" i="7" s="1"/>
  <c r="AF25" i="14"/>
  <c r="AF24" i="7" s="1"/>
  <c r="AF22" i="14"/>
  <c r="AF21" i="7" s="1"/>
  <c r="AF20" i="14"/>
  <c r="AF19" i="7" s="1"/>
  <c r="AL17" i="14"/>
  <c r="AH17" i="14"/>
  <c r="AF17" i="14"/>
  <c r="AF16" i="7" s="1"/>
  <c r="AL16" i="14"/>
  <c r="AL15" i="14"/>
  <c r="AF14" i="14"/>
  <c r="AF13" i="7" s="1"/>
  <c r="X14" i="14"/>
  <c r="Y14" i="14" s="1"/>
  <c r="AF13" i="14"/>
  <c r="AF12" i="7" s="1"/>
  <c r="Y13" i="14"/>
  <c r="X13" i="14"/>
  <c r="X12" i="14"/>
  <c r="Y12" i="14" s="1"/>
  <c r="AF11" i="14"/>
  <c r="AF10" i="7" s="1"/>
  <c r="X11" i="14"/>
  <c r="Y11" i="14" s="1"/>
  <c r="AF10" i="14"/>
  <c r="AF9" i="7" s="1"/>
  <c r="X10" i="14"/>
  <c r="Y10" i="14" s="1"/>
  <c r="AL9" i="14"/>
  <c r="AH9" i="14"/>
  <c r="AF9" i="14"/>
  <c r="AF8" i="7" s="1"/>
  <c r="X9" i="14"/>
  <c r="Y9" i="14" s="1"/>
  <c r="Y15" i="14" s="1"/>
  <c r="AL8" i="14"/>
  <c r="AF8" i="14"/>
  <c r="AF7" i="7" s="1"/>
  <c r="X8" i="14"/>
  <c r="AN7" i="14"/>
  <c r="AL7" i="14"/>
  <c r="AA71" i="8"/>
  <c r="AA70" i="8"/>
  <c r="AA69" i="8"/>
  <c r="AA68" i="8"/>
  <c r="AA66" i="8"/>
  <c r="AA65" i="8"/>
  <c r="O65" i="8"/>
  <c r="E65" i="8"/>
  <c r="R75" i="7" s="1"/>
  <c r="BA68" i="16" s="1"/>
  <c r="Q76" i="18" s="1"/>
  <c r="R76" i="18" s="1"/>
  <c r="AA64" i="8"/>
  <c r="O64" i="8"/>
  <c r="E64" i="8"/>
  <c r="R74" i="7" s="1"/>
  <c r="BA67" i="16" s="1"/>
  <c r="Q75" i="18" s="1"/>
  <c r="R75" i="18" s="1"/>
  <c r="AA63" i="8"/>
  <c r="O63" i="8"/>
  <c r="E63" i="8"/>
  <c r="R73" i="7" s="1"/>
  <c r="BA66" i="16" s="1"/>
  <c r="Q74" i="18" s="1"/>
  <c r="R74" i="18" s="1"/>
  <c r="O62" i="8"/>
  <c r="E62" i="8"/>
  <c r="R72" i="7" s="1"/>
  <c r="BA65" i="16" s="1"/>
  <c r="Q73" i="18" s="1"/>
  <c r="R73" i="18" s="1"/>
  <c r="O61" i="8"/>
  <c r="E61" i="8"/>
  <c r="R71" i="7" s="1"/>
  <c r="BA64" i="16" s="1"/>
  <c r="Q72" i="18" s="1"/>
  <c r="R72" i="18" s="1"/>
  <c r="O60" i="8"/>
  <c r="E60" i="8"/>
  <c r="R70" i="7" s="1"/>
  <c r="BA63" i="16" s="1"/>
  <c r="Q71" i="18" s="1"/>
  <c r="R71" i="18" s="1"/>
  <c r="O59" i="8"/>
  <c r="E59" i="8"/>
  <c r="R69" i="7" s="1"/>
  <c r="BA62" i="16" s="1"/>
  <c r="Q70" i="18" s="1"/>
  <c r="R70" i="18" s="1"/>
  <c r="O58" i="8"/>
  <c r="E58" i="8"/>
  <c r="R68" i="7" s="1"/>
  <c r="BA61" i="16" s="1"/>
  <c r="Q69" i="18" s="1"/>
  <c r="R69" i="18" s="1"/>
  <c r="O57" i="8"/>
  <c r="E57" i="8"/>
  <c r="R67" i="7" s="1"/>
  <c r="BA60" i="16" s="1"/>
  <c r="Q68" i="18" s="1"/>
  <c r="R68" i="18" s="1"/>
  <c r="AA56" i="8"/>
  <c r="S56" i="8"/>
  <c r="R56" i="8"/>
  <c r="O56" i="8"/>
  <c r="K56" i="8"/>
  <c r="L56" i="8" s="1"/>
  <c r="I56" i="8"/>
  <c r="E56" i="8"/>
  <c r="R66" i="7" s="1"/>
  <c r="BA59" i="16" s="1"/>
  <c r="Q67" i="18" s="1"/>
  <c r="R67" i="18" s="1"/>
  <c r="AA55" i="8"/>
  <c r="O55" i="8"/>
  <c r="E55" i="8"/>
  <c r="R65" i="7" s="1"/>
  <c r="BA58" i="16" s="1"/>
  <c r="Q66" i="18" s="1"/>
  <c r="R66" i="18" s="1"/>
  <c r="AA54" i="8"/>
  <c r="AB48" i="8" s="1"/>
  <c r="AC48" i="8" s="1"/>
  <c r="AD48" i="8" s="1"/>
  <c r="O54" i="8"/>
  <c r="E54" i="8"/>
  <c r="R64" i="7" s="1"/>
  <c r="BA57" i="16" s="1"/>
  <c r="Q65" i="18" s="1"/>
  <c r="R65" i="18" s="1"/>
  <c r="O53" i="8"/>
  <c r="E53" i="8"/>
  <c r="R63" i="7" s="1"/>
  <c r="BA56" i="16" s="1"/>
  <c r="Q64" i="18" s="1"/>
  <c r="R64" i="18" s="1"/>
  <c r="O52" i="8"/>
  <c r="E52" i="8"/>
  <c r="R62" i="7" s="1"/>
  <c r="BA55" i="16" s="1"/>
  <c r="Q63" i="18" s="1"/>
  <c r="R63" i="18" s="1"/>
  <c r="AA51" i="8"/>
  <c r="O51" i="8"/>
  <c r="E51" i="8"/>
  <c r="R61" i="7" s="1"/>
  <c r="BA54" i="16" s="1"/>
  <c r="Q62" i="18" s="1"/>
  <c r="R62" i="18" s="1"/>
  <c r="AA50" i="8"/>
  <c r="O50" i="8"/>
  <c r="E50" i="8"/>
  <c r="R60" i="7" s="1"/>
  <c r="BA53" i="16" s="1"/>
  <c r="Q61" i="18" s="1"/>
  <c r="R61" i="18" s="1"/>
  <c r="AA49" i="8"/>
  <c r="O49" i="8"/>
  <c r="E49" i="8"/>
  <c r="R59" i="7" s="1"/>
  <c r="BA52" i="16" s="1"/>
  <c r="Q60" i="18" s="1"/>
  <c r="R60" i="18" s="1"/>
  <c r="O48" i="8"/>
  <c r="E48" i="8"/>
  <c r="R58" i="7" s="1"/>
  <c r="BA51" i="16" s="1"/>
  <c r="Q59" i="18" s="1"/>
  <c r="R59" i="18" s="1"/>
  <c r="S47" i="8"/>
  <c r="R47" i="8"/>
  <c r="O47" i="8"/>
  <c r="L47" i="8"/>
  <c r="K47" i="8"/>
  <c r="I47" i="8"/>
  <c r="E47" i="8"/>
  <c r="O46" i="8"/>
  <c r="E46" i="8"/>
  <c r="R56" i="7" s="1"/>
  <c r="BA49" i="16" s="1"/>
  <c r="Q57" i="18" s="1"/>
  <c r="R57" i="18" s="1"/>
  <c r="O45" i="8"/>
  <c r="E45" i="8"/>
  <c r="R55" i="7" s="1"/>
  <c r="BA48" i="16" s="1"/>
  <c r="Q56" i="18" s="1"/>
  <c r="R56" i="18" s="1"/>
  <c r="O44" i="8"/>
  <c r="E44" i="8"/>
  <c r="R51" i="7" s="1"/>
  <c r="BA47" i="16" s="1"/>
  <c r="Q55" i="18" s="1"/>
  <c r="R55" i="18" s="1"/>
  <c r="O43" i="8"/>
  <c r="E43" i="8"/>
  <c r="R50" i="7" s="1"/>
  <c r="BA46" i="16" s="1"/>
  <c r="Q54" i="18" s="1"/>
  <c r="R54" i="18" s="1"/>
  <c r="O42" i="8"/>
  <c r="E42" i="8"/>
  <c r="R49" i="7" s="1"/>
  <c r="BA45" i="16" s="1"/>
  <c r="Q53" i="18" s="1"/>
  <c r="R53" i="18" s="1"/>
  <c r="O41" i="8"/>
  <c r="E41" i="8"/>
  <c r="R48" i="7" s="1"/>
  <c r="BA44" i="16" s="1"/>
  <c r="Q52" i="18" s="1"/>
  <c r="R52" i="18" s="1"/>
  <c r="O40" i="8"/>
  <c r="E40" i="8"/>
  <c r="R47" i="7" s="1"/>
  <c r="BA43" i="16" s="1"/>
  <c r="Q51" i="18" s="1"/>
  <c r="R51" i="18" s="1"/>
  <c r="O39" i="8"/>
  <c r="E39" i="8"/>
  <c r="R46" i="7" s="1"/>
  <c r="BA42" i="16" s="1"/>
  <c r="Q50" i="18" s="1"/>
  <c r="R50" i="18" s="1"/>
  <c r="O38" i="8"/>
  <c r="E38" i="8"/>
  <c r="R45" i="7" s="1"/>
  <c r="BA41" i="16" s="1"/>
  <c r="Q49" i="18" s="1"/>
  <c r="R49" i="18" s="1"/>
  <c r="S36" i="8"/>
  <c r="R36" i="8"/>
  <c r="O36" i="8"/>
  <c r="L36" i="8"/>
  <c r="K36" i="8"/>
  <c r="I36" i="8"/>
  <c r="E36" i="8"/>
  <c r="R43" i="7" s="1"/>
  <c r="BA39" i="16" s="1"/>
  <c r="Q47" i="18" s="1"/>
  <c r="R47" i="18" s="1"/>
  <c r="O35" i="8"/>
  <c r="E35" i="8"/>
  <c r="R42" i="7" s="1"/>
  <c r="BA38" i="16" s="1"/>
  <c r="Q46" i="18" s="1"/>
  <c r="R46" i="18" s="1"/>
  <c r="O34" i="8"/>
  <c r="E34" i="8"/>
  <c r="R41" i="7" s="1"/>
  <c r="BA37" i="16" s="1"/>
  <c r="Q45" i="18" s="1"/>
  <c r="R45" i="18" s="1"/>
  <c r="O33" i="8"/>
  <c r="E33" i="8"/>
  <c r="R40" i="7" s="1"/>
  <c r="BA36" i="16" s="1"/>
  <c r="Q44" i="18" s="1"/>
  <c r="R44" i="18" s="1"/>
  <c r="O32" i="8"/>
  <c r="E32" i="8"/>
  <c r="R39" i="7" s="1"/>
  <c r="BA35" i="16" s="1"/>
  <c r="Q43" i="18" s="1"/>
  <c r="R43" i="18" s="1"/>
  <c r="O31" i="8"/>
  <c r="E31" i="8"/>
  <c r="R38" i="7" s="1"/>
  <c r="BA34" i="16" s="1"/>
  <c r="Q42" i="18" s="1"/>
  <c r="R42" i="18" s="1"/>
  <c r="O30" i="8"/>
  <c r="E30" i="8"/>
  <c r="R37" i="7" s="1"/>
  <c r="BA33" i="16" s="1"/>
  <c r="Q41" i="18" s="1"/>
  <c r="R41" i="18" s="1"/>
  <c r="AA29" i="8"/>
  <c r="O29" i="8"/>
  <c r="E29" i="8"/>
  <c r="R36" i="7" s="1"/>
  <c r="BA32" i="16" s="1"/>
  <c r="Q40" i="18" s="1"/>
  <c r="R40" i="18" s="1"/>
  <c r="AA28" i="8"/>
  <c r="O28" i="8"/>
  <c r="E28" i="8"/>
  <c r="R35" i="7" s="1"/>
  <c r="BA31" i="16" s="1"/>
  <c r="Q39" i="18" s="1"/>
  <c r="R39" i="18" s="1"/>
  <c r="AA27" i="8"/>
  <c r="O27" i="8"/>
  <c r="E27" i="8"/>
  <c r="R34" i="7" s="1"/>
  <c r="BA30" i="16" s="1"/>
  <c r="Q38" i="18" s="1"/>
  <c r="R38" i="18" s="1"/>
  <c r="AA26" i="8"/>
  <c r="R26" i="8"/>
  <c r="S26" i="8" s="1"/>
  <c r="O26" i="8"/>
  <c r="L26" i="8"/>
  <c r="K26" i="8"/>
  <c r="I26" i="8"/>
  <c r="E26" i="8"/>
  <c r="R33" i="7" s="1"/>
  <c r="BA29" i="16" s="1"/>
  <c r="Q37" i="18" s="1"/>
  <c r="R37" i="18" s="1"/>
  <c r="O25" i="8"/>
  <c r="E25" i="8"/>
  <c r="R32" i="7" s="1"/>
  <c r="BA28" i="16" s="1"/>
  <c r="Q36" i="18" s="1"/>
  <c r="R36" i="18" s="1"/>
  <c r="AA24" i="8"/>
  <c r="O24" i="8"/>
  <c r="E24" i="8"/>
  <c r="R31" i="7" s="1"/>
  <c r="BA27" i="16" s="1"/>
  <c r="Q35" i="18" s="1"/>
  <c r="R35" i="18" s="1"/>
  <c r="AA23" i="8"/>
  <c r="O23" i="8"/>
  <c r="E23" i="8"/>
  <c r="R27" i="7" s="1"/>
  <c r="BA26" i="16" s="1"/>
  <c r="Q34" i="18" s="1"/>
  <c r="R34" i="18" s="1"/>
  <c r="AA22" i="8"/>
  <c r="O22" i="8"/>
  <c r="E22" i="8"/>
  <c r="R26" i="7" s="1"/>
  <c r="BA25" i="16" s="1"/>
  <c r="Q33" i="18" s="1"/>
  <c r="R33" i="18" s="1"/>
  <c r="AA21" i="8"/>
  <c r="AB21" i="8" s="1"/>
  <c r="AC21" i="8" s="1"/>
  <c r="AD21" i="8" s="1"/>
  <c r="O21" i="8"/>
  <c r="E21" i="8"/>
  <c r="R25" i="7" s="1"/>
  <c r="BA24" i="16" s="1"/>
  <c r="Q32" i="18" s="1"/>
  <c r="R32" i="18" s="1"/>
  <c r="O20" i="8"/>
  <c r="E20" i="8"/>
  <c r="R24" i="7" s="1"/>
  <c r="BA23" i="16" s="1"/>
  <c r="Q31" i="18" s="1"/>
  <c r="R31" i="18" s="1"/>
  <c r="O19" i="8"/>
  <c r="E19" i="8"/>
  <c r="R23" i="7" s="1"/>
  <c r="BA22" i="16" s="1"/>
  <c r="Q30" i="18" s="1"/>
  <c r="R30" i="18" s="1"/>
  <c r="O18" i="8"/>
  <c r="E18" i="8"/>
  <c r="R22" i="7" s="1"/>
  <c r="BA21" i="16" s="1"/>
  <c r="Q29" i="18" s="1"/>
  <c r="R29" i="18" s="1"/>
  <c r="O17" i="8"/>
  <c r="E17" i="8"/>
  <c r="R21" i="7" s="1"/>
  <c r="BA20" i="16" s="1"/>
  <c r="Q28" i="18" s="1"/>
  <c r="R28" i="18" s="1"/>
  <c r="O16" i="8"/>
  <c r="E16" i="8"/>
  <c r="R20" i="7" s="1"/>
  <c r="BA19" i="16" s="1"/>
  <c r="Q27" i="18" s="1"/>
  <c r="R27" i="18" s="1"/>
  <c r="O15" i="8"/>
  <c r="E15" i="8"/>
  <c r="R19" i="7" s="1"/>
  <c r="BA18" i="16" s="1"/>
  <c r="Q26" i="18" s="1"/>
  <c r="R26" i="18" s="1"/>
  <c r="AA14" i="8"/>
  <c r="S14" i="8"/>
  <c r="R14" i="8"/>
  <c r="O14" i="8"/>
  <c r="K14" i="8"/>
  <c r="L14" i="8" s="1"/>
  <c r="I14" i="8"/>
  <c r="E14" i="8"/>
  <c r="AA13" i="8"/>
  <c r="O13" i="8"/>
  <c r="E13" i="8"/>
  <c r="R17" i="7" s="1"/>
  <c r="BA16" i="16" s="1"/>
  <c r="Q24" i="18" s="1"/>
  <c r="R24" i="18" s="1"/>
  <c r="AA12" i="8"/>
  <c r="O12" i="8"/>
  <c r="E12" i="8"/>
  <c r="R16" i="7" s="1"/>
  <c r="BA15" i="16" s="1"/>
  <c r="Q23" i="18" s="1"/>
  <c r="R23" i="18" s="1"/>
  <c r="O11" i="8"/>
  <c r="E11" i="8"/>
  <c r="R15" i="7" s="1"/>
  <c r="BA14" i="16" s="1"/>
  <c r="Q22" i="18" s="1"/>
  <c r="R22" i="18" s="1"/>
  <c r="O10" i="8"/>
  <c r="E10" i="8"/>
  <c r="R14" i="7" s="1"/>
  <c r="BA13" i="16" s="1"/>
  <c r="Q21" i="18" s="1"/>
  <c r="R21" i="18" s="1"/>
  <c r="AA9" i="8"/>
  <c r="AB6" i="8" s="1"/>
  <c r="AC6" i="8" s="1"/>
  <c r="AD6" i="8" s="1"/>
  <c r="O9" i="8"/>
  <c r="E9" i="8"/>
  <c r="R13" i="7" s="1"/>
  <c r="BA12" i="16" s="1"/>
  <c r="Q20" i="18" s="1"/>
  <c r="R20" i="18" s="1"/>
  <c r="AA8" i="8"/>
  <c r="O8" i="8"/>
  <c r="E8" i="8"/>
  <c r="R12" i="7" s="1"/>
  <c r="BA11" i="16" s="1"/>
  <c r="Q19" i="18" s="1"/>
  <c r="R19" i="18" s="1"/>
  <c r="AA7" i="8"/>
  <c r="O7" i="8"/>
  <c r="E7" i="8"/>
  <c r="R11" i="7" s="1"/>
  <c r="BA10" i="16" s="1"/>
  <c r="Q18" i="18" s="1"/>
  <c r="R18" i="18" s="1"/>
  <c r="O6" i="8"/>
  <c r="E6" i="8"/>
  <c r="R10" i="7" s="1"/>
  <c r="BA9" i="16" s="1"/>
  <c r="Q17" i="18" s="1"/>
  <c r="R17" i="18" s="1"/>
  <c r="S5" i="8"/>
  <c r="R5" i="8"/>
  <c r="O5" i="8"/>
  <c r="L5" i="8"/>
  <c r="K5" i="8"/>
  <c r="I5" i="8"/>
  <c r="E5" i="8"/>
  <c r="K6" i="8" s="1"/>
  <c r="L6" i="8" s="1"/>
  <c r="O4" i="8"/>
  <c r="E4" i="8"/>
  <c r="R8" i="7" s="1"/>
  <c r="BA7" i="16" s="1"/>
  <c r="Q15" i="18" s="1"/>
  <c r="R15" i="18" s="1"/>
  <c r="O3" i="8"/>
  <c r="E3" i="8"/>
  <c r="R7" i="7" s="1"/>
  <c r="BA6" i="16" s="1"/>
  <c r="Q14" i="18" s="1"/>
  <c r="R14" i="18" s="1"/>
  <c r="AG81" i="10"/>
  <c r="AH81" i="10" s="1"/>
  <c r="U81" i="10"/>
  <c r="W81" i="10" s="1"/>
  <c r="V80" i="10"/>
  <c r="E74" i="7" s="1"/>
  <c r="U80" i="10"/>
  <c r="W80" i="10" s="1"/>
  <c r="W79" i="10"/>
  <c r="V79" i="10"/>
  <c r="E73" i="7" s="1"/>
  <c r="U79" i="10"/>
  <c r="U78" i="10"/>
  <c r="V78" i="10" s="1"/>
  <c r="E72" i="7" s="1"/>
  <c r="U77" i="10"/>
  <c r="W77" i="10" s="1"/>
  <c r="AG76" i="10"/>
  <c r="AH76" i="10" s="1"/>
  <c r="U76" i="10"/>
  <c r="W76" i="10" s="1"/>
  <c r="U75" i="10"/>
  <c r="V75" i="10" s="1"/>
  <c r="E70" i="7" s="1"/>
  <c r="W74" i="10"/>
  <c r="U74" i="10"/>
  <c r="U73" i="10"/>
  <c r="V72" i="10" s="1"/>
  <c r="E69" i="7" s="1"/>
  <c r="U72" i="10"/>
  <c r="W72" i="10" s="1"/>
  <c r="W71" i="10"/>
  <c r="U71" i="10"/>
  <c r="U70" i="10"/>
  <c r="V70" i="10" s="1"/>
  <c r="E68" i="7" s="1"/>
  <c r="W69" i="10"/>
  <c r="U69" i="10"/>
  <c r="V69" i="10" s="1"/>
  <c r="E67" i="7" s="1"/>
  <c r="W68" i="10"/>
  <c r="V68" i="10"/>
  <c r="E66" i="7" s="1"/>
  <c r="U68" i="10"/>
  <c r="W67" i="10"/>
  <c r="U67" i="10"/>
  <c r="V67" i="10" s="1"/>
  <c r="E65" i="7" s="1"/>
  <c r="U66" i="10"/>
  <c r="V66" i="10" s="1"/>
  <c r="E64" i="7" s="1"/>
  <c r="W65" i="10"/>
  <c r="U65" i="10"/>
  <c r="V65" i="10" s="1"/>
  <c r="E63" i="7" s="1"/>
  <c r="W64" i="10"/>
  <c r="V64" i="10"/>
  <c r="E62" i="7" s="1"/>
  <c r="U64" i="10"/>
  <c r="W63" i="10"/>
  <c r="U63" i="10"/>
  <c r="V63" i="10" s="1"/>
  <c r="E61" i="7" s="1"/>
  <c r="U62" i="10"/>
  <c r="V62" i="10" s="1"/>
  <c r="E60" i="7" s="1"/>
  <c r="AG61" i="10"/>
  <c r="V61" i="10"/>
  <c r="E59" i="7" s="1"/>
  <c r="U61" i="10"/>
  <c r="W61" i="10" s="1"/>
  <c r="V60" i="10"/>
  <c r="E58" i="7" s="1"/>
  <c r="U60" i="10"/>
  <c r="W60" i="10" s="1"/>
  <c r="U59" i="10"/>
  <c r="W59" i="10" s="1"/>
  <c r="W58" i="10"/>
  <c r="V58" i="10"/>
  <c r="E56" i="7" s="1"/>
  <c r="U58" i="10"/>
  <c r="AG57" i="10"/>
  <c r="AH57" i="10" s="1"/>
  <c r="U57" i="10"/>
  <c r="W57" i="10" s="1"/>
  <c r="B56" i="10"/>
  <c r="U54" i="10"/>
  <c r="V54" i="10" s="1"/>
  <c r="U53" i="10"/>
  <c r="W53" i="10" s="1"/>
  <c r="U52" i="10"/>
  <c r="W52" i="10" s="1"/>
  <c r="X52" i="10" s="1"/>
  <c r="X53" i="10" s="1"/>
  <c r="V48" i="10"/>
  <c r="E46" i="7" s="1"/>
  <c r="U48" i="10"/>
  <c r="W48" i="10" s="1"/>
  <c r="W45" i="10"/>
  <c r="V45" i="10"/>
  <c r="E43" i="7" s="1"/>
  <c r="U45" i="10"/>
  <c r="U44" i="10"/>
  <c r="V44" i="10" s="1"/>
  <c r="E42" i="7" s="1"/>
  <c r="AG43" i="10"/>
  <c r="W43" i="10"/>
  <c r="U43" i="10"/>
  <c r="AH43" i="10" s="1"/>
  <c r="AG42" i="10"/>
  <c r="AH42" i="10" s="1"/>
  <c r="W42" i="10"/>
  <c r="V42" i="10"/>
  <c r="E40" i="7" s="1"/>
  <c r="U42" i="10"/>
  <c r="V41" i="10"/>
  <c r="E39" i="7" s="1"/>
  <c r="U41" i="10"/>
  <c r="W41" i="10" s="1"/>
  <c r="V40" i="10"/>
  <c r="E38" i="7" s="1"/>
  <c r="U40" i="10"/>
  <c r="W40" i="10" s="1"/>
  <c r="U39" i="10"/>
  <c r="W39" i="10" s="1"/>
  <c r="W38" i="10"/>
  <c r="V38" i="10"/>
  <c r="E36" i="7" s="1"/>
  <c r="U38" i="10"/>
  <c r="V37" i="10"/>
  <c r="E35" i="7" s="1"/>
  <c r="U37" i="10"/>
  <c r="W37" i="10" s="1"/>
  <c r="V36" i="10"/>
  <c r="E34" i="7" s="1"/>
  <c r="U36" i="10"/>
  <c r="W36" i="10" s="1"/>
  <c r="U35" i="10"/>
  <c r="W35" i="10" s="1"/>
  <c r="W34" i="10"/>
  <c r="U34" i="10"/>
  <c r="V34" i="10" s="1"/>
  <c r="E33" i="7" s="1"/>
  <c r="W33" i="10"/>
  <c r="V33" i="10"/>
  <c r="E32" i="7" s="1"/>
  <c r="U33" i="10"/>
  <c r="AG32" i="10"/>
  <c r="U32" i="10"/>
  <c r="AH32" i="10" s="1"/>
  <c r="B31" i="10"/>
  <c r="J29" i="10"/>
  <c r="G29" i="10"/>
  <c r="F29" i="10"/>
  <c r="U29" i="10" s="1"/>
  <c r="J28" i="10"/>
  <c r="G28" i="10"/>
  <c r="U28" i="10" s="1"/>
  <c r="F28" i="10"/>
  <c r="J27" i="10"/>
  <c r="G27" i="10"/>
  <c r="F27" i="10"/>
  <c r="U27" i="10" s="1"/>
  <c r="AG26" i="10"/>
  <c r="AH26" i="10" s="1"/>
  <c r="U26" i="10"/>
  <c r="V26" i="10" s="1"/>
  <c r="E24" i="7" s="1"/>
  <c r="J26" i="10"/>
  <c r="G26" i="10"/>
  <c r="F26" i="10"/>
  <c r="J25" i="10"/>
  <c r="G25" i="10"/>
  <c r="U25" i="10" s="1"/>
  <c r="F25" i="10"/>
  <c r="U24" i="10"/>
  <c r="V24" i="10" s="1"/>
  <c r="E22" i="7" s="1"/>
  <c r="J24" i="10"/>
  <c r="G24" i="10"/>
  <c r="F24" i="10"/>
  <c r="J23" i="10"/>
  <c r="G23" i="10"/>
  <c r="U23" i="10" s="1"/>
  <c r="F23" i="10"/>
  <c r="U22" i="10"/>
  <c r="V22" i="10" s="1"/>
  <c r="E20" i="7" s="1"/>
  <c r="J22" i="10"/>
  <c r="G22" i="10"/>
  <c r="F22" i="10"/>
  <c r="J21" i="10"/>
  <c r="G21" i="10"/>
  <c r="U21" i="10" s="1"/>
  <c r="F21" i="10"/>
  <c r="U20" i="10"/>
  <c r="W20" i="10" s="1"/>
  <c r="J20" i="10"/>
  <c r="G20" i="10"/>
  <c r="F20" i="10"/>
  <c r="J19" i="10"/>
  <c r="G19" i="10"/>
  <c r="U19" i="10" s="1"/>
  <c r="F19" i="10"/>
  <c r="AG19" i="10" s="1"/>
  <c r="AH19" i="10" s="1"/>
  <c r="J18" i="10"/>
  <c r="G18" i="10"/>
  <c r="F18" i="10"/>
  <c r="AG18" i="10" s="1"/>
  <c r="J17" i="10"/>
  <c r="G17" i="10"/>
  <c r="U17" i="10" s="1"/>
  <c r="F17" i="10"/>
  <c r="U16" i="10"/>
  <c r="W16" i="10" s="1"/>
  <c r="J16" i="10"/>
  <c r="W15" i="10"/>
  <c r="U15" i="10"/>
  <c r="V15" i="10" s="1"/>
  <c r="E14" i="7" s="1"/>
  <c r="J15" i="10"/>
  <c r="W14" i="10"/>
  <c r="V14" i="10"/>
  <c r="E13" i="7" s="1"/>
  <c r="U14" i="10"/>
  <c r="J14" i="10"/>
  <c r="U13" i="10"/>
  <c r="W13" i="10" s="1"/>
  <c r="J13" i="10"/>
  <c r="U12" i="10"/>
  <c r="V12" i="10" s="1"/>
  <c r="E11" i="7" s="1"/>
  <c r="J12" i="10"/>
  <c r="U11" i="10"/>
  <c r="W11" i="10" s="1"/>
  <c r="X14" i="10" s="1"/>
  <c r="J11" i="10"/>
  <c r="W10" i="10"/>
  <c r="U10" i="10"/>
  <c r="J10" i="10"/>
  <c r="AG9" i="10"/>
  <c r="AH9" i="10" s="1"/>
  <c r="W9" i="10"/>
  <c r="U9" i="10"/>
  <c r="E10" i="7" s="1"/>
  <c r="J9" i="10"/>
  <c r="U8" i="10"/>
  <c r="W8" i="10" s="1"/>
  <c r="J8" i="10"/>
  <c r="U7" i="10"/>
  <c r="W7" i="10" s="1"/>
  <c r="J7" i="10"/>
  <c r="AI6" i="10"/>
  <c r="AG6" i="10"/>
  <c r="AH6" i="10" s="1"/>
  <c r="W6" i="10"/>
  <c r="V6" i="10"/>
  <c r="E7" i="7" s="1"/>
  <c r="U6" i="10"/>
  <c r="J6" i="10"/>
  <c r="A5" i="10"/>
  <c r="A30" i="7"/>
  <c r="A31" i="10" s="1"/>
  <c r="C20" i="6"/>
  <c r="C21" i="6" s="1"/>
  <c r="C19" i="6"/>
  <c r="H18" i="6" s="1"/>
  <c r="C18" i="6"/>
  <c r="H17" i="6"/>
  <c r="B17" i="6"/>
  <c r="B18" i="6" s="1"/>
  <c r="H16" i="6"/>
  <c r="B25" i="1"/>
  <c r="K19" i="1"/>
  <c r="I19" i="1"/>
  <c r="B19" i="1"/>
  <c r="C18" i="1"/>
  <c r="B18" i="1"/>
  <c r="C17" i="1"/>
  <c r="K16" i="1"/>
  <c r="E14" i="1"/>
  <c r="F14" i="1" s="1"/>
  <c r="D14" i="1"/>
  <c r="D13" i="1"/>
  <c r="C13" i="1"/>
  <c r="E13" i="1" s="1"/>
  <c r="F13" i="1" s="1"/>
  <c r="E12" i="1"/>
  <c r="F12" i="1" s="1"/>
  <c r="C12" i="1"/>
  <c r="D12" i="1" s="1"/>
  <c r="E11" i="1"/>
  <c r="F11" i="1" s="1"/>
  <c r="D11" i="1"/>
  <c r="C11" i="1"/>
  <c r="D10" i="1"/>
  <c r="C10" i="1"/>
  <c r="E10" i="1" s="1"/>
  <c r="F10" i="1" s="1"/>
  <c r="Y245" i="11"/>
  <c r="X245" i="11"/>
  <c r="X244" i="11"/>
  <c r="Y244" i="11" s="1"/>
  <c r="Y243" i="11"/>
  <c r="X243" i="11"/>
  <c r="X242" i="11"/>
  <c r="Y242" i="11" s="1"/>
  <c r="Y241" i="11"/>
  <c r="X241" i="11"/>
  <c r="Y240" i="11"/>
  <c r="Y246" i="11" s="1"/>
  <c r="X240" i="11"/>
  <c r="X239" i="11"/>
  <c r="Y212" i="11"/>
  <c r="X212" i="11"/>
  <c r="X211" i="11"/>
  <c r="Y211" i="11" s="1"/>
  <c r="Y210" i="11"/>
  <c r="X210" i="11"/>
  <c r="Y209" i="11"/>
  <c r="X209" i="11"/>
  <c r="Y208" i="11"/>
  <c r="X208" i="11"/>
  <c r="X207" i="11"/>
  <c r="Y207" i="11" s="1"/>
  <c r="Y213" i="11" s="1"/>
  <c r="X206" i="11"/>
  <c r="Y184" i="11"/>
  <c r="X184" i="11"/>
  <c r="Y183" i="11"/>
  <c r="X183" i="11"/>
  <c r="Y182" i="11"/>
  <c r="X182" i="11"/>
  <c r="X181" i="11"/>
  <c r="Y181" i="11" s="1"/>
  <c r="Y180" i="11"/>
  <c r="X180" i="11"/>
  <c r="X179" i="11"/>
  <c r="Y179" i="11" s="1"/>
  <c r="Y185" i="11" s="1"/>
  <c r="X178" i="11"/>
  <c r="Y162" i="11"/>
  <c r="Y163" i="11" s="1"/>
  <c r="Y161" i="11"/>
  <c r="X161" i="11"/>
  <c r="X160" i="11"/>
  <c r="Y160" i="11" s="1"/>
  <c r="Y159" i="11"/>
  <c r="X159" i="11"/>
  <c r="X158" i="11"/>
  <c r="Y158" i="11" s="1"/>
  <c r="Y157" i="11"/>
  <c r="X157" i="11"/>
  <c r="Y156" i="11"/>
  <c r="X156" i="11"/>
  <c r="X155" i="11"/>
  <c r="Y127" i="11"/>
  <c r="X127" i="11"/>
  <c r="X126" i="11"/>
  <c r="Y126" i="11" s="1"/>
  <c r="Y125" i="11"/>
  <c r="X125" i="11"/>
  <c r="Y124" i="11"/>
  <c r="X124" i="11"/>
  <c r="Y123" i="11"/>
  <c r="X123" i="11"/>
  <c r="X122" i="11"/>
  <c r="Y122" i="11" s="1"/>
  <c r="Y128" i="11" s="1"/>
  <c r="X121" i="11"/>
  <c r="Y90" i="11"/>
  <c r="X90" i="11"/>
  <c r="Y89" i="11"/>
  <c r="X89" i="11"/>
  <c r="Y88" i="11"/>
  <c r="X88" i="11"/>
  <c r="X87" i="11"/>
  <c r="Y87" i="11" s="1"/>
  <c r="Y86" i="11"/>
  <c r="X86" i="11"/>
  <c r="X85" i="11"/>
  <c r="Y85" i="11" s="1"/>
  <c r="Y91" i="11" s="1"/>
  <c r="X84" i="11"/>
  <c r="AF70" i="11"/>
  <c r="AH69" i="11"/>
  <c r="AF69" i="11"/>
  <c r="AF68" i="11"/>
  <c r="AF67" i="11"/>
  <c r="AF66" i="11"/>
  <c r="AH65" i="11"/>
  <c r="AF65" i="11"/>
  <c r="AH64" i="11"/>
  <c r="AF64" i="11"/>
  <c r="AF63" i="11"/>
  <c r="AF62" i="11"/>
  <c r="AH61" i="11"/>
  <c r="AF61" i="11"/>
  <c r="AF60" i="11"/>
  <c r="AH59" i="11"/>
  <c r="AF59" i="11"/>
  <c r="AH58" i="11"/>
  <c r="AF58" i="11"/>
  <c r="AH57" i="11"/>
  <c r="AF57" i="11"/>
  <c r="AH56" i="11"/>
  <c r="AF56" i="11"/>
  <c r="AH55" i="11"/>
  <c r="AF55" i="11"/>
  <c r="AH54" i="11"/>
  <c r="AF54" i="11"/>
  <c r="AH53" i="11"/>
  <c r="AF53" i="11"/>
  <c r="X53" i="11"/>
  <c r="Y53" i="11" s="1"/>
  <c r="AH52" i="11"/>
  <c r="AF52" i="11"/>
  <c r="X52" i="11"/>
  <c r="Y52" i="11" s="1"/>
  <c r="AH51" i="11"/>
  <c r="AF51" i="11"/>
  <c r="X51" i="11"/>
  <c r="Y51" i="11" s="1"/>
  <c r="AH50" i="11"/>
  <c r="AF50" i="11"/>
  <c r="X50" i="11"/>
  <c r="Y50" i="11" s="1"/>
  <c r="AF49" i="11"/>
  <c r="Y49" i="11"/>
  <c r="X49" i="11"/>
  <c r="AH48" i="11"/>
  <c r="AF48" i="11"/>
  <c r="Y48" i="11"/>
  <c r="X48" i="11"/>
  <c r="X47" i="11"/>
  <c r="AF44" i="11"/>
  <c r="AF41" i="11"/>
  <c r="AF40" i="11"/>
  <c r="AH39" i="11"/>
  <c r="AF39" i="11"/>
  <c r="AF38" i="11"/>
  <c r="AF37" i="11"/>
  <c r="AH36" i="11"/>
  <c r="AF36" i="11"/>
  <c r="AF35" i="11"/>
  <c r="AH34" i="11"/>
  <c r="AF34" i="11"/>
  <c r="AF33" i="11"/>
  <c r="AF32" i="11"/>
  <c r="AF31" i="11"/>
  <c r="AH30" i="11"/>
  <c r="AF30" i="11"/>
  <c r="AF29" i="11"/>
  <c r="AF28" i="11"/>
  <c r="AF27" i="11"/>
  <c r="AF26" i="11"/>
  <c r="AF25" i="11"/>
  <c r="AF22" i="11"/>
  <c r="AF21" i="11"/>
  <c r="AF20" i="11"/>
  <c r="AF19" i="11"/>
  <c r="AH18" i="11"/>
  <c r="AF18" i="11"/>
  <c r="AK17" i="11"/>
  <c r="AF17" i="11"/>
  <c r="AK16" i="11"/>
  <c r="AF16" i="11"/>
  <c r="AK15" i="11"/>
  <c r="AF15" i="11"/>
  <c r="AF14" i="11"/>
  <c r="X14" i="11"/>
  <c r="Y14" i="11" s="1"/>
  <c r="AF13" i="11"/>
  <c r="Y13" i="11"/>
  <c r="X13" i="11"/>
  <c r="AF12" i="11"/>
  <c r="X12" i="11"/>
  <c r="Y12" i="11" s="1"/>
  <c r="AF11" i="11"/>
  <c r="X11" i="11"/>
  <c r="Y11" i="11" s="1"/>
  <c r="AH10" i="11"/>
  <c r="AF10" i="11"/>
  <c r="X10" i="11"/>
  <c r="Y10" i="11" s="1"/>
  <c r="AK9" i="11"/>
  <c r="AF9" i="11"/>
  <c r="Y9" i="11"/>
  <c r="X9" i="11"/>
  <c r="AK8" i="11"/>
  <c r="AF8" i="11"/>
  <c r="X8" i="11"/>
  <c r="AM7" i="11"/>
  <c r="AK7" i="11"/>
  <c r="G54" i="16" l="1"/>
  <c r="K25" i="16"/>
  <c r="AG26" i="7"/>
  <c r="Y54" i="14"/>
  <c r="K29" i="16"/>
  <c r="AG33" i="7"/>
  <c r="L29" i="16" s="1"/>
  <c r="H20" i="6"/>
  <c r="C22" i="6"/>
  <c r="V27" i="10"/>
  <c r="E25" i="7" s="1"/>
  <c r="W27" i="10"/>
  <c r="G60" i="16"/>
  <c r="K19" i="16"/>
  <c r="AG20" i="7"/>
  <c r="L19" i="16" s="1"/>
  <c r="K30" i="16"/>
  <c r="AG34" i="7"/>
  <c r="L30" i="16" s="1"/>
  <c r="AA421" i="14"/>
  <c r="Y423" i="14"/>
  <c r="N42" i="13"/>
  <c r="P42" i="13" s="1"/>
  <c r="M42" i="13"/>
  <c r="O42" i="13" s="1"/>
  <c r="Y186" i="11"/>
  <c r="AA184" i="11"/>
  <c r="AH18" i="10"/>
  <c r="W28" i="10"/>
  <c r="V28" i="10"/>
  <c r="E26" i="7" s="1"/>
  <c r="G56" i="16"/>
  <c r="G9" i="16"/>
  <c r="K14" i="16"/>
  <c r="AG15" i="7"/>
  <c r="L14" i="16" s="1"/>
  <c r="AA389" i="14"/>
  <c r="Y391" i="14"/>
  <c r="G10" i="16"/>
  <c r="G38" i="16"/>
  <c r="K31" i="16"/>
  <c r="AG35" i="7"/>
  <c r="G61" i="16"/>
  <c r="K65" i="16"/>
  <c r="AG72" i="7"/>
  <c r="L65" i="16" s="1"/>
  <c r="AA212" i="11"/>
  <c r="Y214" i="11"/>
  <c r="V21" i="10"/>
  <c r="E19" i="7" s="1"/>
  <c r="W21" i="10"/>
  <c r="AA127" i="11"/>
  <c r="Y129" i="11"/>
  <c r="AA90" i="11"/>
  <c r="Y92" i="11"/>
  <c r="V29" i="10"/>
  <c r="E27" i="7" s="1"/>
  <c r="W29" i="10"/>
  <c r="G57" i="16"/>
  <c r="G62" i="16"/>
  <c r="V25" i="10"/>
  <c r="E23" i="7" s="1"/>
  <c r="W25" i="10"/>
  <c r="G58" i="16"/>
  <c r="N115" i="13"/>
  <c r="P115" i="13" s="1"/>
  <c r="X58" i="13" s="1"/>
  <c r="AC46" i="7" s="1"/>
  <c r="V42" i="16" s="1"/>
  <c r="M115" i="13"/>
  <c r="O115" i="13" s="1"/>
  <c r="W58" i="13" s="1"/>
  <c r="AB46" i="7" s="1"/>
  <c r="T42" i="16" s="1"/>
  <c r="U31" i="7"/>
  <c r="T32" i="7"/>
  <c r="U55" i="7"/>
  <c r="T56" i="7"/>
  <c r="T8" i="7"/>
  <c r="U7" i="7"/>
  <c r="B19" i="6"/>
  <c r="G17" i="6"/>
  <c r="W19" i="10"/>
  <c r="V19" i="10"/>
  <c r="E17" i="7" s="1"/>
  <c r="G19" i="16"/>
  <c r="X74" i="10"/>
  <c r="Z74" i="10" s="1"/>
  <c r="AA14" i="14"/>
  <c r="Y16" i="14"/>
  <c r="Y92" i="14"/>
  <c r="AA90" i="14"/>
  <c r="W17" i="10"/>
  <c r="V17" i="10"/>
  <c r="E15" i="7" s="1"/>
  <c r="Y247" i="11"/>
  <c r="AA245" i="11"/>
  <c r="G29" i="16"/>
  <c r="Y15" i="11"/>
  <c r="Y54" i="11"/>
  <c r="G13" i="16"/>
  <c r="E51" i="7"/>
  <c r="W54" i="10"/>
  <c r="G63" i="16"/>
  <c r="K20" i="16"/>
  <c r="AG21" i="7"/>
  <c r="L20" i="16" s="1"/>
  <c r="G65" i="16"/>
  <c r="G21" i="16"/>
  <c r="X15" i="10"/>
  <c r="X16" i="10" s="1"/>
  <c r="V23" i="10"/>
  <c r="E21" i="7" s="1"/>
  <c r="W23" i="10"/>
  <c r="G23" i="16"/>
  <c r="G53" i="16"/>
  <c r="G66" i="16"/>
  <c r="U18" i="10"/>
  <c r="G16" i="6"/>
  <c r="H19" i="6"/>
  <c r="W44" i="10"/>
  <c r="W75" i="10"/>
  <c r="X75" i="10" s="1"/>
  <c r="X76" i="10" s="1"/>
  <c r="W78" i="10"/>
  <c r="K35" i="16"/>
  <c r="AG39" i="7"/>
  <c r="L35" i="16" s="1"/>
  <c r="K53" i="16"/>
  <c r="AG60" i="7"/>
  <c r="L53" i="16" s="1"/>
  <c r="AF69" i="14"/>
  <c r="AF74" i="7" s="1"/>
  <c r="AF12" i="14"/>
  <c r="AF11" i="7" s="1"/>
  <c r="AH133" i="14"/>
  <c r="AH30" i="14" s="1"/>
  <c r="AH216" i="14"/>
  <c r="AH256" i="14"/>
  <c r="P50" i="12"/>
  <c r="N21" i="13"/>
  <c r="P21" i="13" s="1"/>
  <c r="M21" i="13"/>
  <c r="O21" i="13" s="1"/>
  <c r="N37" i="13"/>
  <c r="P37" i="13" s="1"/>
  <c r="M37" i="13"/>
  <c r="O37" i="13" s="1"/>
  <c r="M73" i="13"/>
  <c r="O73" i="13" s="1"/>
  <c r="R73" i="13" s="1"/>
  <c r="N73" i="13"/>
  <c r="P73" i="13" s="1"/>
  <c r="K7" i="16"/>
  <c r="AG8" i="7"/>
  <c r="V20" i="10"/>
  <c r="E18" i="7" s="1"/>
  <c r="K11" i="16"/>
  <c r="AG12" i="7"/>
  <c r="L11" i="16" s="1"/>
  <c r="G35" i="16"/>
  <c r="G12" i="16"/>
  <c r="G32" i="16"/>
  <c r="G36" i="16"/>
  <c r="G49" i="16"/>
  <c r="AH61" i="10"/>
  <c r="R18" i="7"/>
  <c r="BA17" i="16" s="1"/>
  <c r="Q25" i="18" s="1"/>
  <c r="R25" i="18" s="1"/>
  <c r="AB63" i="8"/>
  <c r="AC63" i="8" s="1"/>
  <c r="AD63" i="8" s="1"/>
  <c r="K23" i="16"/>
  <c r="AG24" i="7"/>
  <c r="K48" i="16"/>
  <c r="AG55" i="7"/>
  <c r="K54" i="16"/>
  <c r="AG61" i="7"/>
  <c r="AF64" i="14"/>
  <c r="AF69" i="7" s="1"/>
  <c r="AH120" i="14"/>
  <c r="AH21" i="14" s="1"/>
  <c r="K36" i="16"/>
  <c r="AG40" i="7"/>
  <c r="L36" i="16" s="1"/>
  <c r="AF48" i="14"/>
  <c r="AF50" i="7" s="1"/>
  <c r="AH168" i="14"/>
  <c r="AH175" i="14"/>
  <c r="AH224" i="14"/>
  <c r="AH232" i="14"/>
  <c r="M24" i="13"/>
  <c r="O24" i="13" s="1"/>
  <c r="N24" i="13"/>
  <c r="P24" i="13" s="1"/>
  <c r="N69" i="13"/>
  <c r="P69" i="13" s="1"/>
  <c r="M69" i="13"/>
  <c r="O69" i="13" s="1"/>
  <c r="N15" i="16"/>
  <c r="AH16" i="7"/>
  <c r="D44" i="16"/>
  <c r="E52" i="18" s="1"/>
  <c r="D47" i="16"/>
  <c r="E55" i="18" s="1"/>
  <c r="D46" i="16"/>
  <c r="E54" i="18" s="1"/>
  <c r="D39" i="16"/>
  <c r="E47" i="18" s="1"/>
  <c r="D35" i="16"/>
  <c r="E43" i="18" s="1"/>
  <c r="D45" i="16"/>
  <c r="E53" i="18" s="1"/>
  <c r="D36" i="16"/>
  <c r="E44" i="18" s="1"/>
  <c r="D28" i="16"/>
  <c r="E36" i="18" s="1"/>
  <c r="D42" i="16"/>
  <c r="E50" i="18" s="1"/>
  <c r="D29" i="16"/>
  <c r="E37" i="18" s="1"/>
  <c r="D34" i="16"/>
  <c r="E42" i="18" s="1"/>
  <c r="D31" i="16"/>
  <c r="E39" i="18" s="1"/>
  <c r="D41" i="16"/>
  <c r="E49" i="18" s="1"/>
  <c r="D43" i="16"/>
  <c r="E51" i="18" s="1"/>
  <c r="D32" i="16"/>
  <c r="E40" i="18" s="1"/>
  <c r="D27" i="16"/>
  <c r="E35" i="18" s="1"/>
  <c r="D37" i="16"/>
  <c r="E45" i="18" s="1"/>
  <c r="D30" i="16"/>
  <c r="E38" i="18" s="1"/>
  <c r="D40" i="16"/>
  <c r="E48" i="18" s="1"/>
  <c r="D38" i="16"/>
  <c r="E46" i="18" s="1"/>
  <c r="D33" i="16"/>
  <c r="E41" i="18" s="1"/>
  <c r="K26" i="16"/>
  <c r="AG27" i="7"/>
  <c r="L26" i="16" s="1"/>
  <c r="P48" i="12"/>
  <c r="P52" i="12"/>
  <c r="P55" i="12"/>
  <c r="P51" i="12"/>
  <c r="P49" i="12"/>
  <c r="P54" i="12"/>
  <c r="N38" i="13"/>
  <c r="P38" i="13" s="1"/>
  <c r="M38" i="13"/>
  <c r="O38" i="13" s="1"/>
  <c r="A54" i="7"/>
  <c r="A56" i="10" s="1"/>
  <c r="V7" i="10"/>
  <c r="E8" i="7" s="1"/>
  <c r="W12" i="10"/>
  <c r="W22" i="10"/>
  <c r="W24" i="10"/>
  <c r="W26" i="10"/>
  <c r="V32" i="10"/>
  <c r="E31" i="7" s="1"/>
  <c r="V39" i="10"/>
  <c r="E37" i="7" s="1"/>
  <c r="V59" i="10"/>
  <c r="E57" i="7" s="1"/>
  <c r="W62" i="10"/>
  <c r="W66" i="10"/>
  <c r="W70" i="10"/>
  <c r="X70" i="10" s="1"/>
  <c r="X71" i="10" s="1"/>
  <c r="R9" i="7"/>
  <c r="BA8" i="16" s="1"/>
  <c r="Q16" i="18" s="1"/>
  <c r="R16" i="18" s="1"/>
  <c r="K42" i="16"/>
  <c r="AG46" i="7"/>
  <c r="K49" i="16"/>
  <c r="AG56" i="7"/>
  <c r="L49" i="16" s="1"/>
  <c r="K56" i="16"/>
  <c r="AG63" i="7"/>
  <c r="AH104" i="14"/>
  <c r="AH16" i="14" s="1"/>
  <c r="AH187" i="14"/>
  <c r="AH218" i="14"/>
  <c r="AH234" i="14"/>
  <c r="Y292" i="14"/>
  <c r="Y327" i="14"/>
  <c r="P53" i="12"/>
  <c r="N18" i="13"/>
  <c r="P18" i="13" s="1"/>
  <c r="M18" i="13"/>
  <c r="O18" i="13" s="1"/>
  <c r="M25" i="13"/>
  <c r="O25" i="13" s="1"/>
  <c r="N25" i="13"/>
  <c r="P25" i="13" s="1"/>
  <c r="N34" i="13"/>
  <c r="P34" i="13" s="1"/>
  <c r="M34" i="13"/>
  <c r="O34" i="13" s="1"/>
  <c r="N50" i="13"/>
  <c r="P50" i="13" s="1"/>
  <c r="M50" i="13"/>
  <c r="O50" i="13" s="1"/>
  <c r="N66" i="13"/>
  <c r="P66" i="13" s="1"/>
  <c r="M66" i="13"/>
  <c r="O66" i="13" s="1"/>
  <c r="J140" i="13"/>
  <c r="K140" i="13" s="1"/>
  <c r="L140" i="13" s="1"/>
  <c r="J135" i="13"/>
  <c r="K135" i="13" s="1"/>
  <c r="L135" i="13" s="1"/>
  <c r="J124" i="13"/>
  <c r="K124" i="13" s="1"/>
  <c r="L124" i="13" s="1"/>
  <c r="J96" i="13"/>
  <c r="K96" i="13" s="1"/>
  <c r="L96" i="13" s="1"/>
  <c r="J91" i="13"/>
  <c r="K91" i="13" s="1"/>
  <c r="L91" i="13" s="1"/>
  <c r="J85" i="13"/>
  <c r="K85" i="13" s="1"/>
  <c r="L85" i="13" s="1"/>
  <c r="J78" i="13"/>
  <c r="K78" i="13" s="1"/>
  <c r="L78" i="13" s="1"/>
  <c r="J144" i="13"/>
  <c r="K144" i="13" s="1"/>
  <c r="L144" i="13" s="1"/>
  <c r="J106" i="13"/>
  <c r="K106" i="13" s="1"/>
  <c r="L106" i="13" s="1"/>
  <c r="J101" i="13"/>
  <c r="K101" i="13" s="1"/>
  <c r="L101" i="13" s="1"/>
  <c r="J79" i="13"/>
  <c r="K79" i="13" s="1"/>
  <c r="L79" i="13" s="1"/>
  <c r="J142" i="13"/>
  <c r="K142" i="13" s="1"/>
  <c r="L142" i="13" s="1"/>
  <c r="J133" i="13"/>
  <c r="K133" i="13" s="1"/>
  <c r="L133" i="13" s="1"/>
  <c r="J128" i="13"/>
  <c r="K128" i="13" s="1"/>
  <c r="L128" i="13" s="1"/>
  <c r="J122" i="13"/>
  <c r="K122" i="13" s="1"/>
  <c r="L122" i="13" s="1"/>
  <c r="J117" i="13"/>
  <c r="K117" i="13" s="1"/>
  <c r="L117" i="13" s="1"/>
  <c r="J111" i="13"/>
  <c r="K111" i="13" s="1"/>
  <c r="L111" i="13" s="1"/>
  <c r="J94" i="13"/>
  <c r="K94" i="13" s="1"/>
  <c r="L94" i="13" s="1"/>
  <c r="J136" i="13"/>
  <c r="K136" i="13" s="1"/>
  <c r="L136" i="13" s="1"/>
  <c r="J125" i="13"/>
  <c r="K125" i="13" s="1"/>
  <c r="L125" i="13" s="1"/>
  <c r="J97" i="13"/>
  <c r="K97" i="13" s="1"/>
  <c r="L97" i="13" s="1"/>
  <c r="J146" i="13"/>
  <c r="K146" i="13" s="1"/>
  <c r="L146" i="13" s="1"/>
  <c r="J129" i="13"/>
  <c r="K129" i="13" s="1"/>
  <c r="L129" i="13" s="1"/>
  <c r="J118" i="13"/>
  <c r="K118" i="13" s="1"/>
  <c r="L118" i="13" s="1"/>
  <c r="J107" i="13"/>
  <c r="K107" i="13" s="1"/>
  <c r="L107" i="13" s="1"/>
  <c r="J102" i="13"/>
  <c r="K102" i="13" s="1"/>
  <c r="L102" i="13" s="1"/>
  <c r="J82" i="13"/>
  <c r="K82" i="13" s="1"/>
  <c r="L82" i="13" s="1"/>
  <c r="J98" i="13"/>
  <c r="K98" i="13" s="1"/>
  <c r="L98" i="13" s="1"/>
  <c r="J147" i="13"/>
  <c r="K147" i="13" s="1"/>
  <c r="L147" i="13" s="1"/>
  <c r="J137" i="13"/>
  <c r="K137" i="13" s="1"/>
  <c r="L137" i="13" s="1"/>
  <c r="J130" i="13"/>
  <c r="K130" i="13" s="1"/>
  <c r="L130" i="13" s="1"/>
  <c r="J119" i="13"/>
  <c r="K119" i="13" s="1"/>
  <c r="L119" i="13" s="1"/>
  <c r="J113" i="13"/>
  <c r="K113" i="13" s="1"/>
  <c r="L113" i="13" s="1"/>
  <c r="J108" i="13"/>
  <c r="K108" i="13" s="1"/>
  <c r="L108" i="13" s="1"/>
  <c r="J132" i="13"/>
  <c r="K132" i="13" s="1"/>
  <c r="L132" i="13" s="1"/>
  <c r="J110" i="13"/>
  <c r="K110" i="13" s="1"/>
  <c r="L110" i="13" s="1"/>
  <c r="J99" i="13"/>
  <c r="K99" i="13" s="1"/>
  <c r="L99" i="13" s="1"/>
  <c r="J92" i="13"/>
  <c r="K92" i="13" s="1"/>
  <c r="L92" i="13" s="1"/>
  <c r="J86" i="13"/>
  <c r="K86" i="13" s="1"/>
  <c r="L86" i="13" s="1"/>
  <c r="J84" i="13"/>
  <c r="K84" i="13" s="1"/>
  <c r="L84" i="13" s="1"/>
  <c r="J131" i="13"/>
  <c r="K131" i="13" s="1"/>
  <c r="L131" i="13" s="1"/>
  <c r="J109" i="13"/>
  <c r="K109" i="13" s="1"/>
  <c r="L109" i="13" s="1"/>
  <c r="J95" i="13"/>
  <c r="K95" i="13" s="1"/>
  <c r="L95" i="13" s="1"/>
  <c r="J126" i="13"/>
  <c r="K126" i="13" s="1"/>
  <c r="L126" i="13" s="1"/>
  <c r="J89" i="13"/>
  <c r="K89" i="13" s="1"/>
  <c r="L89" i="13" s="1"/>
  <c r="J80" i="13"/>
  <c r="K80" i="13" s="1"/>
  <c r="L80" i="13" s="1"/>
  <c r="J143" i="13"/>
  <c r="K143" i="13" s="1"/>
  <c r="L143" i="13" s="1"/>
  <c r="J139" i="13"/>
  <c r="K139" i="13" s="1"/>
  <c r="L139" i="13" s="1"/>
  <c r="J105" i="13"/>
  <c r="K105" i="13" s="1"/>
  <c r="L105" i="13" s="1"/>
  <c r="J138" i="13"/>
  <c r="K138" i="13" s="1"/>
  <c r="L138" i="13" s="1"/>
  <c r="J134" i="13"/>
  <c r="K134" i="13" s="1"/>
  <c r="L134" i="13" s="1"/>
  <c r="J112" i="13"/>
  <c r="K112" i="13" s="1"/>
  <c r="L112" i="13" s="1"/>
  <c r="J121" i="13"/>
  <c r="K121" i="13" s="1"/>
  <c r="L121" i="13" s="1"/>
  <c r="J104" i="13"/>
  <c r="K104" i="13" s="1"/>
  <c r="L104" i="13" s="1"/>
  <c r="J83" i="13"/>
  <c r="K83" i="13" s="1"/>
  <c r="L83" i="13" s="1"/>
  <c r="J141" i="13"/>
  <c r="K141" i="13" s="1"/>
  <c r="L141" i="13" s="1"/>
  <c r="J93" i="13"/>
  <c r="K93" i="13" s="1"/>
  <c r="L93" i="13" s="1"/>
  <c r="J90" i="13"/>
  <c r="K90" i="13" s="1"/>
  <c r="L90" i="13" s="1"/>
  <c r="J123" i="13"/>
  <c r="K123" i="13" s="1"/>
  <c r="L123" i="13" s="1"/>
  <c r="J114" i="13"/>
  <c r="K114" i="13" s="1"/>
  <c r="L114" i="13" s="1"/>
  <c r="J103" i="13"/>
  <c r="K103" i="13" s="1"/>
  <c r="L103" i="13" s="1"/>
  <c r="W73" i="10"/>
  <c r="X73" i="10" s="1"/>
  <c r="Z73" i="10" s="1"/>
  <c r="K39" i="16"/>
  <c r="AG43" i="7"/>
  <c r="W32" i="10"/>
  <c r="G42" i="16"/>
  <c r="AF18" i="14"/>
  <c r="AF17" i="7" s="1"/>
  <c r="K57" i="16"/>
  <c r="AG64" i="7"/>
  <c r="L57" i="16" s="1"/>
  <c r="N46" i="13"/>
  <c r="P46" i="13" s="1"/>
  <c r="M46" i="13"/>
  <c r="O46" i="13" s="1"/>
  <c r="N62" i="13"/>
  <c r="P62" i="13" s="1"/>
  <c r="M62" i="13"/>
  <c r="O62" i="13" s="1"/>
  <c r="N70" i="13"/>
  <c r="P70" i="13" s="1"/>
  <c r="M70" i="13"/>
  <c r="O70" i="13" s="1"/>
  <c r="K38" i="16"/>
  <c r="AG42" i="7"/>
  <c r="K68" i="16"/>
  <c r="AG75" i="7"/>
  <c r="M74" i="13"/>
  <c r="O74" i="13" s="1"/>
  <c r="N74" i="13"/>
  <c r="P74" i="13" s="1"/>
  <c r="N87" i="13"/>
  <c r="P87" i="13" s="1"/>
  <c r="X30" i="13" s="1"/>
  <c r="AC15" i="7" s="1"/>
  <c r="V14" i="16" s="1"/>
  <c r="M87" i="13"/>
  <c r="O87" i="13" s="1"/>
  <c r="Y361" i="14"/>
  <c r="AA359" i="14"/>
  <c r="G67" i="16"/>
  <c r="AA161" i="11"/>
  <c r="V43" i="10"/>
  <c r="E41" i="7" s="1"/>
  <c r="K50" i="16"/>
  <c r="AG57" i="7"/>
  <c r="K17" i="16"/>
  <c r="AG18" i="7"/>
  <c r="L17" i="16" s="1"/>
  <c r="AH212" i="14"/>
  <c r="AJ212" i="14" s="1"/>
  <c r="Y514" i="14"/>
  <c r="N35" i="13"/>
  <c r="P35" i="13" s="1"/>
  <c r="M35" i="13"/>
  <c r="O35" i="13" s="1"/>
  <c r="N39" i="13"/>
  <c r="P39" i="13" s="1"/>
  <c r="M51" i="13"/>
  <c r="O51" i="13" s="1"/>
  <c r="N51" i="13"/>
  <c r="P51" i="13" s="1"/>
  <c r="N67" i="13"/>
  <c r="P67" i="13" s="1"/>
  <c r="M67" i="13"/>
  <c r="O67" i="13" s="1"/>
  <c r="T31" i="7"/>
  <c r="T55" i="7"/>
  <c r="T7" i="7"/>
  <c r="AH244" i="14"/>
  <c r="AK64" i="14" s="1"/>
  <c r="AH243" i="14"/>
  <c r="AJ64" i="14" s="1"/>
  <c r="K8" i="16"/>
  <c r="AG9" i="7"/>
  <c r="K12" i="16"/>
  <c r="AG13" i="7"/>
  <c r="L12" i="16" s="1"/>
  <c r="K64" i="16"/>
  <c r="AG71" i="7"/>
  <c r="L64" i="16" s="1"/>
  <c r="AH116" i="14"/>
  <c r="AH19" i="14" s="1"/>
  <c r="K24" i="16"/>
  <c r="AG25" i="7"/>
  <c r="L24" i="16" s="1"/>
  <c r="AH229" i="14"/>
  <c r="N61" i="13"/>
  <c r="P61" i="13" s="1"/>
  <c r="M61" i="13"/>
  <c r="O61" i="13" s="1"/>
  <c r="M19" i="13"/>
  <c r="O19" i="13" s="1"/>
  <c r="N19" i="13"/>
  <c r="P19" i="13" s="1"/>
  <c r="M26" i="13"/>
  <c r="O26" i="13" s="1"/>
  <c r="W42" i="13" s="1"/>
  <c r="AB27" i="7" s="1"/>
  <c r="T26" i="16" s="1"/>
  <c r="N55" i="13"/>
  <c r="P55" i="13" s="1"/>
  <c r="M55" i="13"/>
  <c r="O55" i="13" s="1"/>
  <c r="N71" i="13"/>
  <c r="P71" i="13" s="1"/>
  <c r="M71" i="13"/>
  <c r="O71" i="13" s="1"/>
  <c r="N41" i="13"/>
  <c r="P41" i="13" s="1"/>
  <c r="M41" i="13"/>
  <c r="O41" i="13" s="1"/>
  <c r="G30" i="16"/>
  <c r="G34" i="16"/>
  <c r="G51" i="16"/>
  <c r="V8" i="10"/>
  <c r="E9" i="7" s="1"/>
  <c r="V13" i="10"/>
  <c r="E12" i="7" s="1"/>
  <c r="V52" i="10"/>
  <c r="E50" i="7" s="1"/>
  <c r="V57" i="10"/>
  <c r="E55" i="7" s="1"/>
  <c r="V77" i="10"/>
  <c r="E71" i="7" s="1"/>
  <c r="V81" i="10"/>
  <c r="E75" i="7" s="1"/>
  <c r="R57" i="7"/>
  <c r="BA50" i="16" s="1"/>
  <c r="Q58" i="18" s="1"/>
  <c r="R58" i="18" s="1"/>
  <c r="K18" i="16"/>
  <c r="AG19" i="7"/>
  <c r="L18" i="16" s="1"/>
  <c r="K32" i="16"/>
  <c r="AG36" i="7"/>
  <c r="K51" i="16"/>
  <c r="AG58" i="7"/>
  <c r="K59" i="16"/>
  <c r="AG66" i="7"/>
  <c r="L59" i="16" s="1"/>
  <c r="AH173" i="14"/>
  <c r="AH222" i="14"/>
  <c r="N63" i="13"/>
  <c r="P63" i="13" s="1"/>
  <c r="M63" i="13"/>
  <c r="O63" i="13" s="1"/>
  <c r="N81" i="13"/>
  <c r="P81" i="13" s="1"/>
  <c r="M81" i="13"/>
  <c r="O81" i="13" s="1"/>
  <c r="AA24" i="13" s="1"/>
  <c r="J120" i="13"/>
  <c r="K120" i="13" s="1"/>
  <c r="L120" i="13" s="1"/>
  <c r="G6" i="16"/>
  <c r="G28" i="16"/>
  <c r="G55" i="16"/>
  <c r="G59" i="16"/>
  <c r="K60" i="16"/>
  <c r="AG67" i="7"/>
  <c r="L60" i="16" s="1"/>
  <c r="K34" i="16"/>
  <c r="AG38" i="7"/>
  <c r="AH149" i="14"/>
  <c r="AF39" i="14"/>
  <c r="AF41" i="7" s="1"/>
  <c r="AH245" i="14"/>
  <c r="AH65" i="14" s="1"/>
  <c r="AF65" i="14"/>
  <c r="AF70" i="7" s="1"/>
  <c r="AH254" i="14"/>
  <c r="AH69" i="14" s="1"/>
  <c r="Y481" i="14"/>
  <c r="N15" i="13"/>
  <c r="P15" i="13" s="1"/>
  <c r="N52" i="13"/>
  <c r="P52" i="13" s="1"/>
  <c r="M52" i="13"/>
  <c r="O52" i="13" s="1"/>
  <c r="N59" i="13"/>
  <c r="P59" i="13" s="1"/>
  <c r="M59" i="13"/>
  <c r="O59" i="13" s="1"/>
  <c r="M68" i="13"/>
  <c r="O68" i="13" s="1"/>
  <c r="N68" i="13"/>
  <c r="P68" i="13" s="1"/>
  <c r="J100" i="13"/>
  <c r="K100" i="13" s="1"/>
  <c r="L100" i="13" s="1"/>
  <c r="K9" i="16"/>
  <c r="K33" i="16"/>
  <c r="AG37" i="7"/>
  <c r="K52" i="16"/>
  <c r="AG59" i="7"/>
  <c r="AF15" i="14"/>
  <c r="AF14" i="7" s="1"/>
  <c r="K27" i="16"/>
  <c r="AG31" i="7"/>
  <c r="L27" i="16" s="1"/>
  <c r="AH174" i="14"/>
  <c r="N4" i="13"/>
  <c r="P4" i="13" s="1"/>
  <c r="M4" i="13"/>
  <c r="O4" i="13" s="1"/>
  <c r="N32" i="13"/>
  <c r="P32" i="13" s="1"/>
  <c r="M32" i="13"/>
  <c r="O32" i="13" s="1"/>
  <c r="N48" i="13"/>
  <c r="P48" i="13" s="1"/>
  <c r="M48" i="13"/>
  <c r="O48" i="13" s="1"/>
  <c r="AG10" i="7"/>
  <c r="N16" i="16"/>
  <c r="G39" i="16"/>
  <c r="K15" i="16"/>
  <c r="AG16" i="7"/>
  <c r="L15" i="16" s="1"/>
  <c r="G31" i="16"/>
  <c r="G52" i="16"/>
  <c r="K6" i="16"/>
  <c r="AG7" i="7"/>
  <c r="L6" i="16" s="1"/>
  <c r="K61" i="16"/>
  <c r="AG68" i="7"/>
  <c r="L61" i="16" s="1"/>
  <c r="K66" i="16"/>
  <c r="AG73" i="7"/>
  <c r="L66" i="16" s="1"/>
  <c r="K28" i="16"/>
  <c r="AG32" i="7"/>
  <c r="L28" i="16" s="1"/>
  <c r="AJ210" i="14"/>
  <c r="AH209" i="14"/>
  <c r="N16" i="13"/>
  <c r="P16" i="13" s="1"/>
  <c r="M16" i="13"/>
  <c r="O16" i="13" s="1"/>
  <c r="M23" i="13"/>
  <c r="O23" i="13" s="1"/>
  <c r="N27" i="13"/>
  <c r="P27" i="13" s="1"/>
  <c r="M27" i="13"/>
  <c r="O27" i="13" s="1"/>
  <c r="M56" i="13"/>
  <c r="O56" i="13" s="1"/>
  <c r="Y55" i="12"/>
  <c r="N13" i="16"/>
  <c r="O55" i="12"/>
  <c r="O50" i="12"/>
  <c r="O48" i="12"/>
  <c r="O53" i="12"/>
  <c r="N14" i="16"/>
  <c r="AH15" i="7"/>
  <c r="N6" i="16"/>
  <c r="AH7" i="7"/>
  <c r="Y452" i="14"/>
  <c r="Y48" i="12"/>
  <c r="Y50" i="12"/>
  <c r="Y56" i="12"/>
  <c r="N31" i="13"/>
  <c r="P31" i="13" s="1"/>
  <c r="N17" i="16"/>
  <c r="N28" i="16"/>
  <c r="N61" i="16"/>
  <c r="AH68" i="7"/>
  <c r="K55" i="16"/>
  <c r="AG62" i="7"/>
  <c r="L55" i="16" s="1"/>
  <c r="O54" i="12"/>
  <c r="N18" i="16"/>
  <c r="AH19" i="7"/>
  <c r="AH250" i="14"/>
  <c r="AH67" i="14" s="1"/>
  <c r="O49" i="12"/>
  <c r="O51" i="12"/>
  <c r="N45" i="13"/>
  <c r="P45" i="13" s="1"/>
  <c r="M45" i="13"/>
  <c r="O45" i="13" s="1"/>
  <c r="N19" i="16"/>
  <c r="N20" i="16"/>
  <c r="AH21" i="7"/>
  <c r="N26" i="16"/>
  <c r="K58" i="16"/>
  <c r="AG65" i="7"/>
  <c r="X48" i="12"/>
  <c r="X52" i="12"/>
  <c r="X51" i="12"/>
  <c r="M5" i="13"/>
  <c r="O5" i="13" s="1"/>
  <c r="N7" i="13"/>
  <c r="P7" i="13" s="1"/>
  <c r="M9" i="13"/>
  <c r="O9" i="13" s="1"/>
  <c r="N33" i="13"/>
  <c r="P33" i="13" s="1"/>
  <c r="M53" i="13"/>
  <c r="O53" i="13" s="1"/>
  <c r="M57" i="13"/>
  <c r="O57" i="13" s="1"/>
  <c r="K47" i="16"/>
  <c r="AG51" i="7"/>
  <c r="Y548" i="14"/>
  <c r="N11" i="16"/>
  <c r="AH12" i="7"/>
  <c r="Y52" i="12"/>
  <c r="Y54" i="12"/>
  <c r="Y49" i="12"/>
  <c r="O52" i="12"/>
  <c r="N44" i="13"/>
  <c r="P44" i="13" s="1"/>
  <c r="M44" i="13"/>
  <c r="O44" i="13" s="1"/>
  <c r="N12" i="16"/>
  <c r="AH13" i="7"/>
  <c r="N30" i="16"/>
  <c r="AH34" i="7"/>
  <c r="D66" i="16"/>
  <c r="E74" i="18" s="1"/>
  <c r="D65" i="16"/>
  <c r="E73" i="18" s="1"/>
  <c r="D63" i="16"/>
  <c r="E71" i="18" s="1"/>
  <c r="D60" i="16"/>
  <c r="E68" i="18" s="1"/>
  <c r="D56" i="16"/>
  <c r="E64" i="18" s="1"/>
  <c r="D52" i="16"/>
  <c r="E60" i="18" s="1"/>
  <c r="D48" i="16"/>
  <c r="E56" i="18" s="1"/>
  <c r="D59" i="16"/>
  <c r="E67" i="18" s="1"/>
  <c r="D55" i="16"/>
  <c r="E63" i="18" s="1"/>
  <c r="D51" i="16"/>
  <c r="E59" i="18" s="1"/>
  <c r="D68" i="16"/>
  <c r="E76" i="18" s="1"/>
  <c r="D61" i="16"/>
  <c r="E69" i="18" s="1"/>
  <c r="D62" i="16"/>
  <c r="E70" i="18" s="1"/>
  <c r="D54" i="16"/>
  <c r="E62" i="18" s="1"/>
  <c r="D53" i="16"/>
  <c r="E61" i="18" s="1"/>
  <c r="D57" i="16"/>
  <c r="E65" i="18" s="1"/>
  <c r="D50" i="16"/>
  <c r="E58" i="18" s="1"/>
  <c r="D49" i="16"/>
  <c r="E57" i="18" s="1"/>
  <c r="D64" i="16"/>
  <c r="E72" i="18" s="1"/>
  <c r="D67" i="16"/>
  <c r="E75" i="18" s="1"/>
  <c r="D58" i="16"/>
  <c r="E66" i="18" s="1"/>
  <c r="J36" i="13"/>
  <c r="K36" i="13" s="1"/>
  <c r="L36" i="13" s="1"/>
  <c r="J47" i="13"/>
  <c r="K47" i="13" s="1"/>
  <c r="L47" i="13" s="1"/>
  <c r="J64" i="13"/>
  <c r="K64" i="13" s="1"/>
  <c r="L64" i="13" s="1"/>
  <c r="J65" i="13"/>
  <c r="K65" i="13" s="1"/>
  <c r="L65" i="13" s="1"/>
  <c r="D8" i="16"/>
  <c r="E16" i="18" s="1"/>
  <c r="D26" i="16"/>
  <c r="E34" i="18" s="1"/>
  <c r="D25" i="16"/>
  <c r="E33" i="18" s="1"/>
  <c r="D24" i="16"/>
  <c r="E32" i="18" s="1"/>
  <c r="D23" i="16"/>
  <c r="E31" i="18" s="1"/>
  <c r="D12" i="16"/>
  <c r="E20" i="18" s="1"/>
  <c r="D14" i="16"/>
  <c r="E22" i="18" s="1"/>
  <c r="D6" i="16"/>
  <c r="E14" i="18" s="1"/>
  <c r="D13" i="16"/>
  <c r="E21" i="18" s="1"/>
  <c r="D20" i="16"/>
  <c r="E28" i="18" s="1"/>
  <c r="D19" i="16"/>
  <c r="E27" i="18" s="1"/>
  <c r="D18" i="16"/>
  <c r="E26" i="18" s="1"/>
  <c r="D17" i="16"/>
  <c r="E25" i="18" s="1"/>
  <c r="D16" i="16"/>
  <c r="E24" i="18" s="1"/>
  <c r="D22" i="16"/>
  <c r="E30" i="18" s="1"/>
  <c r="D21" i="16"/>
  <c r="E29" i="18" s="1"/>
  <c r="D11" i="16"/>
  <c r="E19" i="18" s="1"/>
  <c r="D10" i="16"/>
  <c r="E18" i="18" s="1"/>
  <c r="D9" i="16"/>
  <c r="E17" i="18" s="1"/>
  <c r="D15" i="16"/>
  <c r="E23" i="18" s="1"/>
  <c r="D7" i="16"/>
  <c r="E15" i="18" s="1"/>
  <c r="J17" i="13"/>
  <c r="K17" i="13" s="1"/>
  <c r="L17" i="13" s="1"/>
  <c r="J30" i="13"/>
  <c r="K30" i="13" s="1"/>
  <c r="L30" i="13" s="1"/>
  <c r="N29" i="16"/>
  <c r="J20" i="13"/>
  <c r="K20" i="13" s="1"/>
  <c r="L20" i="13" s="1"/>
  <c r="J29" i="13"/>
  <c r="K29" i="13" s="1"/>
  <c r="L29" i="13" s="1"/>
  <c r="J6" i="13"/>
  <c r="K6" i="13" s="1"/>
  <c r="L6" i="13" s="1"/>
  <c r="J28" i="13"/>
  <c r="K28" i="13" s="1"/>
  <c r="L28" i="13" s="1"/>
  <c r="AH40" i="7"/>
  <c r="N57" i="16"/>
  <c r="AH67" i="7"/>
  <c r="D83" i="7"/>
  <c r="AH71" i="7"/>
  <c r="AH72" i="7"/>
  <c r="Z53" i="18"/>
  <c r="AH62" i="7"/>
  <c r="AH66" i="7"/>
  <c r="AC51" i="18"/>
  <c r="AD51" i="18" s="1"/>
  <c r="AF53" i="18"/>
  <c r="AG53" i="18" s="1"/>
  <c r="AF48" i="18"/>
  <c r="AG48" i="18" s="1"/>
  <c r="AI51" i="18"/>
  <c r="AJ51" i="18" s="1"/>
  <c r="AC48" i="18"/>
  <c r="AD48" i="18" s="1"/>
  <c r="AC53" i="18"/>
  <c r="AD53" i="18" s="1"/>
  <c r="AI48" i="18"/>
  <c r="AJ48" i="18" s="1"/>
  <c r="AF51" i="18"/>
  <c r="AG51" i="18" s="1"/>
  <c r="AF52" i="18"/>
  <c r="AG52" i="18" s="1"/>
  <c r="AF49" i="18"/>
  <c r="AG49" i="18" s="1"/>
  <c r="AI52" i="18"/>
  <c r="AJ52" i="18" s="1"/>
  <c r="AI53" i="18"/>
  <c r="AJ53" i="18" s="1"/>
  <c r="M17" i="13" l="1"/>
  <c r="O17" i="13" s="1"/>
  <c r="N17" i="13"/>
  <c r="P17" i="13" s="1"/>
  <c r="K62" i="16"/>
  <c r="AG69" i="7"/>
  <c r="AH32" i="7"/>
  <c r="N98" i="13"/>
  <c r="P98" i="13" s="1"/>
  <c r="X40" i="13" s="1"/>
  <c r="AC25" i="7" s="1"/>
  <c r="M98" i="13"/>
  <c r="O98" i="13" s="1"/>
  <c r="W40" i="13" s="1"/>
  <c r="AB25" i="7" s="1"/>
  <c r="T24" i="16" s="1"/>
  <c r="M96" i="13"/>
  <c r="O96" i="13" s="1"/>
  <c r="N96" i="13"/>
  <c r="P96" i="13" s="1"/>
  <c r="X36" i="13" s="1"/>
  <c r="AC21" i="7" s="1"/>
  <c r="G33" i="16"/>
  <c r="L68" i="16"/>
  <c r="AH75" i="7"/>
  <c r="N134" i="13"/>
  <c r="P134" i="13" s="1"/>
  <c r="X75" i="13" s="1"/>
  <c r="AC66" i="7" s="1"/>
  <c r="M134" i="13"/>
  <c r="O134" i="13" s="1"/>
  <c r="W75" i="13" s="1"/>
  <c r="AB66" i="7" s="1"/>
  <c r="T59" i="16" s="1"/>
  <c r="N124" i="13"/>
  <c r="P124" i="13" s="1"/>
  <c r="X68" i="13" s="1"/>
  <c r="AC59" i="7" s="1"/>
  <c r="M124" i="13"/>
  <c r="O124" i="13" s="1"/>
  <c r="W68" i="13" s="1"/>
  <c r="AB59" i="7" s="1"/>
  <c r="T52" i="16" s="1"/>
  <c r="AH64" i="7"/>
  <c r="N36" i="13"/>
  <c r="P36" i="13" s="1"/>
  <c r="M36" i="13"/>
  <c r="O36" i="13" s="1"/>
  <c r="R12" i="16"/>
  <c r="AK13" i="7"/>
  <c r="AC27" i="16"/>
  <c r="J35" i="18" s="1"/>
  <c r="V31" i="7"/>
  <c r="AE27" i="16" s="1"/>
  <c r="L35" i="18" s="1"/>
  <c r="G7" i="16"/>
  <c r="K46" i="16"/>
  <c r="AG50" i="7"/>
  <c r="AH73" i="7"/>
  <c r="AH31" i="7"/>
  <c r="L47" i="16"/>
  <c r="AH51" i="7"/>
  <c r="K63" i="16"/>
  <c r="AG70" i="7"/>
  <c r="N120" i="13"/>
  <c r="P120" i="13" s="1"/>
  <c r="X64" i="13" s="1"/>
  <c r="AC55" i="7" s="1"/>
  <c r="M120" i="13"/>
  <c r="O120" i="13" s="1"/>
  <c r="W64" i="13" s="1"/>
  <c r="AB55" i="7" s="1"/>
  <c r="T48" i="16" s="1"/>
  <c r="G46" i="16"/>
  <c r="Z33" i="13"/>
  <c r="L39" i="16"/>
  <c r="AH43" i="7"/>
  <c r="N83" i="13"/>
  <c r="P83" i="13" s="1"/>
  <c r="X26" i="13" s="1"/>
  <c r="AC11" i="7" s="1"/>
  <c r="V10" i="16" s="1"/>
  <c r="M83" i="13"/>
  <c r="O83" i="13" s="1"/>
  <c r="W26" i="13" s="1"/>
  <c r="AB11" i="7" s="1"/>
  <c r="T10" i="16" s="1"/>
  <c r="N95" i="13"/>
  <c r="P95" i="13" s="1"/>
  <c r="X35" i="13" s="1"/>
  <c r="AC20" i="7" s="1"/>
  <c r="M95" i="13"/>
  <c r="O95" i="13" s="1"/>
  <c r="W35" i="13" s="1"/>
  <c r="AB20" i="7" s="1"/>
  <c r="T19" i="16" s="1"/>
  <c r="N130" i="13"/>
  <c r="P130" i="13" s="1"/>
  <c r="X71" i="13" s="1"/>
  <c r="AC62" i="7" s="1"/>
  <c r="M130" i="13"/>
  <c r="O130" i="13" s="1"/>
  <c r="W71" i="13" s="1"/>
  <c r="AB62" i="7" s="1"/>
  <c r="T55" i="16" s="1"/>
  <c r="N136" i="13"/>
  <c r="P136" i="13" s="1"/>
  <c r="X77" i="13" s="1"/>
  <c r="AC68" i="7" s="1"/>
  <c r="M136" i="13"/>
  <c r="O136" i="13" s="1"/>
  <c r="W77" i="13" s="1"/>
  <c r="AB68" i="7" s="1"/>
  <c r="T61" i="16" s="1"/>
  <c r="N78" i="13"/>
  <c r="P78" i="13" s="1"/>
  <c r="X22" i="13" s="1"/>
  <c r="AC7" i="7" s="1"/>
  <c r="M78" i="13"/>
  <c r="O78" i="13" s="1"/>
  <c r="W22" i="13" s="1"/>
  <c r="AB7" i="7" s="1"/>
  <c r="T6" i="16" s="1"/>
  <c r="Z49" i="13"/>
  <c r="K67" i="16"/>
  <c r="AG74" i="7"/>
  <c r="V18" i="10"/>
  <c r="E16" i="7" s="1"/>
  <c r="W18" i="10"/>
  <c r="G20" i="16"/>
  <c r="AD27" i="16"/>
  <c r="K35" i="18" s="1"/>
  <c r="H31" i="7"/>
  <c r="I31" i="7" s="1"/>
  <c r="H27" i="16" s="1"/>
  <c r="L58" i="16"/>
  <c r="AH65" i="7"/>
  <c r="Z77" i="13"/>
  <c r="G16" i="16"/>
  <c r="L9" i="16"/>
  <c r="AH10" i="7"/>
  <c r="G27" i="16"/>
  <c r="E91" i="7"/>
  <c r="J31" i="7"/>
  <c r="I27" i="16" s="1"/>
  <c r="X27" i="16" s="1"/>
  <c r="AK27" i="16" s="1"/>
  <c r="AU27" i="16" s="1"/>
  <c r="R64" i="16"/>
  <c r="AK71" i="7"/>
  <c r="N28" i="13"/>
  <c r="P28" i="13" s="1"/>
  <c r="M28" i="13"/>
  <c r="O28" i="13" s="1"/>
  <c r="N30" i="13"/>
  <c r="P30" i="13" s="1"/>
  <c r="M30" i="13"/>
  <c r="O30" i="13" s="1"/>
  <c r="R61" i="16"/>
  <c r="AK68" i="7"/>
  <c r="G11" i="16"/>
  <c r="Z75" i="13"/>
  <c r="L50" i="16"/>
  <c r="AH57" i="7"/>
  <c r="R74" i="13"/>
  <c r="N104" i="13"/>
  <c r="P104" i="13" s="1"/>
  <c r="X47" i="13" s="1"/>
  <c r="AC35" i="7" s="1"/>
  <c r="M104" i="13"/>
  <c r="O104" i="13" s="1"/>
  <c r="N109" i="13"/>
  <c r="P109" i="13" s="1"/>
  <c r="X51" i="13" s="1"/>
  <c r="AC39" i="7" s="1"/>
  <c r="M109" i="13"/>
  <c r="O109" i="13" s="1"/>
  <c r="W51" i="13" s="1"/>
  <c r="AB39" i="7" s="1"/>
  <c r="T35" i="16" s="1"/>
  <c r="N137" i="13"/>
  <c r="P137" i="13" s="1"/>
  <c r="X78" i="13" s="1"/>
  <c r="AC69" i="7" s="1"/>
  <c r="V62" i="16" s="1"/>
  <c r="M137" i="13"/>
  <c r="O137" i="13" s="1"/>
  <c r="N94" i="13"/>
  <c r="P94" i="13" s="1"/>
  <c r="X34" i="13" s="1"/>
  <c r="AC19" i="7" s="1"/>
  <c r="M94" i="13"/>
  <c r="O94" i="13" s="1"/>
  <c r="W34" i="13" s="1"/>
  <c r="AB19" i="7" s="1"/>
  <c r="T18" i="16" s="1"/>
  <c r="N85" i="13"/>
  <c r="P85" i="13" s="1"/>
  <c r="X28" i="13" s="1"/>
  <c r="AC13" i="7" s="1"/>
  <c r="M85" i="13"/>
  <c r="O85" i="13" s="1"/>
  <c r="X72" i="10"/>
  <c r="Z72" i="10" s="1"/>
  <c r="G47" i="16"/>
  <c r="R18" i="16"/>
  <c r="AK19" i="7"/>
  <c r="N138" i="13"/>
  <c r="P138" i="13" s="1"/>
  <c r="M138" i="13"/>
  <c r="O138" i="13" s="1"/>
  <c r="N92" i="13"/>
  <c r="P92" i="13" s="1"/>
  <c r="M92" i="13"/>
  <c r="O92" i="13" s="1"/>
  <c r="N102" i="13"/>
  <c r="P102" i="13" s="1"/>
  <c r="X45" i="13" s="1"/>
  <c r="AC33" i="7" s="1"/>
  <c r="M102" i="13"/>
  <c r="O102" i="13" s="1"/>
  <c r="W45" i="13" s="1"/>
  <c r="AB33" i="7" s="1"/>
  <c r="T29" i="16" s="1"/>
  <c r="N128" i="13"/>
  <c r="P128" i="13" s="1"/>
  <c r="M128" i="13"/>
  <c r="O128" i="13" s="1"/>
  <c r="N135" i="13"/>
  <c r="P135" i="13" s="1"/>
  <c r="X76" i="13" s="1"/>
  <c r="AC67" i="7" s="1"/>
  <c r="M135" i="13"/>
  <c r="O135" i="13" s="1"/>
  <c r="W76" i="13" s="1"/>
  <c r="AB67" i="7" s="1"/>
  <c r="T60" i="16" s="1"/>
  <c r="Z35" i="13"/>
  <c r="AA53" i="14"/>
  <c r="Y55" i="14"/>
  <c r="R60" i="16"/>
  <c r="AK67" i="7"/>
  <c r="N6" i="13"/>
  <c r="P6" i="13" s="1"/>
  <c r="M6" i="13"/>
  <c r="O6" i="13" s="1"/>
  <c r="M100" i="13"/>
  <c r="O100" i="13" s="1"/>
  <c r="W43" i="13" s="1"/>
  <c r="AB31" i="7" s="1"/>
  <c r="T27" i="16" s="1"/>
  <c r="N100" i="13"/>
  <c r="P100" i="13" s="1"/>
  <c r="X43" i="13" s="1"/>
  <c r="AC31" i="7" s="1"/>
  <c r="N121" i="13"/>
  <c r="P121" i="13" s="1"/>
  <c r="X65" i="13" s="1"/>
  <c r="AC56" i="7" s="1"/>
  <c r="M121" i="13"/>
  <c r="O121" i="13" s="1"/>
  <c r="W65" i="13" s="1"/>
  <c r="AB56" i="7" s="1"/>
  <c r="T49" i="16" s="1"/>
  <c r="N131" i="13"/>
  <c r="P131" i="13" s="1"/>
  <c r="X72" i="13" s="1"/>
  <c r="AC63" i="7" s="1"/>
  <c r="M131" i="13"/>
  <c r="O131" i="13" s="1"/>
  <c r="N147" i="13"/>
  <c r="P147" i="13" s="1"/>
  <c r="M147" i="13"/>
  <c r="O147" i="13" s="1"/>
  <c r="N111" i="13"/>
  <c r="P111" i="13" s="1"/>
  <c r="X53" i="13" s="1"/>
  <c r="AC41" i="7" s="1"/>
  <c r="V37" i="16" s="1"/>
  <c r="M111" i="13"/>
  <c r="O111" i="13" s="1"/>
  <c r="W53" i="13" s="1"/>
  <c r="AB41" i="7" s="1"/>
  <c r="T37" i="16" s="1"/>
  <c r="R65" i="16"/>
  <c r="AK72" i="7"/>
  <c r="N86" i="13"/>
  <c r="P86" i="13" s="1"/>
  <c r="X29" i="13" s="1"/>
  <c r="AC14" i="7" s="1"/>
  <c r="V13" i="16" s="1"/>
  <c r="M86" i="13"/>
  <c r="O86" i="13" s="1"/>
  <c r="Z65" i="13"/>
  <c r="N65" i="13"/>
  <c r="P65" i="13" s="1"/>
  <c r="M65" i="13"/>
  <c r="O65" i="13" s="1"/>
  <c r="R30" i="16"/>
  <c r="AK34" i="7"/>
  <c r="Z71" i="13"/>
  <c r="AH18" i="7"/>
  <c r="L52" i="16"/>
  <c r="AH59" i="7"/>
  <c r="M103" i="13"/>
  <c r="O103" i="13" s="1"/>
  <c r="W46" i="13" s="1"/>
  <c r="AB34" i="7" s="1"/>
  <c r="T30" i="16" s="1"/>
  <c r="N103" i="13"/>
  <c r="P103" i="13" s="1"/>
  <c r="X46" i="13" s="1"/>
  <c r="AC34" i="7" s="1"/>
  <c r="N105" i="13"/>
  <c r="P105" i="13" s="1"/>
  <c r="M105" i="13"/>
  <c r="O105" i="13" s="1"/>
  <c r="M99" i="13"/>
  <c r="O99" i="13" s="1"/>
  <c r="W41" i="13" s="1"/>
  <c r="AB26" i="7" s="1"/>
  <c r="T25" i="16" s="1"/>
  <c r="N99" i="13"/>
  <c r="P99" i="13" s="1"/>
  <c r="X41" i="13" s="1"/>
  <c r="AC26" i="7" s="1"/>
  <c r="N107" i="13"/>
  <c r="P107" i="13" s="1"/>
  <c r="X49" i="13" s="1"/>
  <c r="AC37" i="7" s="1"/>
  <c r="M107" i="13"/>
  <c r="O107" i="13" s="1"/>
  <c r="W49" i="13" s="1"/>
  <c r="AB37" i="7" s="1"/>
  <c r="T33" i="16" s="1"/>
  <c r="N133" i="13"/>
  <c r="P133" i="13" s="1"/>
  <c r="X74" i="13" s="1"/>
  <c r="AC65" i="7" s="1"/>
  <c r="M133" i="13"/>
  <c r="O133" i="13" s="1"/>
  <c r="M140" i="13"/>
  <c r="O140" i="13" s="1"/>
  <c r="W80" i="13" s="1"/>
  <c r="AB71" i="7" s="1"/>
  <c r="T64" i="16" s="1"/>
  <c r="N140" i="13"/>
  <c r="P140" i="13" s="1"/>
  <c r="X80" i="13" s="1"/>
  <c r="AC71" i="7" s="1"/>
  <c r="T33" i="7"/>
  <c r="U32" i="7"/>
  <c r="U56" i="7"/>
  <c r="T57" i="7"/>
  <c r="T9" i="7"/>
  <c r="U8" i="7"/>
  <c r="V8" i="7" s="1"/>
  <c r="AE7" i="16" s="1"/>
  <c r="L15" i="18" s="1"/>
  <c r="G18" i="6"/>
  <c r="B20" i="6"/>
  <c r="L25" i="16"/>
  <c r="AH26" i="7"/>
  <c r="L32" i="16"/>
  <c r="AH36" i="7"/>
  <c r="N91" i="13"/>
  <c r="P91" i="13" s="1"/>
  <c r="X32" i="13" s="1"/>
  <c r="AC17" i="7" s="1"/>
  <c r="V16" i="16" s="1"/>
  <c r="M91" i="13"/>
  <c r="O91" i="13" s="1"/>
  <c r="N117" i="13"/>
  <c r="P117" i="13" s="1"/>
  <c r="M117" i="13"/>
  <c r="O117" i="13" s="1"/>
  <c r="L54" i="16"/>
  <c r="AH61" i="7"/>
  <c r="AA32" i="13"/>
  <c r="K13" i="16"/>
  <c r="AG14" i="7"/>
  <c r="L34" i="16"/>
  <c r="AH38" i="7"/>
  <c r="N29" i="13"/>
  <c r="P29" i="13" s="1"/>
  <c r="M29" i="13"/>
  <c r="O29" i="13" s="1"/>
  <c r="Z45" i="13" s="1"/>
  <c r="AH56" i="7"/>
  <c r="N20" i="13"/>
  <c r="P20" i="13" s="1"/>
  <c r="M20" i="13"/>
  <c r="O20" i="13" s="1"/>
  <c r="Z34" i="13" s="1"/>
  <c r="AH25" i="7"/>
  <c r="N64" i="13"/>
  <c r="P64" i="13" s="1"/>
  <c r="M64" i="13"/>
  <c r="O64" i="13" s="1"/>
  <c r="R11" i="16"/>
  <c r="AK12" i="7"/>
  <c r="AH27" i="7"/>
  <c r="R14" i="16"/>
  <c r="AK15" i="7"/>
  <c r="Z43" i="13"/>
  <c r="Z48" i="13"/>
  <c r="Q32" i="13"/>
  <c r="Q52" i="13"/>
  <c r="R55" i="13"/>
  <c r="AC6" i="16"/>
  <c r="J14" i="18" s="1"/>
  <c r="V7" i="7"/>
  <c r="AE6" i="16" s="1"/>
  <c r="L14" i="18" s="1"/>
  <c r="Y515" i="14"/>
  <c r="AA513" i="14"/>
  <c r="L38" i="16"/>
  <c r="AH42" i="7"/>
  <c r="K16" i="16"/>
  <c r="AG17" i="7"/>
  <c r="N114" i="13"/>
  <c r="P114" i="13" s="1"/>
  <c r="X55" i="13" s="1"/>
  <c r="AC43" i="7" s="1"/>
  <c r="M114" i="13"/>
  <c r="O114" i="13" s="1"/>
  <c r="W55" i="13" s="1"/>
  <c r="AB43" i="7" s="1"/>
  <c r="T39" i="16" s="1"/>
  <c r="N139" i="13"/>
  <c r="P139" i="13" s="1"/>
  <c r="X79" i="13" s="1"/>
  <c r="AC70" i="7" s="1"/>
  <c r="V63" i="16" s="1"/>
  <c r="M139" i="13"/>
  <c r="O139" i="13" s="1"/>
  <c r="W79" i="13" s="1"/>
  <c r="AB70" i="7" s="1"/>
  <c r="T63" i="16" s="1"/>
  <c r="N110" i="13"/>
  <c r="P110" i="13" s="1"/>
  <c r="X52" i="13" s="1"/>
  <c r="AC40" i="7" s="1"/>
  <c r="M110" i="13"/>
  <c r="O110" i="13" s="1"/>
  <c r="W52" i="13" s="1"/>
  <c r="AB40" i="7" s="1"/>
  <c r="T36" i="16" s="1"/>
  <c r="N118" i="13"/>
  <c r="P118" i="13" s="1"/>
  <c r="X62" i="13" s="1"/>
  <c r="AC50" i="7" s="1"/>
  <c r="V46" i="16" s="1"/>
  <c r="M118" i="13"/>
  <c r="O118" i="13" s="1"/>
  <c r="W62" i="13" s="1"/>
  <c r="AB50" i="7" s="1"/>
  <c r="T46" i="16" s="1"/>
  <c r="N142" i="13"/>
  <c r="P142" i="13" s="1"/>
  <c r="X82" i="13" s="1"/>
  <c r="AC73" i="7" s="1"/>
  <c r="M142" i="13"/>
  <c r="O142" i="13" s="1"/>
  <c r="W82" i="13" s="1"/>
  <c r="AB73" i="7" s="1"/>
  <c r="T66" i="16" s="1"/>
  <c r="Y328" i="14"/>
  <c r="AA326" i="14"/>
  <c r="L48" i="16"/>
  <c r="AH55" i="7"/>
  <c r="AD6" i="16"/>
  <c r="K14" i="18" s="1"/>
  <c r="H7" i="7"/>
  <c r="AI15" i="7"/>
  <c r="G50" i="16"/>
  <c r="R6" i="16"/>
  <c r="AK7" i="7"/>
  <c r="G37" i="16"/>
  <c r="N112" i="13"/>
  <c r="P112" i="13" s="1"/>
  <c r="M112" i="13"/>
  <c r="O112" i="13" s="1"/>
  <c r="Z41" i="13"/>
  <c r="R59" i="16"/>
  <c r="AK66" i="7"/>
  <c r="AH20" i="7"/>
  <c r="N82" i="13"/>
  <c r="P82" i="13" s="1"/>
  <c r="X25" i="13" s="1"/>
  <c r="AC10" i="7" s="1"/>
  <c r="M82" i="13"/>
  <c r="O82" i="13" s="1"/>
  <c r="R15" i="13"/>
  <c r="AH60" i="7"/>
  <c r="N47" i="13"/>
  <c r="P47" i="13" s="1"/>
  <c r="M47" i="13"/>
  <c r="O47" i="13" s="1"/>
  <c r="Z64" i="13" s="1"/>
  <c r="AC48" i="16"/>
  <c r="J56" i="18" s="1"/>
  <c r="V55" i="7"/>
  <c r="AE48" i="16" s="1"/>
  <c r="L56" i="18" s="1"/>
  <c r="M123" i="13"/>
  <c r="O123" i="13" s="1"/>
  <c r="W67" i="13" s="1"/>
  <c r="AB58" i="7" s="1"/>
  <c r="T51" i="16" s="1"/>
  <c r="N123" i="13"/>
  <c r="P123" i="13" s="1"/>
  <c r="X67" i="13" s="1"/>
  <c r="AC58" i="7" s="1"/>
  <c r="M143" i="13"/>
  <c r="O143" i="13" s="1"/>
  <c r="W83" i="13" s="1"/>
  <c r="AB74" i="7" s="1"/>
  <c r="T67" i="16" s="1"/>
  <c r="N143" i="13"/>
  <c r="P143" i="13" s="1"/>
  <c r="X83" i="13" s="1"/>
  <c r="AC74" i="7" s="1"/>
  <c r="V67" i="16" s="1"/>
  <c r="N132" i="13"/>
  <c r="P132" i="13" s="1"/>
  <c r="X73" i="13" s="1"/>
  <c r="AC64" i="7" s="1"/>
  <c r="M132" i="13"/>
  <c r="O132" i="13" s="1"/>
  <c r="W73" i="13" s="1"/>
  <c r="AB64" i="7" s="1"/>
  <c r="T57" i="16" s="1"/>
  <c r="N129" i="13"/>
  <c r="P129" i="13" s="1"/>
  <c r="X70" i="13" s="1"/>
  <c r="AC61" i="7" s="1"/>
  <c r="M129" i="13"/>
  <c r="O129" i="13" s="1"/>
  <c r="W70" i="13" s="1"/>
  <c r="AB61" i="7" s="1"/>
  <c r="T54" i="16" s="1"/>
  <c r="N79" i="13"/>
  <c r="P79" i="13" s="1"/>
  <c r="X23" i="13" s="1"/>
  <c r="AC8" i="7" s="1"/>
  <c r="M79" i="13"/>
  <c r="O79" i="13" s="1"/>
  <c r="W23" i="13" s="1"/>
  <c r="AB8" i="7" s="1"/>
  <c r="T7" i="16" s="1"/>
  <c r="AA291" i="14"/>
  <c r="Y293" i="14"/>
  <c r="L42" i="16"/>
  <c r="AH46" i="7"/>
  <c r="AI46" i="7" s="1"/>
  <c r="Y55" i="11"/>
  <c r="AA53" i="11"/>
  <c r="Z5" i="14"/>
  <c r="AC7" i="16"/>
  <c r="J15" i="18" s="1"/>
  <c r="G22" i="16"/>
  <c r="L31" i="16"/>
  <c r="AH35" i="7"/>
  <c r="Z58" i="13"/>
  <c r="Y453" i="14"/>
  <c r="AA451" i="14"/>
  <c r="G8" i="16"/>
  <c r="L56" i="16"/>
  <c r="AH63" i="7"/>
  <c r="N84" i="13"/>
  <c r="P84" i="13" s="1"/>
  <c r="X27" i="13" s="1"/>
  <c r="AC12" i="7" s="1"/>
  <c r="M84" i="13"/>
  <c r="O84" i="13" s="1"/>
  <c r="G26" i="16"/>
  <c r="Z5" i="11"/>
  <c r="AA5" i="11"/>
  <c r="AA6" i="11" s="1"/>
  <c r="Y16" i="11"/>
  <c r="AA14" i="11"/>
  <c r="AC49" i="16"/>
  <c r="J57" i="18" s="1"/>
  <c r="K37" i="16"/>
  <c r="AG41" i="7"/>
  <c r="L8" i="16"/>
  <c r="AH9" i="7"/>
  <c r="R55" i="16"/>
  <c r="AK62" i="7"/>
  <c r="G14" i="16"/>
  <c r="G25" i="16"/>
  <c r="R36" i="16"/>
  <c r="AK40" i="7"/>
  <c r="G68" i="16"/>
  <c r="M80" i="13"/>
  <c r="O80" i="13" s="1"/>
  <c r="N80" i="13"/>
  <c r="P80" i="13" s="1"/>
  <c r="X24" i="13" s="1"/>
  <c r="AC9" i="7" s="1"/>
  <c r="N108" i="13"/>
  <c r="P108" i="13" s="1"/>
  <c r="X50" i="13" s="1"/>
  <c r="AC38" i="7" s="1"/>
  <c r="M108" i="13"/>
  <c r="O108" i="13" s="1"/>
  <c r="W50" i="13" s="1"/>
  <c r="AB38" i="7" s="1"/>
  <c r="T34" i="16" s="1"/>
  <c r="M146" i="13"/>
  <c r="O146" i="13" s="1"/>
  <c r="N146" i="13"/>
  <c r="P146" i="13" s="1"/>
  <c r="M101" i="13"/>
  <c r="O101" i="13" s="1"/>
  <c r="W44" i="13" s="1"/>
  <c r="AB32" i="7" s="1"/>
  <c r="T28" i="16" s="1"/>
  <c r="N101" i="13"/>
  <c r="P101" i="13" s="1"/>
  <c r="X44" i="13" s="1"/>
  <c r="AC32" i="7" s="1"/>
  <c r="R15" i="16"/>
  <c r="AK16" i="7"/>
  <c r="R20" i="16"/>
  <c r="AK21" i="7"/>
  <c r="Z62" i="13"/>
  <c r="L33" i="16"/>
  <c r="AH37" i="7"/>
  <c r="Y482" i="14"/>
  <c r="AA480" i="14"/>
  <c r="G64" i="16"/>
  <c r="Z80" i="13"/>
  <c r="W30" i="13"/>
  <c r="AB15" i="7" s="1"/>
  <c r="T14" i="16" s="1"/>
  <c r="Z30" i="13"/>
  <c r="N93" i="13"/>
  <c r="P93" i="13" s="1"/>
  <c r="X33" i="13" s="1"/>
  <c r="AC18" i="7" s="1"/>
  <c r="M93" i="13"/>
  <c r="O93" i="13" s="1"/>
  <c r="M89" i="13"/>
  <c r="O89" i="13" s="1"/>
  <c r="N89" i="13"/>
  <c r="P89" i="13" s="1"/>
  <c r="N113" i="13"/>
  <c r="P113" i="13" s="1"/>
  <c r="M113" i="13"/>
  <c r="O113" i="13" s="1"/>
  <c r="AA54" i="13" s="1"/>
  <c r="N97" i="13"/>
  <c r="P97" i="13" s="1"/>
  <c r="X39" i="13" s="1"/>
  <c r="AC24" i="7" s="1"/>
  <c r="M97" i="13"/>
  <c r="O97" i="13" s="1"/>
  <c r="W39" i="13" s="1"/>
  <c r="AB24" i="7" s="1"/>
  <c r="T23" i="16" s="1"/>
  <c r="M106" i="13"/>
  <c r="O106" i="13" s="1"/>
  <c r="AA48" i="13" s="1"/>
  <c r="N106" i="13"/>
  <c r="P106" i="13" s="1"/>
  <c r="L23" i="16"/>
  <c r="AH24" i="7"/>
  <c r="L7" i="16"/>
  <c r="AH8" i="7"/>
  <c r="AA5" i="14"/>
  <c r="AA6" i="14" s="1"/>
  <c r="AD48" i="16"/>
  <c r="K56" i="18" s="1"/>
  <c r="H55" i="7"/>
  <c r="G18" i="16"/>
  <c r="G24" i="16"/>
  <c r="Z40" i="13"/>
  <c r="N122" i="13"/>
  <c r="P122" i="13" s="1"/>
  <c r="X66" i="13" s="1"/>
  <c r="AC57" i="7" s="1"/>
  <c r="M122" i="13"/>
  <c r="O122" i="13" s="1"/>
  <c r="AH39" i="7"/>
  <c r="E90" i="7"/>
  <c r="N90" i="13"/>
  <c r="P90" i="13" s="1"/>
  <c r="X31" i="13" s="1"/>
  <c r="AC16" i="7" s="1"/>
  <c r="M90" i="13"/>
  <c r="O90" i="13" s="1"/>
  <c r="Z31" i="13" s="1"/>
  <c r="G17" i="16"/>
  <c r="AH33" i="7"/>
  <c r="R44" i="13"/>
  <c r="AA547" i="14"/>
  <c r="Y549" i="14"/>
  <c r="Z23" i="13"/>
  <c r="Z22" i="13"/>
  <c r="L51" i="16"/>
  <c r="AH58" i="7"/>
  <c r="G48" i="16"/>
  <c r="E92" i="7"/>
  <c r="M141" i="13"/>
  <c r="O141" i="13" s="1"/>
  <c r="W81" i="13" s="1"/>
  <c r="AB72" i="7" s="1"/>
  <c r="T65" i="16" s="1"/>
  <c r="N141" i="13"/>
  <c r="P141" i="13" s="1"/>
  <c r="X81" i="13" s="1"/>
  <c r="AC72" i="7" s="1"/>
  <c r="N126" i="13"/>
  <c r="P126" i="13" s="1"/>
  <c r="M126" i="13"/>
  <c r="O126" i="13" s="1"/>
  <c r="AA69" i="13" s="1"/>
  <c r="M119" i="13"/>
  <c r="O119" i="13" s="1"/>
  <c r="W63" i="13" s="1"/>
  <c r="AB51" i="7" s="1"/>
  <c r="T47" i="16" s="1"/>
  <c r="N119" i="13"/>
  <c r="P119" i="13" s="1"/>
  <c r="X63" i="13" s="1"/>
  <c r="AC51" i="7" s="1"/>
  <c r="N125" i="13"/>
  <c r="P125" i="13" s="1"/>
  <c r="X69" i="13" s="1"/>
  <c r="AC60" i="7" s="1"/>
  <c r="M125" i="13"/>
  <c r="O125" i="13" s="1"/>
  <c r="M144" i="13"/>
  <c r="O144" i="13" s="1"/>
  <c r="W84" i="13" s="1"/>
  <c r="AB75" i="7" s="1"/>
  <c r="T68" i="16" s="1"/>
  <c r="N144" i="13"/>
  <c r="P144" i="13" s="1"/>
  <c r="X84" i="13" s="1"/>
  <c r="AC75" i="7" s="1"/>
  <c r="Z82" i="13"/>
  <c r="K10" i="16"/>
  <c r="AG11" i="7"/>
  <c r="AC28" i="16"/>
  <c r="J36" i="18" s="1"/>
  <c r="V32" i="7"/>
  <c r="AE28" i="16" s="1"/>
  <c r="L36" i="18" s="1"/>
  <c r="H21" i="6"/>
  <c r="C23" i="6"/>
  <c r="N35" i="18" l="1"/>
  <c r="O35" i="18" s="1"/>
  <c r="Z35" i="18"/>
  <c r="AA35" i="18" s="1"/>
  <c r="W35" i="18"/>
  <c r="X35" i="18" s="1"/>
  <c r="AF35" i="18"/>
  <c r="AG35" i="18" s="1"/>
  <c r="V15" i="16"/>
  <c r="AI16" i="7"/>
  <c r="V20" i="16"/>
  <c r="AI21" i="7"/>
  <c r="Q112" i="13"/>
  <c r="W54" i="13"/>
  <c r="AB42" i="7" s="1"/>
  <c r="T38" i="16" s="1"/>
  <c r="Z54" i="13"/>
  <c r="Z52" i="13"/>
  <c r="AF48" i="16"/>
  <c r="M56" i="18" s="1"/>
  <c r="W55" i="7"/>
  <c r="Y55" i="7"/>
  <c r="V11" i="16"/>
  <c r="AI12" i="7"/>
  <c r="V57" i="16"/>
  <c r="AI64" i="7"/>
  <c r="V66" i="16"/>
  <c r="AI73" i="7"/>
  <c r="R38" i="16"/>
  <c r="AK42" i="7"/>
  <c r="Q64" i="13"/>
  <c r="Z78" i="13"/>
  <c r="T58" i="7"/>
  <c r="U57" i="7"/>
  <c r="T34" i="7"/>
  <c r="U33" i="7"/>
  <c r="T10" i="7"/>
  <c r="U9" i="7"/>
  <c r="B21" i="6"/>
  <c r="G19" i="6"/>
  <c r="V64" i="16"/>
  <c r="AI71" i="7"/>
  <c r="V27" i="16"/>
  <c r="AB27" i="16" s="1"/>
  <c r="AI31" i="7"/>
  <c r="L63" i="16"/>
  <c r="AH70" i="7"/>
  <c r="R31" i="16"/>
  <c r="AK35" i="7"/>
  <c r="AI35" i="18"/>
  <c r="AJ35" i="18" s="1"/>
  <c r="AG27" i="16"/>
  <c r="AL27" i="16" s="1"/>
  <c r="AW27" i="16" s="1"/>
  <c r="Z51" i="13"/>
  <c r="D152" i="13"/>
  <c r="Q91" i="13"/>
  <c r="W32" i="13"/>
  <c r="AB17" i="7" s="1"/>
  <c r="T16" i="16" s="1"/>
  <c r="V35" i="16"/>
  <c r="AI39" i="7"/>
  <c r="V51" i="16"/>
  <c r="AI58" i="7"/>
  <c r="R32" i="16"/>
  <c r="AK36" i="7"/>
  <c r="AC50" i="16"/>
  <c r="J58" i="18" s="1"/>
  <c r="R52" i="16"/>
  <c r="AK59" i="7"/>
  <c r="R147" i="13"/>
  <c r="C150" i="13"/>
  <c r="W27" i="16"/>
  <c r="V31" i="16"/>
  <c r="AI35" i="7"/>
  <c r="Z76" i="13"/>
  <c r="R47" i="16"/>
  <c r="AK51" i="7"/>
  <c r="V52" i="16"/>
  <c r="AI59" i="7"/>
  <c r="V24" i="16"/>
  <c r="AI25" i="7"/>
  <c r="R24" i="16"/>
  <c r="AK25" i="7"/>
  <c r="R56" i="16"/>
  <c r="AK63" i="7"/>
  <c r="AC8" i="16"/>
  <c r="J16" i="18" s="1"/>
  <c r="V9" i="7"/>
  <c r="AE8" i="16" s="1"/>
  <c r="L16" i="18" s="1"/>
  <c r="V47" i="16"/>
  <c r="AI51" i="7"/>
  <c r="R23" i="16"/>
  <c r="AK24" i="7"/>
  <c r="R26" i="16"/>
  <c r="AK27" i="7"/>
  <c r="AI27" i="7"/>
  <c r="Z81" i="13"/>
  <c r="AD28" i="16"/>
  <c r="K36" i="18" s="1"/>
  <c r="H32" i="7"/>
  <c r="V25" i="16"/>
  <c r="AI26" i="7"/>
  <c r="Z70" i="13"/>
  <c r="W72" i="13"/>
  <c r="AB63" i="7" s="1"/>
  <c r="T56" i="16" s="1"/>
  <c r="Z72" i="13"/>
  <c r="R128" i="13"/>
  <c r="Z53" i="13"/>
  <c r="R50" i="16"/>
  <c r="AK57" i="7"/>
  <c r="Z55" i="13"/>
  <c r="R28" i="16"/>
  <c r="AK32" i="7"/>
  <c r="V36" i="16"/>
  <c r="AI40" i="7"/>
  <c r="I55" i="7"/>
  <c r="H48" i="16" s="1"/>
  <c r="AI56" i="18" s="1"/>
  <c r="AJ56" i="18" s="1"/>
  <c r="R8" i="16"/>
  <c r="AK9" i="7"/>
  <c r="R49" i="16"/>
  <c r="AK56" i="7"/>
  <c r="V60" i="16"/>
  <c r="AI67" i="7"/>
  <c r="V6" i="16"/>
  <c r="AI7" i="7"/>
  <c r="L10" i="16"/>
  <c r="AH11" i="7"/>
  <c r="R89" i="13"/>
  <c r="V34" i="16"/>
  <c r="AI38" i="7"/>
  <c r="R35" i="16"/>
  <c r="AK39" i="7"/>
  <c r="W33" i="13"/>
  <c r="AB18" i="7" s="1"/>
  <c r="T17" i="16" s="1"/>
  <c r="V8" i="16"/>
  <c r="AI9" i="7"/>
  <c r="W25" i="13"/>
  <c r="AB10" i="7" s="1"/>
  <c r="T9" i="16" s="1"/>
  <c r="Z25" i="13"/>
  <c r="AC29" i="16"/>
  <c r="J37" i="18" s="1"/>
  <c r="V33" i="7"/>
  <c r="AE29" i="16" s="1"/>
  <c r="L37" i="18" s="1"/>
  <c r="R17" i="16"/>
  <c r="AK18" i="7"/>
  <c r="V56" i="16"/>
  <c r="AI63" i="7"/>
  <c r="W28" i="13"/>
  <c r="AB13" i="7" s="1"/>
  <c r="T12" i="16" s="1"/>
  <c r="Z28" i="13"/>
  <c r="Z46" i="13"/>
  <c r="V61" i="16"/>
  <c r="AI68" i="7"/>
  <c r="R27" i="16"/>
  <c r="AK31" i="7"/>
  <c r="V59" i="16"/>
  <c r="AI66" i="7"/>
  <c r="L62" i="16"/>
  <c r="AH69" i="7"/>
  <c r="D151" i="13"/>
  <c r="W31" i="13"/>
  <c r="AB16" i="7" s="1"/>
  <c r="T15" i="16" s="1"/>
  <c r="V28" i="16"/>
  <c r="AI32" i="7"/>
  <c r="C24" i="6"/>
  <c r="H22" i="6"/>
  <c r="V23" i="16"/>
  <c r="AI24" i="7"/>
  <c r="R53" i="16"/>
  <c r="AK60" i="7"/>
  <c r="W74" i="13"/>
  <c r="AB65" i="7" s="1"/>
  <c r="T58" i="16" s="1"/>
  <c r="Z74" i="13"/>
  <c r="R39" i="16"/>
  <c r="AK43" i="7"/>
  <c r="V58" i="16"/>
  <c r="AI65" i="7"/>
  <c r="W36" i="13"/>
  <c r="AB21" i="7" s="1"/>
  <c r="T20" i="16" s="1"/>
  <c r="Z36" i="13"/>
  <c r="Q125" i="13"/>
  <c r="W69" i="13"/>
  <c r="AB60" i="7" s="1"/>
  <c r="T53" i="16" s="1"/>
  <c r="J55" i="7"/>
  <c r="I48" i="16" s="1"/>
  <c r="AG48" i="16" s="1"/>
  <c r="AL48" i="16" s="1"/>
  <c r="AW48" i="16" s="1"/>
  <c r="R7" i="16"/>
  <c r="AK8" i="7"/>
  <c r="X54" i="13"/>
  <c r="AC42" i="7" s="1"/>
  <c r="V33" i="16"/>
  <c r="AI37" i="7"/>
  <c r="W66" i="13"/>
  <c r="AB57" i="7" s="1"/>
  <c r="T50" i="16" s="1"/>
  <c r="Z66" i="13"/>
  <c r="V17" i="16"/>
  <c r="AI18" i="7"/>
  <c r="R33" i="16"/>
  <c r="AK37" i="7"/>
  <c r="W24" i="13"/>
  <c r="AB9" i="7" s="1"/>
  <c r="T8" i="16" s="1"/>
  <c r="Q80" i="13"/>
  <c r="L37" i="16"/>
  <c r="AH41" i="7"/>
  <c r="Z6" i="14"/>
  <c r="AB5" i="14"/>
  <c r="AB6" i="14" s="1"/>
  <c r="V7" i="16"/>
  <c r="AI8" i="7"/>
  <c r="V9" i="16"/>
  <c r="AI10" i="7"/>
  <c r="V39" i="16"/>
  <c r="AI43" i="7"/>
  <c r="R34" i="16"/>
  <c r="AK38" i="7"/>
  <c r="R25" i="16"/>
  <c r="AK26" i="7"/>
  <c r="W48" i="13"/>
  <c r="AB36" i="7" s="1"/>
  <c r="T32" i="16" s="1"/>
  <c r="Q105" i="13"/>
  <c r="W29" i="13"/>
  <c r="AB14" i="7" s="1"/>
  <c r="T13" i="16" s="1"/>
  <c r="Z29" i="13"/>
  <c r="V12" i="16"/>
  <c r="AI13" i="7"/>
  <c r="Z68" i="13"/>
  <c r="R66" i="16"/>
  <c r="AK73" i="7"/>
  <c r="R68" i="16"/>
  <c r="AK75" i="7"/>
  <c r="V68" i="16"/>
  <c r="AI75" i="7"/>
  <c r="AD7" i="16"/>
  <c r="K15" i="18" s="1"/>
  <c r="H8" i="7"/>
  <c r="Y27" i="16"/>
  <c r="AH27" i="16" s="1"/>
  <c r="AO27" i="16" s="1"/>
  <c r="Z27" i="16"/>
  <c r="AI27" i="16" s="1"/>
  <c r="AQ27" i="16" s="1"/>
  <c r="AZ27" i="16" s="1"/>
  <c r="R42" i="16"/>
  <c r="AK46" i="7"/>
  <c r="AF6" i="16"/>
  <c r="M14" i="18" s="1"/>
  <c r="W7" i="7"/>
  <c r="J7" i="7"/>
  <c r="I6" i="16" s="1"/>
  <c r="AA6" i="16" s="1"/>
  <c r="AJ6" i="16" s="1"/>
  <c r="AS6" i="16" s="1"/>
  <c r="I7" i="7"/>
  <c r="H6" i="16" s="1"/>
  <c r="Y7" i="7"/>
  <c r="W47" i="13"/>
  <c r="AB35" i="7" s="1"/>
  <c r="T31" i="16" s="1"/>
  <c r="Z47" i="13"/>
  <c r="AF27" i="16"/>
  <c r="M35" i="18" s="1"/>
  <c r="Y31" i="7"/>
  <c r="W31" i="7"/>
  <c r="R57" i="16"/>
  <c r="AK64" i="7"/>
  <c r="R146" i="13"/>
  <c r="B150" i="13"/>
  <c r="D150" i="13" s="1"/>
  <c r="AB5" i="11"/>
  <c r="AB6" i="11" s="1"/>
  <c r="Z6" i="11"/>
  <c r="V53" i="16"/>
  <c r="AI60" i="7"/>
  <c r="R29" i="16"/>
  <c r="AK33" i="7"/>
  <c r="V50" i="16"/>
  <c r="AI57" i="7"/>
  <c r="Z83" i="13"/>
  <c r="Z84" i="13"/>
  <c r="AC14" i="18"/>
  <c r="AD14" i="18" s="1"/>
  <c r="L16" i="16"/>
  <c r="AH17" i="7"/>
  <c r="Z69" i="13"/>
  <c r="R54" i="16"/>
  <c r="AK61" i="7"/>
  <c r="X48" i="13"/>
  <c r="AC36" i="7" s="1"/>
  <c r="V49" i="16"/>
  <c r="AI56" i="7"/>
  <c r="V29" i="16"/>
  <c r="AI33" i="7"/>
  <c r="Z44" i="13"/>
  <c r="G15" i="16"/>
  <c r="V55" i="16"/>
  <c r="AI62" i="7"/>
  <c r="L46" i="16"/>
  <c r="AH50" i="7"/>
  <c r="Z39" i="13"/>
  <c r="R48" i="16"/>
  <c r="AK55" i="7"/>
  <c r="AD49" i="16"/>
  <c r="K57" i="18" s="1"/>
  <c r="H56" i="7"/>
  <c r="Z24" i="13"/>
  <c r="Q6" i="13"/>
  <c r="R9" i="16"/>
  <c r="AK10" i="7"/>
  <c r="R51" i="16"/>
  <c r="AK58" i="7"/>
  <c r="V65" i="16"/>
  <c r="AI72" i="7"/>
  <c r="Z67" i="13"/>
  <c r="V54" i="16"/>
  <c r="AI61" i="7"/>
  <c r="Z79" i="13"/>
  <c r="AI17" i="7"/>
  <c r="Z73" i="13"/>
  <c r="V30" i="16"/>
  <c r="AI34" i="7"/>
  <c r="Z63" i="13"/>
  <c r="D153" i="13"/>
  <c r="V18" i="16"/>
  <c r="AI19" i="7"/>
  <c r="L67" i="16"/>
  <c r="AH74" i="7"/>
  <c r="AI74" i="7" s="1"/>
  <c r="Z26" i="13"/>
  <c r="V56" i="7"/>
  <c r="AE49" i="16" s="1"/>
  <c r="L57" i="18" s="1"/>
  <c r="W27" i="13"/>
  <c r="AB12" i="7" s="1"/>
  <c r="T11" i="16" s="1"/>
  <c r="Z27" i="13"/>
  <c r="R19" i="16"/>
  <c r="AK20" i="7"/>
  <c r="L13" i="16"/>
  <c r="AH14" i="7"/>
  <c r="R117" i="13"/>
  <c r="AA78" i="13"/>
  <c r="Z50" i="13"/>
  <c r="W78" i="13"/>
  <c r="AB69" i="7" s="1"/>
  <c r="T62" i="16" s="1"/>
  <c r="Q137" i="13"/>
  <c r="R58" i="16"/>
  <c r="AK65" i="7"/>
  <c r="V19" i="16"/>
  <c r="AI20" i="7"/>
  <c r="V48" i="16"/>
  <c r="AI55" i="7"/>
  <c r="Z32" i="13"/>
  <c r="Q17" i="13"/>
  <c r="AB48" i="16" l="1"/>
  <c r="AB6" i="16"/>
  <c r="R46" i="16"/>
  <c r="AK50" i="7"/>
  <c r="V38" i="16"/>
  <c r="AI42" i="7"/>
  <c r="D154" i="13"/>
  <c r="R10" i="16"/>
  <c r="AK11" i="7"/>
  <c r="AI11" i="7"/>
  <c r="N56" i="18"/>
  <c r="O56" i="18" s="1"/>
  <c r="W56" i="18"/>
  <c r="X56" i="18" s="1"/>
  <c r="Z56" i="18"/>
  <c r="AA56" i="18" s="1"/>
  <c r="AD50" i="16"/>
  <c r="K58" i="18" s="1"/>
  <c r="H57" i="7"/>
  <c r="R16" i="16"/>
  <c r="AK17" i="7"/>
  <c r="AC51" i="16"/>
  <c r="J59" i="18" s="1"/>
  <c r="R63" i="16"/>
  <c r="AK70" i="7"/>
  <c r="V32" i="16"/>
  <c r="AI36" i="7"/>
  <c r="Z48" i="16"/>
  <c r="AI48" i="16" s="1"/>
  <c r="AQ48" i="16" s="1"/>
  <c r="Y48" i="16"/>
  <c r="AH48" i="16" s="1"/>
  <c r="AO48" i="16" s="1"/>
  <c r="W48" i="16"/>
  <c r="AF7" i="16"/>
  <c r="M15" i="18" s="1"/>
  <c r="X8" i="7"/>
  <c r="W8" i="7"/>
  <c r="Y8" i="7"/>
  <c r="J8" i="7"/>
  <c r="I7" i="16" s="1"/>
  <c r="AA7" i="16" s="1"/>
  <c r="AJ7" i="16" s="1"/>
  <c r="AS7" i="16" s="1"/>
  <c r="I8" i="7"/>
  <c r="H7" i="16" s="1"/>
  <c r="AC15" i="18"/>
  <c r="AD15" i="18" s="1"/>
  <c r="AF49" i="16"/>
  <c r="M57" i="18" s="1"/>
  <c r="X56" i="7"/>
  <c r="X57" i="7" s="1"/>
  <c r="W56" i="7"/>
  <c r="Y56" i="7"/>
  <c r="I56" i="7"/>
  <c r="H49" i="16" s="1"/>
  <c r="AC57" i="18" s="1"/>
  <c r="AD57" i="18" s="1"/>
  <c r="J56" i="7"/>
  <c r="I49" i="16" s="1"/>
  <c r="AB49" i="16" s="1"/>
  <c r="AI70" i="7"/>
  <c r="R37" i="16"/>
  <c r="AK41" i="7"/>
  <c r="T35" i="7"/>
  <c r="T59" i="7"/>
  <c r="U58" i="7"/>
  <c r="U34" i="7"/>
  <c r="T11" i="7"/>
  <c r="U10" i="7"/>
  <c r="B22" i="6"/>
  <c r="G20" i="6"/>
  <c r="N14" i="18"/>
  <c r="O14" i="18" s="1"/>
  <c r="Z14" i="18"/>
  <c r="AA14" i="18" s="1"/>
  <c r="W14" i="18"/>
  <c r="X14" i="18" s="1"/>
  <c r="AF14" i="18"/>
  <c r="AG14" i="18" s="1"/>
  <c r="Z6" i="16"/>
  <c r="AI6" i="16" s="1"/>
  <c r="AQ6" i="16" s="1"/>
  <c r="AY6" i="16" s="1"/>
  <c r="Y6" i="16"/>
  <c r="AH6" i="16" s="1"/>
  <c r="AO6" i="16" s="1"/>
  <c r="X6" i="16"/>
  <c r="AK6" i="16" s="1"/>
  <c r="AU6" i="16" s="1"/>
  <c r="W6" i="16"/>
  <c r="AC35" i="18"/>
  <c r="AD35" i="18" s="1"/>
  <c r="AA27" i="16"/>
  <c r="AJ27" i="16" s="1"/>
  <c r="AS27" i="16" s="1"/>
  <c r="AY27" i="16" s="1"/>
  <c r="AI41" i="7"/>
  <c r="AD8" i="16"/>
  <c r="K16" i="18" s="1"/>
  <c r="H9" i="7"/>
  <c r="R62" i="16"/>
  <c r="AK69" i="7"/>
  <c r="R13" i="16"/>
  <c r="AK14" i="7"/>
  <c r="AI14" i="7"/>
  <c r="AI50" i="7"/>
  <c r="X48" i="16"/>
  <c r="AK48" i="16" s="1"/>
  <c r="AU48" i="16" s="1"/>
  <c r="AZ48" i="16" s="1"/>
  <c r="AG6" i="16"/>
  <c r="AL6" i="16" s="1"/>
  <c r="AW6" i="16" s="1"/>
  <c r="AC9" i="16"/>
  <c r="J17" i="18" s="1"/>
  <c r="V10" i="7"/>
  <c r="AE9" i="16" s="1"/>
  <c r="L17" i="18" s="1"/>
  <c r="AF28" i="16"/>
  <c r="M36" i="18" s="1"/>
  <c r="Y32" i="7"/>
  <c r="X32" i="7"/>
  <c r="W32" i="7"/>
  <c r="J32" i="7"/>
  <c r="I28" i="16" s="1"/>
  <c r="I32" i="7"/>
  <c r="H28" i="16" s="1"/>
  <c r="AC36" i="18" s="1"/>
  <c r="AD36" i="18" s="1"/>
  <c r="H23" i="6"/>
  <c r="C25" i="6"/>
  <c r="AF56" i="18"/>
  <c r="AG56" i="18" s="1"/>
  <c r="AI14" i="18"/>
  <c r="AJ14" i="18" s="1"/>
  <c r="V57" i="7"/>
  <c r="AE50" i="16" s="1"/>
  <c r="L58" i="18" s="1"/>
  <c r="AD29" i="16"/>
  <c r="K37" i="18" s="1"/>
  <c r="H33" i="7"/>
  <c r="R67" i="16"/>
  <c r="AK74" i="7"/>
  <c r="AC56" i="18"/>
  <c r="AD56" i="18" s="1"/>
  <c r="AA48" i="16"/>
  <c r="AJ48" i="16" s="1"/>
  <c r="AS48" i="16" s="1"/>
  <c r="AY48" i="16" s="1"/>
  <c r="AI69" i="7"/>
  <c r="AC30" i="16"/>
  <c r="J38" i="18" s="1"/>
  <c r="V34" i="7"/>
  <c r="AE30" i="16" s="1"/>
  <c r="L38" i="18" s="1"/>
  <c r="AA49" i="16" l="1"/>
  <c r="AJ49" i="16" s="1"/>
  <c r="AS49" i="16" s="1"/>
  <c r="AF29" i="16"/>
  <c r="M37" i="18" s="1"/>
  <c r="W33" i="7"/>
  <c r="I33" i="7"/>
  <c r="H29" i="16" s="1"/>
  <c r="J33" i="7"/>
  <c r="I29" i="16" s="1"/>
  <c r="Y33" i="7"/>
  <c r="Z28" i="16"/>
  <c r="AI28" i="16" s="1"/>
  <c r="AQ28" i="16" s="1"/>
  <c r="Y28" i="16"/>
  <c r="AH28" i="16" s="1"/>
  <c r="AO28" i="16" s="1"/>
  <c r="X28" i="16"/>
  <c r="AK28" i="16" s="1"/>
  <c r="AU28" i="16" s="1"/>
  <c r="W28" i="16"/>
  <c r="AG28" i="16"/>
  <c r="AL28" i="16" s="1"/>
  <c r="AW28" i="16" s="1"/>
  <c r="AF8" i="16"/>
  <c r="M16" i="18" s="1"/>
  <c r="W9" i="7"/>
  <c r="Y9" i="7"/>
  <c r="I9" i="7"/>
  <c r="H8" i="16" s="1"/>
  <c r="J9" i="7"/>
  <c r="I8" i="16" s="1"/>
  <c r="AZ6" i="16"/>
  <c r="Y7" i="16"/>
  <c r="AH7" i="16" s="1"/>
  <c r="AO7" i="16" s="1"/>
  <c r="Z7" i="16"/>
  <c r="AI7" i="16" s="1"/>
  <c r="AQ7" i="16" s="1"/>
  <c r="AY7" i="16" s="1"/>
  <c r="W7" i="16"/>
  <c r="X7" i="16"/>
  <c r="AK7" i="16" s="1"/>
  <c r="AU7" i="16" s="1"/>
  <c r="AG7" i="16"/>
  <c r="AL7" i="16" s="1"/>
  <c r="AW7" i="16" s="1"/>
  <c r="AC52" i="16"/>
  <c r="J60" i="18" s="1"/>
  <c r="X33" i="7"/>
  <c r="X58" i="7"/>
  <c r="T60" i="7"/>
  <c r="U59" i="7"/>
  <c r="T12" i="7"/>
  <c r="T36" i="7"/>
  <c r="U35" i="7"/>
  <c r="U11" i="7"/>
  <c r="V11" i="7" s="1"/>
  <c r="AE10" i="16" s="1"/>
  <c r="L18" i="18" s="1"/>
  <c r="G21" i="6"/>
  <c r="B23" i="6"/>
  <c r="X9" i="7"/>
  <c r="X10" i="7" s="1"/>
  <c r="AD9" i="16"/>
  <c r="K17" i="18" s="1"/>
  <c r="H10" i="7"/>
  <c r="AA28" i="16"/>
  <c r="AJ28" i="16" s="1"/>
  <c r="AS28" i="16" s="1"/>
  <c r="AY28" i="16" s="1"/>
  <c r="C26" i="6"/>
  <c r="H24" i="6"/>
  <c r="AC10" i="16"/>
  <c r="J18" i="18" s="1"/>
  <c r="AD30" i="16"/>
  <c r="K38" i="18" s="1"/>
  <c r="H34" i="7"/>
  <c r="AD51" i="16"/>
  <c r="K59" i="18" s="1"/>
  <c r="H58" i="7"/>
  <c r="Z49" i="16"/>
  <c r="AI49" i="16" s="1"/>
  <c r="AQ49" i="16" s="1"/>
  <c r="Y49" i="16"/>
  <c r="AH49" i="16" s="1"/>
  <c r="AO49" i="16" s="1"/>
  <c r="W49" i="16"/>
  <c r="X49" i="16"/>
  <c r="AK49" i="16" s="1"/>
  <c r="AU49" i="16" s="1"/>
  <c r="AG49" i="16"/>
  <c r="AL49" i="16" s="1"/>
  <c r="AW49" i="16" s="1"/>
  <c r="V58" i="7"/>
  <c r="AE51" i="16" s="1"/>
  <c r="L59" i="18" s="1"/>
  <c r="AF50" i="16"/>
  <c r="M58" i="18" s="1"/>
  <c r="W57" i="7"/>
  <c r="Y57" i="7"/>
  <c r="J57" i="7"/>
  <c r="I50" i="16" s="1"/>
  <c r="I57" i="7"/>
  <c r="H50" i="16" s="1"/>
  <c r="AB7" i="16"/>
  <c r="N36" i="18"/>
  <c r="O36" i="18" s="1"/>
  <c r="Z36" i="18"/>
  <c r="AA36" i="18" s="1"/>
  <c r="W36" i="18"/>
  <c r="X36" i="18" s="1"/>
  <c r="AF36" i="18"/>
  <c r="AG36" i="18" s="1"/>
  <c r="AI36" i="18"/>
  <c r="AJ36" i="18" s="1"/>
  <c r="N57" i="18"/>
  <c r="O57" i="18" s="1"/>
  <c r="Z57" i="18"/>
  <c r="AA57" i="18" s="1"/>
  <c r="W57" i="18"/>
  <c r="X57" i="18" s="1"/>
  <c r="AF57" i="18"/>
  <c r="AG57" i="18" s="1"/>
  <c r="AI57" i="18"/>
  <c r="AJ57" i="18" s="1"/>
  <c r="AC31" i="16"/>
  <c r="J39" i="18" s="1"/>
  <c r="N15" i="18"/>
  <c r="O15" i="18" s="1"/>
  <c r="W15" i="18"/>
  <c r="X15" i="18" s="1"/>
  <c r="Z15" i="18"/>
  <c r="AA15" i="18" s="1"/>
  <c r="AF15" i="18"/>
  <c r="AG15" i="18" s="1"/>
  <c r="AI15" i="18"/>
  <c r="AJ15" i="18" s="1"/>
  <c r="AB28" i="16"/>
  <c r="AY49" i="16" l="1"/>
  <c r="AZ7" i="16"/>
  <c r="AZ28" i="16"/>
  <c r="U60" i="7"/>
  <c r="T61" i="7"/>
  <c r="T37" i="7"/>
  <c r="T13" i="7"/>
  <c r="U36" i="7"/>
  <c r="U12" i="7"/>
  <c r="B24" i="6"/>
  <c r="G22" i="6"/>
  <c r="AF30" i="16"/>
  <c r="M38" i="18" s="1"/>
  <c r="W34" i="7"/>
  <c r="I34" i="7"/>
  <c r="H30" i="16" s="1"/>
  <c r="J34" i="7"/>
  <c r="I30" i="16" s="1"/>
  <c r="Y34" i="7"/>
  <c r="AC32" i="16"/>
  <c r="J40" i="18" s="1"/>
  <c r="V36" i="7"/>
  <c r="AE32" i="16" s="1"/>
  <c r="L40" i="18" s="1"/>
  <c r="AD31" i="16"/>
  <c r="K39" i="18" s="1"/>
  <c r="H35" i="7"/>
  <c r="V35" i="7"/>
  <c r="AE31" i="16" s="1"/>
  <c r="L39" i="18" s="1"/>
  <c r="AZ49" i="16"/>
  <c r="AF9" i="16"/>
  <c r="M17" i="18" s="1"/>
  <c r="Y10" i="7"/>
  <c r="W10" i="7"/>
  <c r="J10" i="7"/>
  <c r="I9" i="16" s="1"/>
  <c r="I10" i="7"/>
  <c r="H9" i="16" s="1"/>
  <c r="AC11" i="16"/>
  <c r="J19" i="18" s="1"/>
  <c r="V12" i="7"/>
  <c r="AE11" i="16" s="1"/>
  <c r="L19" i="18" s="1"/>
  <c r="AC53" i="16"/>
  <c r="J61" i="18" s="1"/>
  <c r="V60" i="7"/>
  <c r="AE53" i="16" s="1"/>
  <c r="L61" i="18" s="1"/>
  <c r="Z8" i="16"/>
  <c r="AI8" i="16" s="1"/>
  <c r="AQ8" i="16" s="1"/>
  <c r="Y8" i="16"/>
  <c r="AH8" i="16" s="1"/>
  <c r="AO8" i="16" s="1"/>
  <c r="W8" i="16"/>
  <c r="X8" i="16"/>
  <c r="AK8" i="16" s="1"/>
  <c r="AU8" i="16" s="1"/>
  <c r="AA8" i="16"/>
  <c r="AJ8" i="16" s="1"/>
  <c r="AS8" i="16" s="1"/>
  <c r="AB8" i="16"/>
  <c r="AG8" i="16"/>
  <c r="AL8" i="16" s="1"/>
  <c r="AW8" i="16" s="1"/>
  <c r="Z29" i="16"/>
  <c r="AI29" i="16" s="1"/>
  <c r="AQ29" i="16" s="1"/>
  <c r="X29" i="16"/>
  <c r="AK29" i="16" s="1"/>
  <c r="AU29" i="16" s="1"/>
  <c r="Y29" i="16"/>
  <c r="AH29" i="16" s="1"/>
  <c r="AO29" i="16" s="1"/>
  <c r="W29" i="16"/>
  <c r="AG29" i="16"/>
  <c r="AL29" i="16" s="1"/>
  <c r="AW29" i="16" s="1"/>
  <c r="AA29" i="16"/>
  <c r="AJ29" i="16" s="1"/>
  <c r="AS29" i="16" s="1"/>
  <c r="AB29" i="16"/>
  <c r="AD10" i="16"/>
  <c r="K18" i="18" s="1"/>
  <c r="H11" i="7"/>
  <c r="AF51" i="16"/>
  <c r="M59" i="18" s="1"/>
  <c r="W58" i="7"/>
  <c r="J58" i="7"/>
  <c r="I51" i="16" s="1"/>
  <c r="Y58" i="7"/>
  <c r="I58" i="7"/>
  <c r="H51" i="16" s="1"/>
  <c r="X34" i="7"/>
  <c r="X35" i="7" s="1"/>
  <c r="N16" i="18"/>
  <c r="O16" i="18" s="1"/>
  <c r="W16" i="18"/>
  <c r="X16" i="18" s="1"/>
  <c r="Z16" i="18"/>
  <c r="AA16" i="18" s="1"/>
  <c r="AF16" i="18"/>
  <c r="AG16" i="18" s="1"/>
  <c r="AI16" i="18"/>
  <c r="AJ16" i="18" s="1"/>
  <c r="AC16" i="18"/>
  <c r="AD16" i="18" s="1"/>
  <c r="N37" i="18"/>
  <c r="O37" i="18" s="1"/>
  <c r="Z37" i="18"/>
  <c r="AA37" i="18" s="1"/>
  <c r="W37" i="18"/>
  <c r="X37" i="18" s="1"/>
  <c r="AF37" i="18"/>
  <c r="AG37" i="18" s="1"/>
  <c r="AI37" i="18"/>
  <c r="AJ37" i="18" s="1"/>
  <c r="AC37" i="18"/>
  <c r="AD37" i="18" s="1"/>
  <c r="AD52" i="16"/>
  <c r="K60" i="18" s="1"/>
  <c r="H59" i="7"/>
  <c r="N58" i="18"/>
  <c r="O58" i="18" s="1"/>
  <c r="W58" i="18"/>
  <c r="X58" i="18" s="1"/>
  <c r="Z58" i="18"/>
  <c r="AA58" i="18" s="1"/>
  <c r="AF58" i="18"/>
  <c r="AG58" i="18" s="1"/>
  <c r="AC58" i="18"/>
  <c r="AD58" i="18" s="1"/>
  <c r="AI58" i="18"/>
  <c r="AJ58" i="18" s="1"/>
  <c r="V59" i="7"/>
  <c r="AE52" i="16" s="1"/>
  <c r="L60" i="18" s="1"/>
  <c r="Z50" i="16"/>
  <c r="AI50" i="16" s="1"/>
  <c r="AQ50" i="16" s="1"/>
  <c r="Y50" i="16"/>
  <c r="AH50" i="16" s="1"/>
  <c r="AO50" i="16" s="1"/>
  <c r="W50" i="16"/>
  <c r="X50" i="16"/>
  <c r="AK50" i="16" s="1"/>
  <c r="AU50" i="16" s="1"/>
  <c r="AA50" i="16"/>
  <c r="AJ50" i="16" s="1"/>
  <c r="AS50" i="16" s="1"/>
  <c r="AB50" i="16"/>
  <c r="AG50" i="16"/>
  <c r="AL50" i="16" s="1"/>
  <c r="AW50" i="16" s="1"/>
  <c r="C27" i="6"/>
  <c r="H25" i="6"/>
  <c r="AZ8" i="16" l="1"/>
  <c r="AY8" i="16"/>
  <c r="N17" i="18"/>
  <c r="O17" i="18" s="1"/>
  <c r="W17" i="18"/>
  <c r="X17" i="18" s="1"/>
  <c r="Z17" i="18"/>
  <c r="AA17" i="18" s="1"/>
  <c r="AF17" i="18"/>
  <c r="AG17" i="18" s="1"/>
  <c r="AC17" i="18"/>
  <c r="AD17" i="18" s="1"/>
  <c r="AI17" i="18"/>
  <c r="AJ17" i="18" s="1"/>
  <c r="Z30" i="16"/>
  <c r="AI30" i="16" s="1"/>
  <c r="AQ30" i="16" s="1"/>
  <c r="Y30" i="16"/>
  <c r="AH30" i="16" s="1"/>
  <c r="AO30" i="16" s="1"/>
  <c r="X30" i="16"/>
  <c r="AK30" i="16" s="1"/>
  <c r="AU30" i="16" s="1"/>
  <c r="AZ30" i="16" s="1"/>
  <c r="W30" i="16"/>
  <c r="AA30" i="16"/>
  <c r="AJ30" i="16" s="1"/>
  <c r="AS30" i="16" s="1"/>
  <c r="AG30" i="16"/>
  <c r="AL30" i="16" s="1"/>
  <c r="AW30" i="16" s="1"/>
  <c r="AB30" i="16"/>
  <c r="Y9" i="16"/>
  <c r="AH9" i="16" s="1"/>
  <c r="AO9" i="16" s="1"/>
  <c r="Z9" i="16"/>
  <c r="AI9" i="16" s="1"/>
  <c r="AQ9" i="16" s="1"/>
  <c r="W9" i="16"/>
  <c r="X9" i="16"/>
  <c r="AK9" i="16" s="1"/>
  <c r="AU9" i="16" s="1"/>
  <c r="AB9" i="16"/>
  <c r="AA9" i="16"/>
  <c r="AJ9" i="16" s="1"/>
  <c r="AS9" i="16" s="1"/>
  <c r="AG9" i="16"/>
  <c r="AL9" i="16" s="1"/>
  <c r="AW9" i="16" s="1"/>
  <c r="N38" i="18"/>
  <c r="O38" i="18" s="1"/>
  <c r="Z38" i="18"/>
  <c r="AA38" i="18" s="1"/>
  <c r="W38" i="18"/>
  <c r="X38" i="18" s="1"/>
  <c r="AF38" i="18"/>
  <c r="AG38" i="18" s="1"/>
  <c r="AC38" i="18"/>
  <c r="AD38" i="18" s="1"/>
  <c r="AI38" i="18"/>
  <c r="AJ38" i="18" s="1"/>
  <c r="AF10" i="16"/>
  <c r="M18" i="18" s="1"/>
  <c r="Y11" i="7"/>
  <c r="W11" i="7"/>
  <c r="J11" i="7"/>
  <c r="I10" i="16" s="1"/>
  <c r="I11" i="7"/>
  <c r="H10" i="16" s="1"/>
  <c r="AY50" i="16"/>
  <c r="AF52" i="16"/>
  <c r="M60" i="18" s="1"/>
  <c r="W59" i="7"/>
  <c r="J59" i="7"/>
  <c r="I52" i="16" s="1"/>
  <c r="I59" i="7"/>
  <c r="H52" i="16" s="1"/>
  <c r="Y59" i="7"/>
  <c r="AY29" i="16"/>
  <c r="H26" i="6"/>
  <c r="C28" i="6"/>
  <c r="X59" i="7"/>
  <c r="T38" i="7"/>
  <c r="U37" i="7"/>
  <c r="U61" i="7"/>
  <c r="V61" i="7" s="1"/>
  <c r="AE54" i="16" s="1"/>
  <c r="L62" i="18" s="1"/>
  <c r="T62" i="7"/>
  <c r="T14" i="7"/>
  <c r="B25" i="6"/>
  <c r="G23" i="6"/>
  <c r="U13" i="7"/>
  <c r="X36" i="7"/>
  <c r="AD11" i="16"/>
  <c r="K19" i="18" s="1"/>
  <c r="H12" i="7"/>
  <c r="AZ50" i="16"/>
  <c r="X11" i="7"/>
  <c r="X12" i="7" s="1"/>
  <c r="AF31" i="16"/>
  <c r="M39" i="18" s="1"/>
  <c r="W35" i="7"/>
  <c r="Y35" i="7"/>
  <c r="I35" i="7"/>
  <c r="H31" i="16" s="1"/>
  <c r="J35" i="7"/>
  <c r="I31" i="16" s="1"/>
  <c r="AD32" i="16"/>
  <c r="K40" i="18" s="1"/>
  <c r="H36" i="7"/>
  <c r="N59" i="18"/>
  <c r="O59" i="18" s="1"/>
  <c r="Z59" i="18"/>
  <c r="AA59" i="18" s="1"/>
  <c r="W59" i="18"/>
  <c r="X59" i="18" s="1"/>
  <c r="AF59" i="18"/>
  <c r="AG59" i="18" s="1"/>
  <c r="AI59" i="18"/>
  <c r="AJ59" i="18" s="1"/>
  <c r="AC59" i="18"/>
  <c r="AD59" i="18" s="1"/>
  <c r="AZ29" i="16"/>
  <c r="AC12" i="16"/>
  <c r="J20" i="18" s="1"/>
  <c r="V13" i="7"/>
  <c r="AE12" i="16" s="1"/>
  <c r="L20" i="18" s="1"/>
  <c r="AC33" i="16"/>
  <c r="J41" i="18" s="1"/>
  <c r="V37" i="7"/>
  <c r="AE33" i="16" s="1"/>
  <c r="L41" i="18" s="1"/>
  <c r="Y51" i="16"/>
  <c r="AH51" i="16" s="1"/>
  <c r="AO51" i="16" s="1"/>
  <c r="Z51" i="16"/>
  <c r="AI51" i="16" s="1"/>
  <c r="AQ51" i="16" s="1"/>
  <c r="W51" i="16"/>
  <c r="AG51" i="16"/>
  <c r="AL51" i="16" s="1"/>
  <c r="AW51" i="16" s="1"/>
  <c r="X51" i="16"/>
  <c r="AK51" i="16" s="1"/>
  <c r="AU51" i="16" s="1"/>
  <c r="AB51" i="16"/>
  <c r="AA51" i="16"/>
  <c r="AJ51" i="16" s="1"/>
  <c r="AS51" i="16" s="1"/>
  <c r="AC54" i="16"/>
  <c r="J62" i="18" s="1"/>
  <c r="AD53" i="16"/>
  <c r="K61" i="18" s="1"/>
  <c r="H60" i="7"/>
  <c r="AY30" i="16" l="1"/>
  <c r="Y52" i="16"/>
  <c r="AH52" i="16" s="1"/>
  <c r="AO52" i="16" s="1"/>
  <c r="Z52" i="16"/>
  <c r="AI52" i="16" s="1"/>
  <c r="AQ52" i="16" s="1"/>
  <c r="W52" i="16"/>
  <c r="X52" i="16"/>
  <c r="AK52" i="16" s="1"/>
  <c r="AU52" i="16" s="1"/>
  <c r="AG52" i="16"/>
  <c r="AL52" i="16" s="1"/>
  <c r="AW52" i="16" s="1"/>
  <c r="AB52" i="16"/>
  <c r="AA52" i="16"/>
  <c r="AJ52" i="16" s="1"/>
  <c r="AS52" i="16" s="1"/>
  <c r="N39" i="18"/>
  <c r="O39" i="18" s="1"/>
  <c r="Z39" i="18"/>
  <c r="AA39" i="18" s="1"/>
  <c r="W39" i="18"/>
  <c r="X39" i="18" s="1"/>
  <c r="AF39" i="18"/>
  <c r="AG39" i="18" s="1"/>
  <c r="AI39" i="18"/>
  <c r="AJ39" i="18" s="1"/>
  <c r="AC39" i="18"/>
  <c r="AD39" i="18" s="1"/>
  <c r="AC13" i="16"/>
  <c r="J21" i="18" s="1"/>
  <c r="AC55" i="16"/>
  <c r="J63" i="18" s="1"/>
  <c r="AD33" i="16"/>
  <c r="K41" i="18" s="1"/>
  <c r="H37" i="7"/>
  <c r="T63" i="7"/>
  <c r="U62" i="7"/>
  <c r="V62" i="7" s="1"/>
  <c r="AE55" i="16" s="1"/>
  <c r="L63" i="18" s="1"/>
  <c r="U14" i="7"/>
  <c r="U38" i="7"/>
  <c r="T15" i="7"/>
  <c r="G24" i="6"/>
  <c r="T39" i="7"/>
  <c r="B26" i="6"/>
  <c r="AY51" i="16"/>
  <c r="AC34" i="16"/>
  <c r="J42" i="18" s="1"/>
  <c r="V38" i="7"/>
  <c r="AE34" i="16" s="1"/>
  <c r="L42" i="18" s="1"/>
  <c r="N18" i="18"/>
  <c r="O18" i="18" s="1"/>
  <c r="Z18" i="18"/>
  <c r="AA18" i="18" s="1"/>
  <c r="W18" i="18"/>
  <c r="X18" i="18" s="1"/>
  <c r="AI18" i="18"/>
  <c r="AJ18" i="18" s="1"/>
  <c r="AF18" i="18"/>
  <c r="AG18" i="18" s="1"/>
  <c r="AC18" i="18"/>
  <c r="AD18" i="18" s="1"/>
  <c r="AY9" i="16"/>
  <c r="AD54" i="16"/>
  <c r="K62" i="18" s="1"/>
  <c r="H61" i="7"/>
  <c r="AZ51" i="16"/>
  <c r="X60" i="7"/>
  <c r="X61" i="7" s="1"/>
  <c r="AF11" i="16"/>
  <c r="M19" i="18" s="1"/>
  <c r="W12" i="7"/>
  <c r="Y12" i="7"/>
  <c r="J12" i="7"/>
  <c r="I11" i="16" s="1"/>
  <c r="I12" i="7"/>
  <c r="H11" i="16" s="1"/>
  <c r="H27" i="6"/>
  <c r="C29" i="6"/>
  <c r="AZ9" i="16"/>
  <c r="Y10" i="16"/>
  <c r="AH10" i="16" s="1"/>
  <c r="AO10" i="16" s="1"/>
  <c r="Z10" i="16"/>
  <c r="AI10" i="16" s="1"/>
  <c r="AQ10" i="16" s="1"/>
  <c r="AB10" i="16"/>
  <c r="AG10" i="16"/>
  <c r="AL10" i="16" s="1"/>
  <c r="AW10" i="16" s="1"/>
  <c r="W10" i="16"/>
  <c r="X10" i="16"/>
  <c r="AK10" i="16" s="1"/>
  <c r="AU10" i="16" s="1"/>
  <c r="AA10" i="16"/>
  <c r="AJ10" i="16" s="1"/>
  <c r="AS10" i="16" s="1"/>
  <c r="X37" i="7"/>
  <c r="AF32" i="16"/>
  <c r="M40" i="18" s="1"/>
  <c r="W36" i="7"/>
  <c r="Y36" i="7"/>
  <c r="J36" i="7"/>
  <c r="I32" i="16" s="1"/>
  <c r="I36" i="7"/>
  <c r="H32" i="16" s="1"/>
  <c r="AD12" i="16"/>
  <c r="K20" i="18" s="1"/>
  <c r="H13" i="7"/>
  <c r="X13" i="7" s="1"/>
  <c r="AF53" i="16"/>
  <c r="M61" i="18" s="1"/>
  <c r="W60" i="7"/>
  <c r="J60" i="7"/>
  <c r="I53" i="16" s="1"/>
  <c r="Y60" i="7"/>
  <c r="I60" i="7"/>
  <c r="H53" i="16" s="1"/>
  <c r="Y31" i="16"/>
  <c r="AH31" i="16" s="1"/>
  <c r="AO31" i="16" s="1"/>
  <c r="Z31" i="16"/>
  <c r="AI31" i="16" s="1"/>
  <c r="AQ31" i="16" s="1"/>
  <c r="W31" i="16"/>
  <c r="X31" i="16"/>
  <c r="AK31" i="16" s="1"/>
  <c r="AU31" i="16" s="1"/>
  <c r="AA31" i="16"/>
  <c r="AJ31" i="16" s="1"/>
  <c r="AS31" i="16" s="1"/>
  <c r="AG31" i="16"/>
  <c r="AL31" i="16" s="1"/>
  <c r="AW31" i="16" s="1"/>
  <c r="AB31" i="16"/>
  <c r="N60" i="18"/>
  <c r="O60" i="18" s="1"/>
  <c r="W60" i="18"/>
  <c r="X60" i="18" s="1"/>
  <c r="Z60" i="18"/>
  <c r="AA60" i="18" s="1"/>
  <c r="AF60" i="18"/>
  <c r="AG60" i="18" s="1"/>
  <c r="AI60" i="18"/>
  <c r="AJ60" i="18" s="1"/>
  <c r="AC60" i="18"/>
  <c r="AD60" i="18" s="1"/>
  <c r="AY52" i="16" l="1"/>
  <c r="AY10" i="16"/>
  <c r="AZ10" i="16"/>
  <c r="N61" i="18"/>
  <c r="O61" i="18" s="1"/>
  <c r="W61" i="18"/>
  <c r="X61" i="18" s="1"/>
  <c r="Z61" i="18"/>
  <c r="AA61" i="18" s="1"/>
  <c r="AF61" i="18"/>
  <c r="AG61" i="18" s="1"/>
  <c r="AI61" i="18"/>
  <c r="AJ61" i="18" s="1"/>
  <c r="AC61" i="18"/>
  <c r="AD61" i="18" s="1"/>
  <c r="N19" i="18"/>
  <c r="O19" i="18" s="1"/>
  <c r="Z19" i="18"/>
  <c r="AA19" i="18" s="1"/>
  <c r="W19" i="18"/>
  <c r="X19" i="18" s="1"/>
  <c r="AF19" i="18"/>
  <c r="AG19" i="18" s="1"/>
  <c r="AC19" i="18"/>
  <c r="AD19" i="18" s="1"/>
  <c r="AI19" i="18"/>
  <c r="AJ19" i="18" s="1"/>
  <c r="AD34" i="16"/>
  <c r="K42" i="18" s="1"/>
  <c r="H38" i="7"/>
  <c r="X38" i="7" s="1"/>
  <c r="Z11" i="16"/>
  <c r="AI11" i="16" s="1"/>
  <c r="AQ11" i="16" s="1"/>
  <c r="Y11" i="16"/>
  <c r="AH11" i="16" s="1"/>
  <c r="AO11" i="16" s="1"/>
  <c r="X11" i="16"/>
  <c r="AK11" i="16" s="1"/>
  <c r="AU11" i="16" s="1"/>
  <c r="AZ11" i="16" s="1"/>
  <c r="W11" i="16"/>
  <c r="AA11" i="16"/>
  <c r="AJ11" i="16" s="1"/>
  <c r="AS11" i="16" s="1"/>
  <c r="AG11" i="16"/>
  <c r="AL11" i="16" s="1"/>
  <c r="AW11" i="16" s="1"/>
  <c r="AB11" i="16"/>
  <c r="AD13" i="16"/>
  <c r="K21" i="18" s="1"/>
  <c r="H14" i="7"/>
  <c r="AF33" i="16"/>
  <c r="M41" i="18" s="1"/>
  <c r="W37" i="7"/>
  <c r="Y37" i="7"/>
  <c r="I37" i="7"/>
  <c r="H33" i="16" s="1"/>
  <c r="J37" i="7"/>
  <c r="I33" i="16" s="1"/>
  <c r="C30" i="6"/>
  <c r="H28" i="6"/>
  <c r="AC56" i="16"/>
  <c r="J64" i="18" s="1"/>
  <c r="V63" i="7"/>
  <c r="AE56" i="16" s="1"/>
  <c r="L64" i="18" s="1"/>
  <c r="AF54" i="16"/>
  <c r="M62" i="18" s="1"/>
  <c r="W61" i="7"/>
  <c r="J61" i="7"/>
  <c r="I54" i="16" s="1"/>
  <c r="I61" i="7"/>
  <c r="H54" i="16" s="1"/>
  <c r="Y61" i="7"/>
  <c r="AZ52" i="16"/>
  <c r="AF12" i="16"/>
  <c r="M20" i="18" s="1"/>
  <c r="W13" i="7"/>
  <c r="Y13" i="7"/>
  <c r="I13" i="7"/>
  <c r="H12" i="16" s="1"/>
  <c r="J13" i="7"/>
  <c r="I12" i="16" s="1"/>
  <c r="AY31" i="16"/>
  <c r="AZ31" i="16"/>
  <c r="T64" i="7"/>
  <c r="U63" i="7"/>
  <c r="U15" i="7"/>
  <c r="T40" i="7"/>
  <c r="U39" i="7"/>
  <c r="V39" i="7" s="1"/>
  <c r="AE35" i="16" s="1"/>
  <c r="L43" i="18" s="1"/>
  <c r="T16" i="7"/>
  <c r="B27" i="6"/>
  <c r="G25" i="6"/>
  <c r="V14" i="7"/>
  <c r="AE13" i="16" s="1"/>
  <c r="L21" i="18" s="1"/>
  <c r="Y53" i="16"/>
  <c r="AH53" i="16" s="1"/>
  <c r="AO53" i="16" s="1"/>
  <c r="Z53" i="16"/>
  <c r="AI53" i="16" s="1"/>
  <c r="AQ53" i="16" s="1"/>
  <c r="W53" i="16"/>
  <c r="X53" i="16"/>
  <c r="AK53" i="16" s="1"/>
  <c r="AU53" i="16" s="1"/>
  <c r="AG53" i="16"/>
  <c r="AL53" i="16" s="1"/>
  <c r="AW53" i="16" s="1"/>
  <c r="AB53" i="16"/>
  <c r="AA53" i="16"/>
  <c r="AJ53" i="16" s="1"/>
  <c r="AS53" i="16" s="1"/>
  <c r="AD55" i="16"/>
  <c r="K63" i="18" s="1"/>
  <c r="H62" i="7"/>
  <c r="N40" i="18"/>
  <c r="O40" i="18" s="1"/>
  <c r="W40" i="18"/>
  <c r="X40" i="18" s="1"/>
  <c r="Z40" i="18"/>
  <c r="AA40" i="18" s="1"/>
  <c r="AF40" i="18"/>
  <c r="AG40" i="18" s="1"/>
  <c r="AI40" i="18"/>
  <c r="AJ40" i="18" s="1"/>
  <c r="AC40" i="18"/>
  <c r="AD40" i="18" s="1"/>
  <c r="Y32" i="16"/>
  <c r="AH32" i="16" s="1"/>
  <c r="AO32" i="16" s="1"/>
  <c r="Z32" i="16"/>
  <c r="AI32" i="16" s="1"/>
  <c r="AQ32" i="16" s="1"/>
  <c r="W32" i="16"/>
  <c r="X32" i="16"/>
  <c r="AK32" i="16" s="1"/>
  <c r="AU32" i="16" s="1"/>
  <c r="AG32" i="16"/>
  <c r="AL32" i="16" s="1"/>
  <c r="AW32" i="16" s="1"/>
  <c r="AA32" i="16"/>
  <c r="AJ32" i="16" s="1"/>
  <c r="AS32" i="16" s="1"/>
  <c r="AB32" i="16"/>
  <c r="AC35" i="16"/>
  <c r="J43" i="18" s="1"/>
  <c r="AC14" i="16"/>
  <c r="J22" i="18" s="1"/>
  <c r="V15" i="7"/>
  <c r="AE14" i="16" s="1"/>
  <c r="L22" i="18" s="1"/>
  <c r="AZ53" i="16" l="1"/>
  <c r="AY11" i="16"/>
  <c r="Z12" i="16"/>
  <c r="AI12" i="16" s="1"/>
  <c r="AQ12" i="16" s="1"/>
  <c r="W12" i="16"/>
  <c r="X12" i="16"/>
  <c r="AK12" i="16" s="1"/>
  <c r="AU12" i="16" s="1"/>
  <c r="Y12" i="16"/>
  <c r="AH12" i="16" s="1"/>
  <c r="AO12" i="16" s="1"/>
  <c r="AA12" i="16"/>
  <c r="AJ12" i="16" s="1"/>
  <c r="AS12" i="16" s="1"/>
  <c r="AB12" i="16"/>
  <c r="AG12" i="16"/>
  <c r="AL12" i="16" s="1"/>
  <c r="AW12" i="16" s="1"/>
  <c r="T65" i="7"/>
  <c r="U64" i="7"/>
  <c r="T41" i="7"/>
  <c r="U16" i="7"/>
  <c r="U40" i="7"/>
  <c r="T17" i="7"/>
  <c r="B28" i="6"/>
  <c r="G26" i="6"/>
  <c r="C31" i="6"/>
  <c r="H29" i="6"/>
  <c r="AY32" i="16"/>
  <c r="AF55" i="16"/>
  <c r="M63" i="18" s="1"/>
  <c r="W62" i="7"/>
  <c r="I62" i="7"/>
  <c r="H55" i="16" s="1"/>
  <c r="J62" i="7"/>
  <c r="I55" i="16" s="1"/>
  <c r="Y62" i="7"/>
  <c r="AC15" i="16"/>
  <c r="J23" i="18" s="1"/>
  <c r="X62" i="7"/>
  <c r="Z33" i="16"/>
  <c r="AI33" i="16" s="1"/>
  <c r="AQ33" i="16" s="1"/>
  <c r="Y33" i="16"/>
  <c r="AH33" i="16" s="1"/>
  <c r="AO33" i="16" s="1"/>
  <c r="W33" i="16"/>
  <c r="X33" i="16"/>
  <c r="AK33" i="16" s="1"/>
  <c r="AU33" i="16" s="1"/>
  <c r="AG33" i="16"/>
  <c r="AL33" i="16" s="1"/>
  <c r="AW33" i="16" s="1"/>
  <c r="AA33" i="16"/>
  <c r="AJ33" i="16" s="1"/>
  <c r="AS33" i="16" s="1"/>
  <c r="AY33" i="16" s="1"/>
  <c r="AB33" i="16"/>
  <c r="AD35" i="16"/>
  <c r="K43" i="18" s="1"/>
  <c r="H39" i="7"/>
  <c r="AZ32" i="16"/>
  <c r="AY53" i="16"/>
  <c r="AC36" i="16"/>
  <c r="J44" i="18" s="1"/>
  <c r="V40" i="7"/>
  <c r="AE36" i="16" s="1"/>
  <c r="L44" i="18" s="1"/>
  <c r="N41" i="18"/>
  <c r="O41" i="18" s="1"/>
  <c r="W41" i="18"/>
  <c r="X41" i="18" s="1"/>
  <c r="Z41" i="18"/>
  <c r="AA41" i="18" s="1"/>
  <c r="AI41" i="18"/>
  <c r="AJ41" i="18" s="1"/>
  <c r="AF41" i="18"/>
  <c r="AG41" i="18" s="1"/>
  <c r="AC41" i="18"/>
  <c r="AD41" i="18" s="1"/>
  <c r="AD14" i="16"/>
  <c r="K22" i="18" s="1"/>
  <c r="H15" i="7"/>
  <c r="N20" i="18"/>
  <c r="O20" i="18" s="1"/>
  <c r="Z20" i="18"/>
  <c r="AA20" i="18" s="1"/>
  <c r="W20" i="18"/>
  <c r="X20" i="18" s="1"/>
  <c r="AF20" i="18"/>
  <c r="AG20" i="18" s="1"/>
  <c r="AC20" i="18"/>
  <c r="AD20" i="18" s="1"/>
  <c r="AI20" i="18"/>
  <c r="AJ20" i="18" s="1"/>
  <c r="AD56" i="16"/>
  <c r="K64" i="18" s="1"/>
  <c r="H63" i="7"/>
  <c r="N62" i="18"/>
  <c r="O62" i="18" s="1"/>
  <c r="Z62" i="18"/>
  <c r="AA62" i="18" s="1"/>
  <c r="W62" i="18"/>
  <c r="X62" i="18" s="1"/>
  <c r="AI62" i="18"/>
  <c r="AJ62" i="18" s="1"/>
  <c r="AF62" i="18"/>
  <c r="AG62" i="18" s="1"/>
  <c r="AC62" i="18"/>
  <c r="AD62" i="18" s="1"/>
  <c r="AF34" i="16"/>
  <c r="M42" i="18" s="1"/>
  <c r="W38" i="7"/>
  <c r="Y38" i="7"/>
  <c r="J38" i="7"/>
  <c r="I34" i="16" s="1"/>
  <c r="I38" i="7"/>
  <c r="H34" i="16" s="1"/>
  <c r="Z54" i="16"/>
  <c r="AI54" i="16" s="1"/>
  <c r="AQ54" i="16" s="1"/>
  <c r="Y54" i="16"/>
  <c r="AH54" i="16" s="1"/>
  <c r="AO54" i="16" s="1"/>
  <c r="W54" i="16"/>
  <c r="X54" i="16"/>
  <c r="AK54" i="16" s="1"/>
  <c r="AU54" i="16" s="1"/>
  <c r="AG54" i="16"/>
  <c r="AL54" i="16" s="1"/>
  <c r="AW54" i="16" s="1"/>
  <c r="AB54" i="16"/>
  <c r="AA54" i="16"/>
  <c r="AJ54" i="16" s="1"/>
  <c r="AS54" i="16" s="1"/>
  <c r="AC57" i="16"/>
  <c r="J65" i="18" s="1"/>
  <c r="AF13" i="16"/>
  <c r="M21" i="18" s="1"/>
  <c r="W14" i="7"/>
  <c r="Y14" i="7"/>
  <c r="I14" i="7"/>
  <c r="H13" i="16" s="1"/>
  <c r="J14" i="7"/>
  <c r="I13" i="16" s="1"/>
  <c r="X14" i="7"/>
  <c r="X15" i="7" s="1"/>
  <c r="AY12" i="16" l="1"/>
  <c r="AZ12" i="16"/>
  <c r="AZ54" i="16"/>
  <c r="AF14" i="16"/>
  <c r="M22" i="18" s="1"/>
  <c r="W15" i="7"/>
  <c r="Y15" i="7"/>
  <c r="J15" i="7"/>
  <c r="I14" i="16" s="1"/>
  <c r="I15" i="7"/>
  <c r="H14" i="16" s="1"/>
  <c r="AF35" i="16"/>
  <c r="M43" i="18" s="1"/>
  <c r="W39" i="7"/>
  <c r="J39" i="7"/>
  <c r="I35" i="16" s="1"/>
  <c r="Y39" i="7"/>
  <c r="I39" i="7"/>
  <c r="H35" i="16" s="1"/>
  <c r="AD15" i="16"/>
  <c r="K23" i="18" s="1"/>
  <c r="H16" i="7"/>
  <c r="X16" i="7" s="1"/>
  <c r="Y55" i="16"/>
  <c r="AH55" i="16" s="1"/>
  <c r="AO55" i="16" s="1"/>
  <c r="Z55" i="16"/>
  <c r="AI55" i="16" s="1"/>
  <c r="AQ55" i="16" s="1"/>
  <c r="X55" i="16"/>
  <c r="AK55" i="16" s="1"/>
  <c r="AU55" i="16" s="1"/>
  <c r="W55" i="16"/>
  <c r="AG55" i="16"/>
  <c r="AL55" i="16" s="1"/>
  <c r="AW55" i="16" s="1"/>
  <c r="AA55" i="16"/>
  <c r="AJ55" i="16" s="1"/>
  <c r="AS55" i="16" s="1"/>
  <c r="AB55" i="16"/>
  <c r="AC37" i="16"/>
  <c r="J45" i="18" s="1"/>
  <c r="AD57" i="16"/>
  <c r="K65" i="18" s="1"/>
  <c r="H64" i="7"/>
  <c r="AF56" i="16"/>
  <c r="M64" i="18" s="1"/>
  <c r="W63" i="7"/>
  <c r="Y63" i="7"/>
  <c r="J63" i="7"/>
  <c r="I56" i="16" s="1"/>
  <c r="I63" i="7"/>
  <c r="H56" i="16" s="1"/>
  <c r="AZ33" i="16"/>
  <c r="N21" i="18"/>
  <c r="O21" i="18" s="1"/>
  <c r="Z21" i="18"/>
  <c r="AA21" i="18" s="1"/>
  <c r="W21" i="18"/>
  <c r="X21" i="18" s="1"/>
  <c r="AF21" i="18"/>
  <c r="AG21" i="18" s="1"/>
  <c r="AI21" i="18"/>
  <c r="AJ21" i="18" s="1"/>
  <c r="AC21" i="18"/>
  <c r="AD21" i="18" s="1"/>
  <c r="Y34" i="16"/>
  <c r="AH34" i="16" s="1"/>
  <c r="AO34" i="16" s="1"/>
  <c r="Z34" i="16"/>
  <c r="AI34" i="16" s="1"/>
  <c r="AQ34" i="16" s="1"/>
  <c r="W34" i="16"/>
  <c r="AG34" i="16"/>
  <c r="AL34" i="16" s="1"/>
  <c r="AW34" i="16" s="1"/>
  <c r="X34" i="16"/>
  <c r="AK34" i="16" s="1"/>
  <c r="AU34" i="16" s="1"/>
  <c r="AA34" i="16"/>
  <c r="AJ34" i="16" s="1"/>
  <c r="AS34" i="16" s="1"/>
  <c r="AB34" i="16"/>
  <c r="V64" i="7"/>
  <c r="AE57" i="16" s="1"/>
  <c r="L65" i="18" s="1"/>
  <c r="H30" i="6"/>
  <c r="C32" i="6"/>
  <c r="N63" i="18"/>
  <c r="O63" i="18" s="1"/>
  <c r="Z63" i="18"/>
  <c r="AA63" i="18" s="1"/>
  <c r="W63" i="18"/>
  <c r="X63" i="18" s="1"/>
  <c r="AF63" i="18"/>
  <c r="AG63" i="18" s="1"/>
  <c r="AI63" i="18"/>
  <c r="AJ63" i="18" s="1"/>
  <c r="AC63" i="18"/>
  <c r="AD63" i="18" s="1"/>
  <c r="AC58" i="16"/>
  <c r="J66" i="18" s="1"/>
  <c r="V65" i="7"/>
  <c r="AE58" i="16" s="1"/>
  <c r="L66" i="18" s="1"/>
  <c r="Z13" i="16"/>
  <c r="AI13" i="16" s="1"/>
  <c r="AQ13" i="16" s="1"/>
  <c r="Y13" i="16"/>
  <c r="AH13" i="16" s="1"/>
  <c r="AO13" i="16" s="1"/>
  <c r="AB13" i="16"/>
  <c r="W13" i="16"/>
  <c r="X13" i="16"/>
  <c r="AK13" i="16" s="1"/>
  <c r="AU13" i="16" s="1"/>
  <c r="AG13" i="16"/>
  <c r="AL13" i="16" s="1"/>
  <c r="AW13" i="16" s="1"/>
  <c r="AA13" i="16"/>
  <c r="AJ13" i="16" s="1"/>
  <c r="AS13" i="16" s="1"/>
  <c r="X63" i="7"/>
  <c r="X64" i="7" s="1"/>
  <c r="T66" i="7"/>
  <c r="U65" i="7"/>
  <c r="T42" i="7"/>
  <c r="U41" i="7"/>
  <c r="V41" i="7" s="1"/>
  <c r="AE37" i="16" s="1"/>
  <c r="L45" i="18" s="1"/>
  <c r="T18" i="7"/>
  <c r="U17" i="7"/>
  <c r="G27" i="6"/>
  <c r="B29" i="6"/>
  <c r="N42" i="18"/>
  <c r="O42" i="18" s="1"/>
  <c r="Z42" i="18"/>
  <c r="AA42" i="18" s="1"/>
  <c r="W42" i="18"/>
  <c r="X42" i="18" s="1"/>
  <c r="AI42" i="18"/>
  <c r="AJ42" i="18" s="1"/>
  <c r="AF42" i="18"/>
  <c r="AG42" i="18" s="1"/>
  <c r="AC42" i="18"/>
  <c r="AD42" i="18" s="1"/>
  <c r="AY54" i="16"/>
  <c r="V16" i="7"/>
  <c r="AE15" i="16" s="1"/>
  <c r="L23" i="18" s="1"/>
  <c r="AC16" i="16"/>
  <c r="J24" i="18" s="1"/>
  <c r="AD36" i="16"/>
  <c r="K44" i="18" s="1"/>
  <c r="H40" i="7"/>
  <c r="X39" i="7"/>
  <c r="AZ34" i="16" l="1"/>
  <c r="AY55" i="16"/>
  <c r="AY34" i="16"/>
  <c r="X40" i="7"/>
  <c r="AZ13" i="16"/>
  <c r="C33" i="6"/>
  <c r="H31" i="6"/>
  <c r="N43" i="18"/>
  <c r="O43" i="18" s="1"/>
  <c r="W43" i="18"/>
  <c r="X43" i="18" s="1"/>
  <c r="Z43" i="18"/>
  <c r="AA43" i="18" s="1"/>
  <c r="AF43" i="18"/>
  <c r="AG43" i="18" s="1"/>
  <c r="AI43" i="18"/>
  <c r="AJ43" i="18" s="1"/>
  <c r="AC43" i="18"/>
  <c r="AD43" i="18" s="1"/>
  <c r="AF36" i="16"/>
  <c r="M44" i="18" s="1"/>
  <c r="W40" i="7"/>
  <c r="I40" i="7"/>
  <c r="H36" i="16" s="1"/>
  <c r="J40" i="7"/>
  <c r="I36" i="16" s="1"/>
  <c r="Y40" i="7"/>
  <c r="Y35" i="16"/>
  <c r="AH35" i="16" s="1"/>
  <c r="AO35" i="16" s="1"/>
  <c r="Z35" i="16"/>
  <c r="AI35" i="16" s="1"/>
  <c r="AQ35" i="16" s="1"/>
  <c r="W35" i="16"/>
  <c r="X35" i="16"/>
  <c r="AK35" i="16" s="1"/>
  <c r="AU35" i="16" s="1"/>
  <c r="AZ35" i="16" s="1"/>
  <c r="AG35" i="16"/>
  <c r="AL35" i="16" s="1"/>
  <c r="AW35" i="16" s="1"/>
  <c r="AA35" i="16"/>
  <c r="AJ35" i="16" s="1"/>
  <c r="AS35" i="16" s="1"/>
  <c r="AY35" i="16" s="1"/>
  <c r="AB35" i="16"/>
  <c r="AC38" i="16"/>
  <c r="J46" i="18" s="1"/>
  <c r="N64" i="18"/>
  <c r="O64" i="18" s="1"/>
  <c r="Z64" i="18"/>
  <c r="AA64" i="18" s="1"/>
  <c r="W64" i="18"/>
  <c r="X64" i="18" s="1"/>
  <c r="AF64" i="18"/>
  <c r="AG64" i="18" s="1"/>
  <c r="AI64" i="18"/>
  <c r="AJ64" i="18" s="1"/>
  <c r="AC64" i="18"/>
  <c r="AD64" i="18" s="1"/>
  <c r="N22" i="18"/>
  <c r="O22" i="18" s="1"/>
  <c r="Z22" i="18"/>
  <c r="AA22" i="18" s="1"/>
  <c r="AF22" i="18"/>
  <c r="AG22" i="18" s="1"/>
  <c r="W22" i="18"/>
  <c r="X22" i="18" s="1"/>
  <c r="AC22" i="18"/>
  <c r="AD22" i="18" s="1"/>
  <c r="AI22" i="18"/>
  <c r="AJ22" i="18" s="1"/>
  <c r="AD37" i="16"/>
  <c r="K45" i="18" s="1"/>
  <c r="H41" i="7"/>
  <c r="AD58" i="16"/>
  <c r="K66" i="18" s="1"/>
  <c r="H65" i="7"/>
  <c r="Y56" i="16"/>
  <c r="AH56" i="16" s="1"/>
  <c r="AO56" i="16" s="1"/>
  <c r="Z56" i="16"/>
  <c r="AI56" i="16" s="1"/>
  <c r="AQ56" i="16" s="1"/>
  <c r="W56" i="16"/>
  <c r="X56" i="16"/>
  <c r="AK56" i="16" s="1"/>
  <c r="AU56" i="16" s="1"/>
  <c r="AZ56" i="16" s="1"/>
  <c r="AB56" i="16"/>
  <c r="AG56" i="16"/>
  <c r="AL56" i="16" s="1"/>
  <c r="AW56" i="16" s="1"/>
  <c r="AA56" i="16"/>
  <c r="AJ56" i="16" s="1"/>
  <c r="AS56" i="16" s="1"/>
  <c r="AZ55" i="16"/>
  <c r="Z14" i="16"/>
  <c r="AI14" i="16" s="1"/>
  <c r="AQ14" i="16" s="1"/>
  <c r="X14" i="16"/>
  <c r="AK14" i="16" s="1"/>
  <c r="AU14" i="16" s="1"/>
  <c r="Y14" i="16"/>
  <c r="AH14" i="16" s="1"/>
  <c r="AO14" i="16" s="1"/>
  <c r="W14" i="16"/>
  <c r="AB14" i="16"/>
  <c r="AG14" i="16"/>
  <c r="AL14" i="16" s="1"/>
  <c r="AW14" i="16" s="1"/>
  <c r="AA14" i="16"/>
  <c r="AJ14" i="16" s="1"/>
  <c r="AS14" i="16" s="1"/>
  <c r="AC59" i="16"/>
  <c r="J67" i="18" s="1"/>
  <c r="V66" i="7"/>
  <c r="AE59" i="16" s="1"/>
  <c r="L67" i="18" s="1"/>
  <c r="T67" i="7"/>
  <c r="U66" i="7"/>
  <c r="T43" i="7"/>
  <c r="U42" i="7"/>
  <c r="U18" i="7"/>
  <c r="T19" i="7"/>
  <c r="B30" i="6"/>
  <c r="G28" i="6"/>
  <c r="AD16" i="16"/>
  <c r="K24" i="18" s="1"/>
  <c r="H17" i="7"/>
  <c r="AC17" i="16"/>
  <c r="J25" i="18" s="1"/>
  <c r="V18" i="7"/>
  <c r="AE17" i="16" s="1"/>
  <c r="L25" i="18" s="1"/>
  <c r="AY13" i="16"/>
  <c r="V17" i="7"/>
  <c r="AE16" i="16" s="1"/>
  <c r="L24" i="18" s="1"/>
  <c r="X65" i="7"/>
  <c r="AF57" i="16"/>
  <c r="M65" i="18" s="1"/>
  <c r="Y64" i="7"/>
  <c r="W64" i="7"/>
  <c r="J64" i="7"/>
  <c r="I57" i="16" s="1"/>
  <c r="I64" i="7"/>
  <c r="H57" i="16" s="1"/>
  <c r="AF15" i="16"/>
  <c r="M23" i="18" s="1"/>
  <c r="W16" i="7"/>
  <c r="Y16" i="7"/>
  <c r="I16" i="7"/>
  <c r="H15" i="16" s="1"/>
  <c r="J16" i="7"/>
  <c r="I15" i="16" s="1"/>
  <c r="AZ14" i="16" l="1"/>
  <c r="AY14" i="16"/>
  <c r="AY56" i="16"/>
  <c r="AD17" i="16"/>
  <c r="K25" i="18" s="1"/>
  <c r="H18" i="7"/>
  <c r="AD59" i="16"/>
  <c r="K67" i="18" s="1"/>
  <c r="H66" i="7"/>
  <c r="Z15" i="16"/>
  <c r="AI15" i="16" s="1"/>
  <c r="AQ15" i="16" s="1"/>
  <c r="W15" i="16"/>
  <c r="Y15" i="16"/>
  <c r="AH15" i="16" s="1"/>
  <c r="AO15" i="16" s="1"/>
  <c r="X15" i="16"/>
  <c r="AK15" i="16" s="1"/>
  <c r="AU15" i="16" s="1"/>
  <c r="AA15" i="16"/>
  <c r="AJ15" i="16" s="1"/>
  <c r="AS15" i="16" s="1"/>
  <c r="AG15" i="16"/>
  <c r="AL15" i="16" s="1"/>
  <c r="AW15" i="16" s="1"/>
  <c r="AB15" i="16"/>
  <c r="AC60" i="16"/>
  <c r="J68" i="18" s="1"/>
  <c r="N65" i="18"/>
  <c r="O65" i="18" s="1"/>
  <c r="Z65" i="18"/>
  <c r="AA65" i="18" s="1"/>
  <c r="W65" i="18"/>
  <c r="X65" i="18" s="1"/>
  <c r="AF65" i="18"/>
  <c r="AG65" i="18" s="1"/>
  <c r="AI65" i="18"/>
  <c r="AJ65" i="18" s="1"/>
  <c r="AC65" i="18"/>
  <c r="AD65" i="18" s="1"/>
  <c r="T68" i="7"/>
  <c r="U67" i="7"/>
  <c r="T44" i="7"/>
  <c r="U43" i="7"/>
  <c r="T20" i="7"/>
  <c r="U19" i="7"/>
  <c r="B31" i="6"/>
  <c r="G29" i="6"/>
  <c r="AF58" i="16"/>
  <c r="M66" i="18" s="1"/>
  <c r="W65" i="7"/>
  <c r="Y65" i="7"/>
  <c r="I65" i="7"/>
  <c r="H58" i="16" s="1"/>
  <c r="J65" i="7"/>
  <c r="I58" i="16" s="1"/>
  <c r="N23" i="18"/>
  <c r="O23" i="18" s="1"/>
  <c r="Z23" i="18"/>
  <c r="AA23" i="18" s="1"/>
  <c r="W23" i="18"/>
  <c r="X23" i="18" s="1"/>
  <c r="AF23" i="18"/>
  <c r="AG23" i="18" s="1"/>
  <c r="AC23" i="18"/>
  <c r="AD23" i="18" s="1"/>
  <c r="AI23" i="18"/>
  <c r="AJ23" i="18" s="1"/>
  <c r="AF16" i="16"/>
  <c r="M24" i="18" s="1"/>
  <c r="W17" i="7"/>
  <c r="Y17" i="7"/>
  <c r="I17" i="7"/>
  <c r="H16" i="16" s="1"/>
  <c r="J17" i="7"/>
  <c r="I16" i="16" s="1"/>
  <c r="Z57" i="16"/>
  <c r="AI57" i="16" s="1"/>
  <c r="AQ57" i="16" s="1"/>
  <c r="Y57" i="16"/>
  <c r="AH57" i="16" s="1"/>
  <c r="AO57" i="16" s="1"/>
  <c r="X57" i="16"/>
  <c r="AK57" i="16" s="1"/>
  <c r="AU57" i="16" s="1"/>
  <c r="W57" i="16"/>
  <c r="AG57" i="16"/>
  <c r="AL57" i="16" s="1"/>
  <c r="AW57" i="16" s="1"/>
  <c r="AA57" i="16"/>
  <c r="AJ57" i="16" s="1"/>
  <c r="AS57" i="16" s="1"/>
  <c r="AB57" i="16"/>
  <c r="AC18" i="16"/>
  <c r="J26" i="18" s="1"/>
  <c r="V19" i="7"/>
  <c r="AE18" i="16" s="1"/>
  <c r="L26" i="18" s="1"/>
  <c r="H32" i="6"/>
  <c r="C34" i="6"/>
  <c r="AF37" i="16"/>
  <c r="M45" i="18" s="1"/>
  <c r="W41" i="7"/>
  <c r="Y41" i="7"/>
  <c r="I41" i="7"/>
  <c r="H37" i="16" s="1"/>
  <c r="J41" i="7"/>
  <c r="I37" i="16" s="1"/>
  <c r="Y36" i="16"/>
  <c r="AH36" i="16" s="1"/>
  <c r="AO36" i="16" s="1"/>
  <c r="Z36" i="16"/>
  <c r="AI36" i="16" s="1"/>
  <c r="AQ36" i="16" s="1"/>
  <c r="X36" i="16"/>
  <c r="AK36" i="16" s="1"/>
  <c r="AU36" i="16" s="1"/>
  <c r="W36" i="16"/>
  <c r="AA36" i="16"/>
  <c r="AJ36" i="16" s="1"/>
  <c r="AS36" i="16" s="1"/>
  <c r="AG36" i="16"/>
  <c r="AL36" i="16" s="1"/>
  <c r="AW36" i="16" s="1"/>
  <c r="AB36" i="16"/>
  <c r="AD38" i="16"/>
  <c r="K46" i="18" s="1"/>
  <c r="H42" i="7"/>
  <c r="N44" i="18"/>
  <c r="O44" i="18" s="1"/>
  <c r="W44" i="18"/>
  <c r="X44" i="18" s="1"/>
  <c r="Z44" i="18"/>
  <c r="AA44" i="18" s="1"/>
  <c r="AF44" i="18"/>
  <c r="AG44" i="18" s="1"/>
  <c r="AI44" i="18"/>
  <c r="AJ44" i="18" s="1"/>
  <c r="AC44" i="18"/>
  <c r="AD44" i="18" s="1"/>
  <c r="X41" i="7"/>
  <c r="X66" i="7"/>
  <c r="AC39" i="16"/>
  <c r="J47" i="18" s="1"/>
  <c r="V43" i="7"/>
  <c r="AE39" i="16" s="1"/>
  <c r="L47" i="18" s="1"/>
  <c r="V42" i="7"/>
  <c r="AE38" i="16" s="1"/>
  <c r="L46" i="18" s="1"/>
  <c r="X17" i="7"/>
  <c r="X18" i="7" s="1"/>
  <c r="AY15" i="16" l="1"/>
  <c r="AZ57" i="16"/>
  <c r="AY57" i="16"/>
  <c r="AZ15" i="16"/>
  <c r="Z37" i="16"/>
  <c r="AI37" i="16" s="1"/>
  <c r="AQ37" i="16" s="1"/>
  <c r="Y37" i="16"/>
  <c r="AH37" i="16" s="1"/>
  <c r="AO37" i="16" s="1"/>
  <c r="AB37" i="16"/>
  <c r="W37" i="16"/>
  <c r="AG37" i="16"/>
  <c r="AL37" i="16" s="1"/>
  <c r="AW37" i="16" s="1"/>
  <c r="X37" i="16"/>
  <c r="AK37" i="16" s="1"/>
  <c r="AU37" i="16" s="1"/>
  <c r="AZ37" i="16" s="1"/>
  <c r="AA37" i="16"/>
  <c r="AJ37" i="16" s="1"/>
  <c r="AS37" i="16" s="1"/>
  <c r="AC19" i="16"/>
  <c r="J27" i="18" s="1"/>
  <c r="V20" i="7"/>
  <c r="AE19" i="16" s="1"/>
  <c r="L27" i="18" s="1"/>
  <c r="AD39" i="16"/>
  <c r="K47" i="18" s="1"/>
  <c r="H43" i="7"/>
  <c r="AC40" i="16"/>
  <c r="J48" i="18" s="1"/>
  <c r="AD60" i="16"/>
  <c r="K68" i="18" s="1"/>
  <c r="H67" i="7"/>
  <c r="Y58" i="16"/>
  <c r="AH58" i="16" s="1"/>
  <c r="AO58" i="16" s="1"/>
  <c r="Z58" i="16"/>
  <c r="AI58" i="16" s="1"/>
  <c r="AQ58" i="16" s="1"/>
  <c r="W58" i="16"/>
  <c r="X58" i="16"/>
  <c r="AK58" i="16" s="1"/>
  <c r="AU58" i="16" s="1"/>
  <c r="AG58" i="16"/>
  <c r="AL58" i="16" s="1"/>
  <c r="AW58" i="16" s="1"/>
  <c r="AA58" i="16"/>
  <c r="AJ58" i="16" s="1"/>
  <c r="AS58" i="16" s="1"/>
  <c r="AY58" i="16" s="1"/>
  <c r="AB58" i="16"/>
  <c r="AC61" i="16"/>
  <c r="J69" i="18" s="1"/>
  <c r="N66" i="18"/>
  <c r="O66" i="18" s="1"/>
  <c r="Z66" i="18"/>
  <c r="AA66" i="18" s="1"/>
  <c r="W66" i="18"/>
  <c r="X66" i="18" s="1"/>
  <c r="AF66" i="18"/>
  <c r="AG66" i="18" s="1"/>
  <c r="AI66" i="18"/>
  <c r="AJ66" i="18" s="1"/>
  <c r="AC66" i="18"/>
  <c r="AD66" i="18" s="1"/>
  <c r="Z16" i="16"/>
  <c r="AI16" i="16" s="1"/>
  <c r="AQ16" i="16" s="1"/>
  <c r="Y16" i="16"/>
  <c r="AH16" i="16" s="1"/>
  <c r="AO16" i="16" s="1"/>
  <c r="AB16" i="16"/>
  <c r="W16" i="16"/>
  <c r="AG16" i="16"/>
  <c r="AL16" i="16" s="1"/>
  <c r="AW16" i="16" s="1"/>
  <c r="X16" i="16"/>
  <c r="AK16" i="16" s="1"/>
  <c r="AU16" i="16" s="1"/>
  <c r="AZ16" i="16" s="1"/>
  <c r="AA16" i="16"/>
  <c r="AJ16" i="16" s="1"/>
  <c r="AS16" i="16" s="1"/>
  <c r="H33" i="6"/>
  <c r="C35" i="6"/>
  <c r="N24" i="18"/>
  <c r="O24" i="18" s="1"/>
  <c r="Z24" i="18"/>
  <c r="AA24" i="18" s="1"/>
  <c r="W24" i="18"/>
  <c r="X24" i="18" s="1"/>
  <c r="AF24" i="18"/>
  <c r="AG24" i="18" s="1"/>
  <c r="AI24" i="18"/>
  <c r="AJ24" i="18" s="1"/>
  <c r="AC24" i="18"/>
  <c r="AD24" i="18" s="1"/>
  <c r="N45" i="18"/>
  <c r="O45" i="18" s="1"/>
  <c r="W45" i="18"/>
  <c r="X45" i="18" s="1"/>
  <c r="Z45" i="18"/>
  <c r="AA45" i="18" s="1"/>
  <c r="AI45" i="18"/>
  <c r="AJ45" i="18" s="1"/>
  <c r="AF45" i="18"/>
  <c r="AG45" i="18" s="1"/>
  <c r="AC45" i="18"/>
  <c r="AD45" i="18" s="1"/>
  <c r="X67" i="7"/>
  <c r="AF59" i="16"/>
  <c r="M67" i="18" s="1"/>
  <c r="W66" i="7"/>
  <c r="Y66" i="7"/>
  <c r="J66" i="7"/>
  <c r="I59" i="16" s="1"/>
  <c r="I66" i="7"/>
  <c r="H59" i="16" s="1"/>
  <c r="AF38" i="16"/>
  <c r="M46" i="18" s="1"/>
  <c r="W42" i="7"/>
  <c r="J42" i="7"/>
  <c r="I38" i="16" s="1"/>
  <c r="I42" i="7"/>
  <c r="H38" i="16" s="1"/>
  <c r="Y42" i="7"/>
  <c r="AY36" i="16"/>
  <c r="X42" i="7"/>
  <c r="X43" i="7" s="1"/>
  <c r="X44" i="7" s="1"/>
  <c r="AZ36" i="16"/>
  <c r="T69" i="7"/>
  <c r="U68" i="7"/>
  <c r="V68" i="7" s="1"/>
  <c r="AE61" i="16" s="1"/>
  <c r="L69" i="18" s="1"/>
  <c r="U44" i="7"/>
  <c r="AD40" i="16" s="1"/>
  <c r="K48" i="18" s="1"/>
  <c r="T45" i="7"/>
  <c r="U20" i="7"/>
  <c r="T21" i="7"/>
  <c r="G30" i="6"/>
  <c r="B32" i="6"/>
  <c r="AF17" i="16"/>
  <c r="M25" i="18" s="1"/>
  <c r="W18" i="7"/>
  <c r="Y18" i="7"/>
  <c r="J18" i="7"/>
  <c r="I17" i="16" s="1"/>
  <c r="I18" i="7"/>
  <c r="H17" i="16" s="1"/>
  <c r="AD18" i="16"/>
  <c r="K26" i="18" s="1"/>
  <c r="H19" i="7"/>
  <c r="X19" i="7" s="1"/>
  <c r="V67" i="7"/>
  <c r="AE60" i="16" s="1"/>
  <c r="L68" i="18" s="1"/>
  <c r="AZ58" i="16" l="1"/>
  <c r="AY37" i="16"/>
  <c r="Z59" i="16"/>
  <c r="AI59" i="16" s="1"/>
  <c r="AQ59" i="16" s="1"/>
  <c r="Y59" i="16"/>
  <c r="AH59" i="16" s="1"/>
  <c r="AO59" i="16" s="1"/>
  <c r="X59" i="16"/>
  <c r="AK59" i="16" s="1"/>
  <c r="AU59" i="16" s="1"/>
  <c r="W59" i="16"/>
  <c r="AA59" i="16"/>
  <c r="AJ59" i="16" s="1"/>
  <c r="AS59" i="16" s="1"/>
  <c r="AG59" i="16"/>
  <c r="AL59" i="16" s="1"/>
  <c r="AW59" i="16" s="1"/>
  <c r="AB59" i="16"/>
  <c r="AC20" i="16"/>
  <c r="J28" i="18" s="1"/>
  <c r="AD19" i="16"/>
  <c r="K27" i="18" s="1"/>
  <c r="H20" i="7"/>
  <c r="AF39" i="16"/>
  <c r="M47" i="18" s="1"/>
  <c r="Y43" i="7"/>
  <c r="W43" i="7"/>
  <c r="W44" i="7" s="1"/>
  <c r="J43" i="7"/>
  <c r="I39" i="16" s="1"/>
  <c r="I43" i="7"/>
  <c r="H39" i="16" s="1"/>
  <c r="AC41" i="16"/>
  <c r="J49" i="18" s="1"/>
  <c r="AD61" i="16"/>
  <c r="K69" i="18" s="1"/>
  <c r="H68" i="7"/>
  <c r="AC62" i="16"/>
  <c r="J70" i="18" s="1"/>
  <c r="V69" i="7"/>
  <c r="AE62" i="16" s="1"/>
  <c r="L70" i="18" s="1"/>
  <c r="X68" i="7"/>
  <c r="N67" i="18"/>
  <c r="O67" i="18" s="1"/>
  <c r="W67" i="18"/>
  <c r="X67" i="18" s="1"/>
  <c r="Z67" i="18"/>
  <c r="AA67" i="18" s="1"/>
  <c r="AF67" i="18"/>
  <c r="AG67" i="18" s="1"/>
  <c r="AC67" i="18"/>
  <c r="AD67" i="18" s="1"/>
  <c r="AI67" i="18"/>
  <c r="AJ67" i="18" s="1"/>
  <c r="Z17" i="16"/>
  <c r="AI17" i="16" s="1"/>
  <c r="AQ17" i="16" s="1"/>
  <c r="Y17" i="16"/>
  <c r="AH17" i="16" s="1"/>
  <c r="AO17" i="16" s="1"/>
  <c r="X17" i="16"/>
  <c r="AK17" i="16" s="1"/>
  <c r="AU17" i="16" s="1"/>
  <c r="W17" i="16"/>
  <c r="AB17" i="16"/>
  <c r="AG17" i="16"/>
  <c r="AL17" i="16" s="1"/>
  <c r="AW17" i="16" s="1"/>
  <c r="AA17" i="16"/>
  <c r="AJ17" i="16" s="1"/>
  <c r="AS17" i="16" s="1"/>
  <c r="AF18" i="16"/>
  <c r="M26" i="18" s="1"/>
  <c r="W19" i="7"/>
  <c r="Y19" i="7"/>
  <c r="J19" i="7"/>
  <c r="I18" i="16" s="1"/>
  <c r="I19" i="7"/>
  <c r="H18" i="16" s="1"/>
  <c r="N25" i="18"/>
  <c r="O25" i="18" s="1"/>
  <c r="Z25" i="18"/>
  <c r="AA25" i="18" s="1"/>
  <c r="W25" i="18"/>
  <c r="X25" i="18" s="1"/>
  <c r="AF25" i="18"/>
  <c r="AG25" i="18" s="1"/>
  <c r="AI25" i="18"/>
  <c r="AJ25" i="18" s="1"/>
  <c r="AC25" i="18"/>
  <c r="AD25" i="18" s="1"/>
  <c r="C36" i="6"/>
  <c r="H34" i="6"/>
  <c r="AF60" i="16"/>
  <c r="M68" i="18" s="1"/>
  <c r="W67" i="7"/>
  <c r="J67" i="7"/>
  <c r="I60" i="16" s="1"/>
  <c r="I67" i="7"/>
  <c r="H60" i="16" s="1"/>
  <c r="Y67" i="7"/>
  <c r="T70" i="7"/>
  <c r="U69" i="7"/>
  <c r="U45" i="7"/>
  <c r="AE41" i="16" s="1"/>
  <c r="L49" i="18" s="1"/>
  <c r="T46" i="7"/>
  <c r="U21" i="7"/>
  <c r="T22" i="7"/>
  <c r="B33" i="6"/>
  <c r="G31" i="6"/>
  <c r="N46" i="18"/>
  <c r="O46" i="18" s="1"/>
  <c r="Z46" i="18"/>
  <c r="AA46" i="18" s="1"/>
  <c r="W46" i="18"/>
  <c r="X46" i="18" s="1"/>
  <c r="AF46" i="18"/>
  <c r="AG46" i="18" s="1"/>
  <c r="AC46" i="18"/>
  <c r="AD46" i="18" s="1"/>
  <c r="AI46" i="18"/>
  <c r="AJ46" i="18" s="1"/>
  <c r="Z38" i="16"/>
  <c r="AI38" i="16" s="1"/>
  <c r="AQ38" i="16" s="1"/>
  <c r="Y38" i="16"/>
  <c r="AH38" i="16" s="1"/>
  <c r="AO38" i="16" s="1"/>
  <c r="W38" i="16"/>
  <c r="X38" i="16"/>
  <c r="AK38" i="16" s="1"/>
  <c r="AU38" i="16" s="1"/>
  <c r="AG38" i="16"/>
  <c r="AL38" i="16" s="1"/>
  <c r="AW38" i="16" s="1"/>
  <c r="AA38" i="16"/>
  <c r="AJ38" i="16" s="1"/>
  <c r="AS38" i="16" s="1"/>
  <c r="AB38" i="16"/>
  <c r="AY16" i="16"/>
  <c r="V44" i="7"/>
  <c r="AE40" i="16" s="1"/>
  <c r="L48" i="18" s="1"/>
  <c r="AZ17" i="16" l="1"/>
  <c r="AY17" i="16"/>
  <c r="AY38" i="16"/>
  <c r="AC42" i="16"/>
  <c r="J50" i="18" s="1"/>
  <c r="AF19" i="16"/>
  <c r="M27" i="18" s="1"/>
  <c r="W20" i="7"/>
  <c r="Y20" i="7"/>
  <c r="J20" i="7"/>
  <c r="I19" i="16" s="1"/>
  <c r="I20" i="7"/>
  <c r="H19" i="16" s="1"/>
  <c r="AD20" i="16"/>
  <c r="K28" i="18" s="1"/>
  <c r="H21" i="7"/>
  <c r="V21" i="7"/>
  <c r="AE20" i="16" s="1"/>
  <c r="L28" i="18" s="1"/>
  <c r="AC63" i="16"/>
  <c r="J71" i="18" s="1"/>
  <c r="AF61" i="16"/>
  <c r="M69" i="18" s="1"/>
  <c r="Y68" i="7"/>
  <c r="W68" i="7"/>
  <c r="I68" i="7"/>
  <c r="H61" i="16" s="1"/>
  <c r="J68" i="7"/>
  <c r="I61" i="16" s="1"/>
  <c r="AD62" i="16"/>
  <c r="K70" i="18" s="1"/>
  <c r="H69" i="7"/>
  <c r="N68" i="18"/>
  <c r="O68" i="18" s="1"/>
  <c r="W68" i="18"/>
  <c r="X68" i="18" s="1"/>
  <c r="Z68" i="18"/>
  <c r="AA68" i="18" s="1"/>
  <c r="AF68" i="18"/>
  <c r="AG68" i="18" s="1"/>
  <c r="AI68" i="18"/>
  <c r="AJ68" i="18" s="1"/>
  <c r="AC68" i="18"/>
  <c r="AD68" i="18" s="1"/>
  <c r="N26" i="18"/>
  <c r="O26" i="18" s="1"/>
  <c r="Z26" i="18"/>
  <c r="AA26" i="18" s="1"/>
  <c r="W26" i="18"/>
  <c r="X26" i="18" s="1"/>
  <c r="AF26" i="18"/>
  <c r="AG26" i="18" s="1"/>
  <c r="AI26" i="18"/>
  <c r="AJ26" i="18" s="1"/>
  <c r="AC26" i="18"/>
  <c r="AD26" i="18" s="1"/>
  <c r="Z60" i="16"/>
  <c r="AI60" i="16" s="1"/>
  <c r="AQ60" i="16" s="1"/>
  <c r="Y60" i="16"/>
  <c r="AH60" i="16" s="1"/>
  <c r="AO60" i="16" s="1"/>
  <c r="X60" i="16"/>
  <c r="AK60" i="16" s="1"/>
  <c r="AU60" i="16" s="1"/>
  <c r="W60" i="16"/>
  <c r="AA60" i="16"/>
  <c r="AJ60" i="16" s="1"/>
  <c r="AS60" i="16" s="1"/>
  <c r="AG60" i="16"/>
  <c r="AL60" i="16" s="1"/>
  <c r="AW60" i="16" s="1"/>
  <c r="AB60" i="16"/>
  <c r="Z18" i="16"/>
  <c r="AI18" i="16" s="1"/>
  <c r="AQ18" i="16" s="1"/>
  <c r="Y18" i="16"/>
  <c r="AH18" i="16" s="1"/>
  <c r="AO18" i="16" s="1"/>
  <c r="X18" i="16"/>
  <c r="AK18" i="16" s="1"/>
  <c r="AU18" i="16" s="1"/>
  <c r="W18" i="16"/>
  <c r="AG18" i="16"/>
  <c r="AL18" i="16" s="1"/>
  <c r="AW18" i="16" s="1"/>
  <c r="AA18" i="16"/>
  <c r="AJ18" i="16" s="1"/>
  <c r="AS18" i="16" s="1"/>
  <c r="AB18" i="16"/>
  <c r="AY59" i="16"/>
  <c r="AD41" i="16"/>
  <c r="K49" i="18" s="1"/>
  <c r="H45" i="7"/>
  <c r="N47" i="18"/>
  <c r="O47" i="18" s="1"/>
  <c r="Z47" i="18"/>
  <c r="AA47" i="18" s="1"/>
  <c r="W47" i="18"/>
  <c r="X47" i="18" s="1"/>
  <c r="AI47" i="18"/>
  <c r="AJ47" i="18" s="1"/>
  <c r="AF47" i="18"/>
  <c r="AG47" i="18" s="1"/>
  <c r="AC47" i="18"/>
  <c r="AD47" i="18" s="1"/>
  <c r="Z39" i="16"/>
  <c r="AI39" i="16" s="1"/>
  <c r="AQ39" i="16" s="1"/>
  <c r="Y39" i="16"/>
  <c r="AH39" i="16" s="1"/>
  <c r="AO39" i="16" s="1"/>
  <c r="W39" i="16"/>
  <c r="X39" i="16"/>
  <c r="AK39" i="16" s="1"/>
  <c r="AU39" i="16" s="1"/>
  <c r="AG39" i="16"/>
  <c r="AL39" i="16" s="1"/>
  <c r="AW39" i="16" s="1"/>
  <c r="AA39" i="16"/>
  <c r="AJ39" i="16" s="1"/>
  <c r="AS39" i="16" s="1"/>
  <c r="AB39" i="16"/>
  <c r="AZ59" i="16"/>
  <c r="T71" i="7"/>
  <c r="T47" i="7"/>
  <c r="AC43" i="16" s="1"/>
  <c r="J51" i="18" s="1"/>
  <c r="U46" i="7"/>
  <c r="T23" i="7"/>
  <c r="U70" i="7"/>
  <c r="V70" i="7" s="1"/>
  <c r="AE63" i="16" s="1"/>
  <c r="L71" i="18" s="1"/>
  <c r="U22" i="7"/>
  <c r="B34" i="6"/>
  <c r="G32" i="6"/>
  <c r="AZ38" i="16"/>
  <c r="AC21" i="16"/>
  <c r="J29" i="18" s="1"/>
  <c r="V22" i="7"/>
  <c r="AE21" i="16" s="1"/>
  <c r="L29" i="18" s="1"/>
  <c r="H35" i="6"/>
  <c r="C37" i="6"/>
  <c r="X69" i="7"/>
  <c r="X20" i="7"/>
  <c r="X21" i="7" s="1"/>
  <c r="AY39" i="16" l="1"/>
  <c r="AZ39" i="16"/>
  <c r="AZ60" i="16"/>
  <c r="AC64" i="16"/>
  <c r="J72" i="18" s="1"/>
  <c r="AF41" i="16"/>
  <c r="M49" i="18" s="1"/>
  <c r="W45" i="7"/>
  <c r="Y45" i="7"/>
  <c r="X45" i="7"/>
  <c r="AY60" i="16"/>
  <c r="X70" i="7"/>
  <c r="H36" i="6"/>
  <c r="B41" i="6"/>
  <c r="T72" i="7"/>
  <c r="U71" i="7"/>
  <c r="T48" i="7"/>
  <c r="AC44" i="16" s="1"/>
  <c r="J52" i="18" s="1"/>
  <c r="U23" i="7"/>
  <c r="U47" i="7"/>
  <c r="G33" i="6"/>
  <c r="T24" i="7"/>
  <c r="B35" i="6"/>
  <c r="AF20" i="16"/>
  <c r="M28" i="18" s="1"/>
  <c r="W21" i="7"/>
  <c r="Y21" i="7"/>
  <c r="I21" i="7"/>
  <c r="H20" i="16" s="1"/>
  <c r="J21" i="7"/>
  <c r="I20" i="16" s="1"/>
  <c r="AD21" i="16"/>
  <c r="K29" i="18" s="1"/>
  <c r="H22" i="7"/>
  <c r="AY18" i="16"/>
  <c r="AD63" i="16"/>
  <c r="K71" i="18" s="1"/>
  <c r="H70" i="7"/>
  <c r="AF62" i="16"/>
  <c r="M70" i="18" s="1"/>
  <c r="Y69" i="7"/>
  <c r="W69" i="7"/>
  <c r="I69" i="7"/>
  <c r="H62" i="16" s="1"/>
  <c r="J69" i="7"/>
  <c r="I62" i="16" s="1"/>
  <c r="N27" i="18"/>
  <c r="O27" i="18" s="1"/>
  <c r="Z27" i="18"/>
  <c r="AA27" i="18" s="1"/>
  <c r="W27" i="18"/>
  <c r="X27" i="18" s="1"/>
  <c r="AF27" i="18"/>
  <c r="AG27" i="18" s="1"/>
  <c r="AI27" i="18"/>
  <c r="AJ27" i="18" s="1"/>
  <c r="AC27" i="18"/>
  <c r="AD27" i="18" s="1"/>
  <c r="AC22" i="16"/>
  <c r="J30" i="18" s="1"/>
  <c r="V23" i="7"/>
  <c r="AE22" i="16" s="1"/>
  <c r="L30" i="18" s="1"/>
  <c r="Z19" i="16"/>
  <c r="AI19" i="16" s="1"/>
  <c r="AQ19" i="16" s="1"/>
  <c r="W19" i="16"/>
  <c r="Y19" i="16"/>
  <c r="AH19" i="16" s="1"/>
  <c r="AO19" i="16" s="1"/>
  <c r="X19" i="16"/>
  <c r="AK19" i="16" s="1"/>
  <c r="AU19" i="16" s="1"/>
  <c r="AZ19" i="16" s="1"/>
  <c r="AG19" i="16"/>
  <c r="AL19" i="16" s="1"/>
  <c r="AW19" i="16" s="1"/>
  <c r="AB19" i="16"/>
  <c r="AA19" i="16"/>
  <c r="AJ19" i="16" s="1"/>
  <c r="AS19" i="16" s="1"/>
  <c r="X22" i="7"/>
  <c r="AD42" i="16"/>
  <c r="K50" i="18" s="1"/>
  <c r="H46" i="7"/>
  <c r="AZ18" i="16"/>
  <c r="Z61" i="16"/>
  <c r="AI61" i="16" s="1"/>
  <c r="AQ61" i="16" s="1"/>
  <c r="W61" i="16"/>
  <c r="X61" i="16"/>
  <c r="AK61" i="16" s="1"/>
  <c r="AU61" i="16" s="1"/>
  <c r="Y61" i="16"/>
  <c r="AH61" i="16" s="1"/>
  <c r="AO61" i="16" s="1"/>
  <c r="AG61" i="16"/>
  <c r="AL61" i="16" s="1"/>
  <c r="AW61" i="16" s="1"/>
  <c r="AA61" i="16"/>
  <c r="AJ61" i="16" s="1"/>
  <c r="AS61" i="16" s="1"/>
  <c r="AB61" i="16"/>
  <c r="N69" i="18"/>
  <c r="O69" i="18" s="1"/>
  <c r="Z69" i="18"/>
  <c r="AA69" i="18" s="1"/>
  <c r="AF69" i="18"/>
  <c r="AG69" i="18" s="1"/>
  <c r="W69" i="18"/>
  <c r="X69" i="18" s="1"/>
  <c r="AC69" i="18"/>
  <c r="AD69" i="18" s="1"/>
  <c r="AI69" i="18"/>
  <c r="AJ69" i="18" s="1"/>
  <c r="AY19" i="16" l="1"/>
  <c r="AY61" i="16"/>
  <c r="AD64" i="16"/>
  <c r="K72" i="18" s="1"/>
  <c r="H71" i="7"/>
  <c r="Z20" i="16"/>
  <c r="AI20" i="16" s="1"/>
  <c r="AQ20" i="16" s="1"/>
  <c r="X20" i="16"/>
  <c r="AK20" i="16" s="1"/>
  <c r="AU20" i="16" s="1"/>
  <c r="Y20" i="16"/>
  <c r="AH20" i="16" s="1"/>
  <c r="AO20" i="16" s="1"/>
  <c r="W20" i="16"/>
  <c r="AA20" i="16"/>
  <c r="AJ20" i="16" s="1"/>
  <c r="AS20" i="16" s="1"/>
  <c r="AB20" i="16"/>
  <c r="AG20" i="16"/>
  <c r="AL20" i="16" s="1"/>
  <c r="AW20" i="16" s="1"/>
  <c r="AC65" i="16"/>
  <c r="J73" i="18" s="1"/>
  <c r="Z62" i="16"/>
  <c r="AI62" i="16" s="1"/>
  <c r="AQ62" i="16" s="1"/>
  <c r="Y62" i="16"/>
  <c r="AH62" i="16" s="1"/>
  <c r="AO62" i="16" s="1"/>
  <c r="W62" i="16"/>
  <c r="AB62" i="16"/>
  <c r="AG62" i="16"/>
  <c r="AL62" i="16" s="1"/>
  <c r="AW62" i="16" s="1"/>
  <c r="X62" i="16"/>
  <c r="AK62" i="16" s="1"/>
  <c r="AU62" i="16" s="1"/>
  <c r="AA62" i="16"/>
  <c r="AJ62" i="16" s="1"/>
  <c r="AS62" i="16" s="1"/>
  <c r="N70" i="18"/>
  <c r="O70" i="18" s="1"/>
  <c r="Z70" i="18"/>
  <c r="AA70" i="18" s="1"/>
  <c r="W70" i="18"/>
  <c r="X70" i="18" s="1"/>
  <c r="AF70" i="18"/>
  <c r="AG70" i="18" s="1"/>
  <c r="AI70" i="18"/>
  <c r="AJ70" i="18" s="1"/>
  <c r="AC70" i="18"/>
  <c r="AD70" i="18" s="1"/>
  <c r="X71" i="7"/>
  <c r="AZ61" i="16"/>
  <c r="T73" i="7"/>
  <c r="U72" i="7"/>
  <c r="V72" i="7" s="1"/>
  <c r="AE65" i="16" s="1"/>
  <c r="L73" i="18" s="1"/>
  <c r="U48" i="7"/>
  <c r="T49" i="7"/>
  <c r="AC45" i="16" s="1"/>
  <c r="J53" i="18" s="1"/>
  <c r="T25" i="7"/>
  <c r="U24" i="7"/>
  <c r="V24" i="7" s="1"/>
  <c r="AE23" i="16" s="1"/>
  <c r="L31" i="18" s="1"/>
  <c r="B36" i="6"/>
  <c r="G34" i="6"/>
  <c r="X46" i="7"/>
  <c r="X47" i="7" s="1"/>
  <c r="AC23" i="16"/>
  <c r="J31" i="18" s="1"/>
  <c r="AF63" i="16"/>
  <c r="M71" i="18" s="1"/>
  <c r="W70" i="7"/>
  <c r="I70" i="7"/>
  <c r="H63" i="16" s="1"/>
  <c r="J70" i="7"/>
  <c r="I63" i="16" s="1"/>
  <c r="Y70" i="7"/>
  <c r="N28" i="18"/>
  <c r="O28" i="18" s="1"/>
  <c r="Z28" i="18"/>
  <c r="AA28" i="18" s="1"/>
  <c r="W28" i="18"/>
  <c r="X28" i="18" s="1"/>
  <c r="AF28" i="18"/>
  <c r="AG28" i="18" s="1"/>
  <c r="AC28" i="18"/>
  <c r="AD28" i="18" s="1"/>
  <c r="AI28" i="18"/>
  <c r="AJ28" i="18" s="1"/>
  <c r="AD43" i="16"/>
  <c r="K51" i="18" s="1"/>
  <c r="H47" i="7"/>
  <c r="AF42" i="16"/>
  <c r="M50" i="18" s="1"/>
  <c r="W46" i="7"/>
  <c r="V71" i="7"/>
  <c r="AE64" i="16" s="1"/>
  <c r="L72" i="18" s="1"/>
  <c r="AD22" i="16"/>
  <c r="K30" i="18" s="1"/>
  <c r="H23" i="7"/>
  <c r="X23" i="7"/>
  <c r="AF21" i="16"/>
  <c r="M29" i="18" s="1"/>
  <c r="W22" i="7"/>
  <c r="J22" i="7"/>
  <c r="I21" i="16" s="1"/>
  <c r="I22" i="7"/>
  <c r="H21" i="16" s="1"/>
  <c r="Y22" i="7"/>
  <c r="AZ20" i="16" l="1"/>
  <c r="AY20" i="16"/>
  <c r="N29" i="18"/>
  <c r="O29" i="18" s="1"/>
  <c r="W29" i="18"/>
  <c r="X29" i="18" s="1"/>
  <c r="AC29" i="18"/>
  <c r="AD29" i="18" s="1"/>
  <c r="AI29" i="18"/>
  <c r="AJ29" i="18" s="1"/>
  <c r="Z29" i="18"/>
  <c r="AA29" i="18" s="1"/>
  <c r="AF29" i="18"/>
  <c r="AG29" i="18" s="1"/>
  <c r="AD23" i="16"/>
  <c r="K31" i="18" s="1"/>
  <c r="H24" i="7"/>
  <c r="X72" i="7"/>
  <c r="AC24" i="16"/>
  <c r="J32" i="18" s="1"/>
  <c r="AY62" i="16"/>
  <c r="Y63" i="16"/>
  <c r="AH63" i="16" s="1"/>
  <c r="AO63" i="16" s="1"/>
  <c r="Z63" i="16"/>
  <c r="AI63" i="16" s="1"/>
  <c r="AQ63" i="16" s="1"/>
  <c r="AB63" i="16"/>
  <c r="AG63" i="16"/>
  <c r="AL63" i="16" s="1"/>
  <c r="AW63" i="16" s="1"/>
  <c r="W63" i="16"/>
  <c r="X63" i="16"/>
  <c r="AK63" i="16" s="1"/>
  <c r="AU63" i="16" s="1"/>
  <c r="AA63" i="16"/>
  <c r="AJ63" i="16" s="1"/>
  <c r="AS63" i="16" s="1"/>
  <c r="AD44" i="16"/>
  <c r="K52" i="18" s="1"/>
  <c r="H48" i="7"/>
  <c r="AZ62" i="16"/>
  <c r="X24" i="7"/>
  <c r="AF22" i="16"/>
  <c r="M30" i="18" s="1"/>
  <c r="W23" i="7"/>
  <c r="Y23" i="7"/>
  <c r="J23" i="7"/>
  <c r="I22" i="16" s="1"/>
  <c r="I23" i="7"/>
  <c r="H22" i="16" s="1"/>
  <c r="AD65" i="16"/>
  <c r="K73" i="18" s="1"/>
  <c r="H72" i="7"/>
  <c r="N71" i="18"/>
  <c r="O71" i="18" s="1"/>
  <c r="W71" i="18"/>
  <c r="X71" i="18" s="1"/>
  <c r="Z71" i="18"/>
  <c r="AA71" i="18" s="1"/>
  <c r="AI71" i="18"/>
  <c r="AJ71" i="18" s="1"/>
  <c r="AF71" i="18"/>
  <c r="AG71" i="18" s="1"/>
  <c r="AC71" i="18"/>
  <c r="AD71" i="18" s="1"/>
  <c r="AC66" i="16"/>
  <c r="J74" i="18" s="1"/>
  <c r="T74" i="7"/>
  <c r="U73" i="7"/>
  <c r="V73" i="7" s="1"/>
  <c r="AE66" i="16" s="1"/>
  <c r="L74" i="18" s="1"/>
  <c r="T50" i="7"/>
  <c r="U49" i="7"/>
  <c r="T26" i="7"/>
  <c r="U25" i="7"/>
  <c r="V25" i="7" s="1"/>
  <c r="AE24" i="16" s="1"/>
  <c r="L32" i="18" s="1"/>
  <c r="B37" i="6"/>
  <c r="G35" i="6"/>
  <c r="AF43" i="16"/>
  <c r="M51" i="18" s="1"/>
  <c r="W47" i="7"/>
  <c r="Y47" i="7"/>
  <c r="AF64" i="16"/>
  <c r="M72" i="18" s="1"/>
  <c r="W71" i="7"/>
  <c r="Y71" i="7"/>
  <c r="J71" i="7"/>
  <c r="I64" i="16" s="1"/>
  <c r="I71" i="7"/>
  <c r="H64" i="16" s="1"/>
  <c r="N30" i="18" l="1"/>
  <c r="O30" i="18" s="1"/>
  <c r="AC30" i="18"/>
  <c r="AD30" i="18" s="1"/>
  <c r="Z30" i="18"/>
  <c r="AA30" i="18" s="1"/>
  <c r="AI30" i="18"/>
  <c r="AJ30" i="18" s="1"/>
  <c r="AF30" i="18"/>
  <c r="AG30" i="18" s="1"/>
  <c r="W30" i="18"/>
  <c r="X30" i="18" s="1"/>
  <c r="X73" i="7"/>
  <c r="T75" i="7"/>
  <c r="T51" i="7"/>
  <c r="U50" i="7"/>
  <c r="U26" i="7"/>
  <c r="T27" i="7"/>
  <c r="G36" i="6"/>
  <c r="G37" i="6" s="1"/>
  <c r="U74" i="7"/>
  <c r="V74" i="7" s="1"/>
  <c r="AE67" i="16" s="1"/>
  <c r="L75" i="18" s="1"/>
  <c r="B38" i="6"/>
  <c r="AF44" i="16"/>
  <c r="M52" i="18" s="1"/>
  <c r="W48" i="7"/>
  <c r="Y48" i="7"/>
  <c r="AF23" i="16"/>
  <c r="M31" i="18" s="1"/>
  <c r="W24" i="7"/>
  <c r="Y24" i="7"/>
  <c r="J24" i="7"/>
  <c r="I23" i="16" s="1"/>
  <c r="I24" i="7"/>
  <c r="H23" i="16" s="1"/>
  <c r="AD24" i="16"/>
  <c r="K32" i="18" s="1"/>
  <c r="H25" i="7"/>
  <c r="AD66" i="16"/>
  <c r="K74" i="18" s="1"/>
  <c r="H73" i="7"/>
  <c r="N72" i="18"/>
  <c r="O72" i="18" s="1"/>
  <c r="Z72" i="18"/>
  <c r="AA72" i="18" s="1"/>
  <c r="W72" i="18"/>
  <c r="X72" i="18" s="1"/>
  <c r="AF72" i="18"/>
  <c r="AG72" i="18" s="1"/>
  <c r="AI72" i="18"/>
  <c r="AJ72" i="18" s="1"/>
  <c r="AC72" i="18"/>
  <c r="AD72" i="18" s="1"/>
  <c r="AY63" i="16"/>
  <c r="AD45" i="16"/>
  <c r="K53" i="18" s="1"/>
  <c r="H49" i="7"/>
  <c r="AE42" i="16"/>
  <c r="L50" i="18" s="1"/>
  <c r="AF65" i="16"/>
  <c r="M73" i="18" s="1"/>
  <c r="W72" i="7"/>
  <c r="Y72" i="7"/>
  <c r="J72" i="7"/>
  <c r="I65" i="16" s="1"/>
  <c r="I72" i="7"/>
  <c r="H65" i="16" s="1"/>
  <c r="AZ63" i="16"/>
  <c r="X48" i="7"/>
  <c r="AC67" i="16"/>
  <c r="J75" i="18" s="1"/>
  <c r="Z64" i="16"/>
  <c r="AI64" i="16" s="1"/>
  <c r="AQ64" i="16" s="1"/>
  <c r="Y64" i="16"/>
  <c r="AH64" i="16" s="1"/>
  <c r="AO64" i="16" s="1"/>
  <c r="X64" i="16"/>
  <c r="AK64" i="16" s="1"/>
  <c r="AU64" i="16" s="1"/>
  <c r="W64" i="16"/>
  <c r="AA64" i="16"/>
  <c r="AJ64" i="16" s="1"/>
  <c r="AS64" i="16" s="1"/>
  <c r="AG64" i="16"/>
  <c r="AL64" i="16" s="1"/>
  <c r="AW64" i="16" s="1"/>
  <c r="AB64" i="16"/>
  <c r="AC25" i="16"/>
  <c r="J33" i="18" s="1"/>
  <c r="AC46" i="16"/>
  <c r="J54" i="18" s="1"/>
  <c r="AE46" i="16"/>
  <c r="L54" i="18" s="1"/>
  <c r="AZ64" i="16" l="1"/>
  <c r="AF24" i="16"/>
  <c r="M32" i="18" s="1"/>
  <c r="W25" i="7"/>
  <c r="Y25" i="7"/>
  <c r="J25" i="7"/>
  <c r="I24" i="16" s="1"/>
  <c r="I25" i="7"/>
  <c r="H24" i="16" s="1"/>
  <c r="AY64" i="16"/>
  <c r="AF66" i="16"/>
  <c r="M74" i="18" s="1"/>
  <c r="W73" i="7"/>
  <c r="Y73" i="7"/>
  <c r="J73" i="7"/>
  <c r="I66" i="16" s="1"/>
  <c r="I73" i="7"/>
  <c r="H66" i="16" s="1"/>
  <c r="U75" i="7"/>
  <c r="U51" i="7"/>
  <c r="U27" i="7"/>
  <c r="C39" i="6"/>
  <c r="AF45" i="16"/>
  <c r="M53" i="18" s="1"/>
  <c r="Y49" i="7"/>
  <c r="W49" i="7"/>
  <c r="J46" i="7"/>
  <c r="I42" i="16" s="1"/>
  <c r="I46" i="7"/>
  <c r="H42" i="16" s="1"/>
  <c r="N31" i="18"/>
  <c r="O31" i="18" s="1"/>
  <c r="Z31" i="18"/>
  <c r="AA31" i="18" s="1"/>
  <c r="W31" i="18"/>
  <c r="X31" i="18" s="1"/>
  <c r="AI31" i="18"/>
  <c r="AJ31" i="18" s="1"/>
  <c r="AF31" i="18"/>
  <c r="AG31" i="18" s="1"/>
  <c r="AC31" i="18"/>
  <c r="AD31" i="18" s="1"/>
  <c r="AC26" i="16"/>
  <c r="J34" i="18" s="1"/>
  <c r="V27" i="7"/>
  <c r="AE26" i="16" s="1"/>
  <c r="L34" i="18" s="1"/>
  <c r="AD25" i="16"/>
  <c r="K33" i="18" s="1"/>
  <c r="H26" i="7"/>
  <c r="AD46" i="16"/>
  <c r="K54" i="18" s="1"/>
  <c r="H50" i="7"/>
  <c r="AD67" i="16"/>
  <c r="K75" i="18" s="1"/>
  <c r="H74" i="7"/>
  <c r="X49" i="7"/>
  <c r="X50" i="7" s="1"/>
  <c r="AC47" i="16"/>
  <c r="J55" i="18" s="1"/>
  <c r="AE47" i="16"/>
  <c r="L55" i="18" s="1"/>
  <c r="V26" i="7"/>
  <c r="AE25" i="16" s="1"/>
  <c r="L33" i="18" s="1"/>
  <c r="AC68" i="16"/>
  <c r="J76" i="18" s="1"/>
  <c r="V75" i="7"/>
  <c r="AE68" i="16" s="1"/>
  <c r="L76" i="18" s="1"/>
  <c r="Y23" i="16"/>
  <c r="AH23" i="16" s="1"/>
  <c r="AO23" i="16" s="1"/>
  <c r="Z23" i="16"/>
  <c r="AI23" i="16" s="1"/>
  <c r="AQ23" i="16" s="1"/>
  <c r="W23" i="16"/>
  <c r="AG23" i="16"/>
  <c r="AL23" i="16" s="1"/>
  <c r="AW23" i="16" s="1"/>
  <c r="X23" i="16"/>
  <c r="AK23" i="16" s="1"/>
  <c r="AU23" i="16" s="1"/>
  <c r="AB23" i="16"/>
  <c r="AA23" i="16"/>
  <c r="AJ23" i="16" s="1"/>
  <c r="AS23" i="16" s="1"/>
  <c r="N73" i="18"/>
  <c r="O73" i="18" s="1"/>
  <c r="W73" i="18"/>
  <c r="X73" i="18" s="1"/>
  <c r="Z73" i="18"/>
  <c r="AA73" i="18" s="1"/>
  <c r="AF73" i="18"/>
  <c r="AG73" i="18" s="1"/>
  <c r="AC73" i="18"/>
  <c r="AD73" i="18" s="1"/>
  <c r="AI73" i="18"/>
  <c r="AJ73" i="18" s="1"/>
  <c r="Y46" i="7"/>
  <c r="Y65" i="16"/>
  <c r="AH65" i="16" s="1"/>
  <c r="AO65" i="16" s="1"/>
  <c r="Z65" i="16"/>
  <c r="AI65" i="16" s="1"/>
  <c r="AQ65" i="16" s="1"/>
  <c r="X65" i="16"/>
  <c r="AK65" i="16" s="1"/>
  <c r="AU65" i="16" s="1"/>
  <c r="AZ65" i="16" s="1"/>
  <c r="W65" i="16"/>
  <c r="AA65" i="16"/>
  <c r="AJ65" i="16" s="1"/>
  <c r="AS65" i="16" s="1"/>
  <c r="AY65" i="16" s="1"/>
  <c r="AG65" i="16"/>
  <c r="AL65" i="16" s="1"/>
  <c r="AW65" i="16" s="1"/>
  <c r="AB65" i="16"/>
  <c r="X25" i="7"/>
  <c r="X26" i="7" s="1"/>
  <c r="X74" i="7"/>
  <c r="AY23" i="16" l="1"/>
  <c r="AD68" i="16"/>
  <c r="K76" i="18" s="1"/>
  <c r="H75" i="7"/>
  <c r="AF67" i="16"/>
  <c r="M75" i="18" s="1"/>
  <c r="W74" i="7"/>
  <c r="Y74" i="7"/>
  <c r="J74" i="7"/>
  <c r="I67" i="16" s="1"/>
  <c r="I74" i="7"/>
  <c r="H67" i="16" s="1"/>
  <c r="N74" i="18"/>
  <c r="O74" i="18" s="1"/>
  <c r="Z74" i="18"/>
  <c r="AA74" i="18" s="1"/>
  <c r="W74" i="18"/>
  <c r="X74" i="18" s="1"/>
  <c r="AF74" i="18"/>
  <c r="AG74" i="18" s="1"/>
  <c r="AI74" i="18"/>
  <c r="AJ74" i="18" s="1"/>
  <c r="AC74" i="18"/>
  <c r="AD74" i="18" s="1"/>
  <c r="N50" i="18"/>
  <c r="O50" i="18" s="1"/>
  <c r="W50" i="18"/>
  <c r="X50" i="18" s="1"/>
  <c r="Z50" i="18"/>
  <c r="AA50" i="18" s="1"/>
  <c r="AI50" i="18"/>
  <c r="AJ50" i="18" s="1"/>
  <c r="AF50" i="18"/>
  <c r="AG50" i="18" s="1"/>
  <c r="AC50" i="18"/>
  <c r="AD50" i="18" s="1"/>
  <c r="Y66" i="16"/>
  <c r="AH66" i="16" s="1"/>
  <c r="AO66" i="16" s="1"/>
  <c r="Z66" i="16"/>
  <c r="AI66" i="16" s="1"/>
  <c r="AQ66" i="16" s="1"/>
  <c r="X66" i="16"/>
  <c r="AK66" i="16" s="1"/>
  <c r="AU66" i="16" s="1"/>
  <c r="W66" i="16"/>
  <c r="AG66" i="16"/>
  <c r="AL66" i="16" s="1"/>
  <c r="AW66" i="16" s="1"/>
  <c r="AB66" i="16"/>
  <c r="AA66" i="16"/>
  <c r="AJ66" i="16" s="1"/>
  <c r="AS66" i="16" s="1"/>
  <c r="AZ23" i="16"/>
  <c r="AF46" i="16"/>
  <c r="M54" i="18" s="1"/>
  <c r="Y50" i="7"/>
  <c r="W50" i="7"/>
  <c r="J50" i="7"/>
  <c r="I46" i="16" s="1"/>
  <c r="I50" i="7"/>
  <c r="H46" i="16" s="1"/>
  <c r="Z42" i="16"/>
  <c r="AI42" i="16" s="1"/>
  <c r="AQ42" i="16" s="1"/>
  <c r="Y42" i="16"/>
  <c r="AH42" i="16" s="1"/>
  <c r="AO42" i="16" s="1"/>
  <c r="AB42" i="16"/>
  <c r="AG42" i="16"/>
  <c r="AL42" i="16" s="1"/>
  <c r="AW42" i="16" s="1"/>
  <c r="W42" i="16"/>
  <c r="X42" i="16"/>
  <c r="AK42" i="16" s="1"/>
  <c r="AU42" i="16" s="1"/>
  <c r="AA42" i="16"/>
  <c r="AJ42" i="16" s="1"/>
  <c r="AS42" i="16" s="1"/>
  <c r="AF25" i="16"/>
  <c r="M33" i="18" s="1"/>
  <c r="W26" i="7"/>
  <c r="Y26" i="7"/>
  <c r="I26" i="7"/>
  <c r="H25" i="16" s="1"/>
  <c r="J26" i="7"/>
  <c r="I25" i="16" s="1"/>
  <c r="N32" i="18"/>
  <c r="O32" i="18" s="1"/>
  <c r="Z32" i="18"/>
  <c r="AA32" i="18" s="1"/>
  <c r="W32" i="18"/>
  <c r="X32" i="18" s="1"/>
  <c r="AF32" i="18"/>
  <c r="AG32" i="18" s="1"/>
  <c r="AI32" i="18"/>
  <c r="AJ32" i="18" s="1"/>
  <c r="AC32" i="18"/>
  <c r="AD32" i="18" s="1"/>
  <c r="X75" i="7"/>
  <c r="Y24" i="16"/>
  <c r="AH24" i="16" s="1"/>
  <c r="AO24" i="16" s="1"/>
  <c r="Z24" i="16"/>
  <c r="AI24" i="16" s="1"/>
  <c r="AQ24" i="16" s="1"/>
  <c r="X24" i="16"/>
  <c r="AK24" i="16" s="1"/>
  <c r="AU24" i="16" s="1"/>
  <c r="AZ24" i="16" s="1"/>
  <c r="W24" i="16"/>
  <c r="AG24" i="16"/>
  <c r="AL24" i="16" s="1"/>
  <c r="AW24" i="16" s="1"/>
  <c r="AA24" i="16"/>
  <c r="AJ24" i="16" s="1"/>
  <c r="AS24" i="16" s="1"/>
  <c r="AB24" i="16"/>
  <c r="AD26" i="16"/>
  <c r="K34" i="18" s="1"/>
  <c r="H27" i="7"/>
  <c r="X27" i="7"/>
  <c r="AD47" i="16"/>
  <c r="K55" i="18" s="1"/>
  <c r="H51" i="7"/>
  <c r="AZ66" i="16" l="1"/>
  <c r="AY24" i="16"/>
  <c r="N33" i="18"/>
  <c r="O33" i="18" s="1"/>
  <c r="W33" i="18"/>
  <c r="X33" i="18" s="1"/>
  <c r="Z33" i="18"/>
  <c r="AA33" i="18" s="1"/>
  <c r="AI33" i="18"/>
  <c r="AJ33" i="18" s="1"/>
  <c r="AF33" i="18"/>
  <c r="AG33" i="18" s="1"/>
  <c r="AC33" i="18"/>
  <c r="AD33" i="18" s="1"/>
  <c r="Y67" i="16"/>
  <c r="AH67" i="16" s="1"/>
  <c r="AO67" i="16" s="1"/>
  <c r="Z67" i="16"/>
  <c r="AI67" i="16" s="1"/>
  <c r="AQ67" i="16" s="1"/>
  <c r="AB67" i="16"/>
  <c r="AG67" i="16"/>
  <c r="AL67" i="16" s="1"/>
  <c r="AW67" i="16" s="1"/>
  <c r="W67" i="16"/>
  <c r="X67" i="16"/>
  <c r="AK67" i="16" s="1"/>
  <c r="AU67" i="16" s="1"/>
  <c r="AZ67" i="16" s="1"/>
  <c r="AA67" i="16"/>
  <c r="AJ67" i="16" s="1"/>
  <c r="AS67" i="16" s="1"/>
  <c r="N54" i="18"/>
  <c r="O54" i="18" s="1"/>
  <c r="Z54" i="18"/>
  <c r="AA54" i="18" s="1"/>
  <c r="W54" i="18"/>
  <c r="X54" i="18" s="1"/>
  <c r="AI54" i="18"/>
  <c r="AJ54" i="18" s="1"/>
  <c r="AF54" i="18"/>
  <c r="AG54" i="18" s="1"/>
  <c r="AC54" i="18"/>
  <c r="AD54" i="18" s="1"/>
  <c r="N75" i="18"/>
  <c r="O75" i="18" s="1"/>
  <c r="W75" i="18"/>
  <c r="X75" i="18" s="1"/>
  <c r="Z75" i="18"/>
  <c r="AA75" i="18" s="1"/>
  <c r="AI75" i="18"/>
  <c r="AJ75" i="18" s="1"/>
  <c r="AF75" i="18"/>
  <c r="AG75" i="18" s="1"/>
  <c r="AC75" i="18"/>
  <c r="AD75" i="18" s="1"/>
  <c r="AF47" i="16"/>
  <c r="M55" i="18" s="1"/>
  <c r="W51" i="7"/>
  <c r="Y51" i="7"/>
  <c r="J51" i="7"/>
  <c r="I47" i="16" s="1"/>
  <c r="I51" i="7"/>
  <c r="H47" i="16" s="1"/>
  <c r="H91" i="7"/>
  <c r="AY42" i="16"/>
  <c r="Z46" i="16"/>
  <c r="AI46" i="16" s="1"/>
  <c r="AQ46" i="16" s="1"/>
  <c r="Y46" i="16"/>
  <c r="AH46" i="16" s="1"/>
  <c r="AO46" i="16" s="1"/>
  <c r="AG46" i="16"/>
  <c r="AL46" i="16" s="1"/>
  <c r="AW46" i="16" s="1"/>
  <c r="W46" i="16"/>
  <c r="AB46" i="16"/>
  <c r="X46" i="16"/>
  <c r="AK46" i="16" s="1"/>
  <c r="AU46" i="16" s="1"/>
  <c r="AA46" i="16"/>
  <c r="AJ46" i="16" s="1"/>
  <c r="AS46" i="16" s="1"/>
  <c r="AZ42" i="16"/>
  <c r="AY66" i="16"/>
  <c r="X51" i="7"/>
  <c r="AF68" i="16"/>
  <c r="M76" i="18" s="1"/>
  <c r="Y75" i="7"/>
  <c r="W75" i="7"/>
  <c r="J75" i="7"/>
  <c r="I68" i="16" s="1"/>
  <c r="I75" i="7"/>
  <c r="H68" i="16" s="1"/>
  <c r="H92" i="7"/>
  <c r="AF26" i="16"/>
  <c r="M34" i="18" s="1"/>
  <c r="W27" i="7"/>
  <c r="Y27" i="7"/>
  <c r="J27" i="7"/>
  <c r="I26" i="16" s="1"/>
  <c r="I27" i="7"/>
  <c r="H26" i="16" s="1"/>
  <c r="H90" i="7"/>
  <c r="Z25" i="16"/>
  <c r="AI25" i="16" s="1"/>
  <c r="AQ25" i="16" s="1"/>
  <c r="Y25" i="16"/>
  <c r="AH25" i="16" s="1"/>
  <c r="AO25" i="16" s="1"/>
  <c r="W25" i="16"/>
  <c r="AG25" i="16"/>
  <c r="AL25" i="16" s="1"/>
  <c r="AW25" i="16" s="1"/>
  <c r="X25" i="16"/>
  <c r="AK25" i="16" s="1"/>
  <c r="AU25" i="16" s="1"/>
  <c r="AA25" i="16"/>
  <c r="AJ25" i="16" s="1"/>
  <c r="AS25" i="16" s="1"/>
  <c r="AB25" i="16"/>
  <c r="AY25" i="16" l="1"/>
  <c r="AZ25" i="16"/>
  <c r="N76" i="18"/>
  <c r="O76" i="18" s="1"/>
  <c r="Z76" i="18"/>
  <c r="AA76" i="18" s="1"/>
  <c r="W76" i="18"/>
  <c r="X76" i="18" s="1"/>
  <c r="AF76" i="18"/>
  <c r="AG76" i="18" s="1"/>
  <c r="AI76" i="18"/>
  <c r="AJ76" i="18" s="1"/>
  <c r="AC76" i="18"/>
  <c r="AD76" i="18" s="1"/>
  <c r="J92" i="7"/>
  <c r="I92" i="7"/>
  <c r="J91" i="7"/>
  <c r="I91" i="7"/>
  <c r="J90" i="7"/>
  <c r="I90" i="7"/>
  <c r="N55" i="18"/>
  <c r="O55" i="18" s="1"/>
  <c r="W55" i="18"/>
  <c r="X55" i="18" s="1"/>
  <c r="Z55" i="18"/>
  <c r="AA55" i="18" s="1"/>
  <c r="AF55" i="18"/>
  <c r="AG55" i="18" s="1"/>
  <c r="AI55" i="18"/>
  <c r="AJ55" i="18" s="1"/>
  <c r="AC55" i="18"/>
  <c r="AD55" i="18" s="1"/>
  <c r="Y47" i="16"/>
  <c r="AH47" i="16" s="1"/>
  <c r="AO47" i="16" s="1"/>
  <c r="Z47" i="16"/>
  <c r="AI47" i="16" s="1"/>
  <c r="AQ47" i="16" s="1"/>
  <c r="W47" i="16"/>
  <c r="X47" i="16"/>
  <c r="AK47" i="16" s="1"/>
  <c r="AU47" i="16" s="1"/>
  <c r="AG47" i="16"/>
  <c r="AL47" i="16" s="1"/>
  <c r="AW47" i="16" s="1"/>
  <c r="AA47" i="16"/>
  <c r="AJ47" i="16" s="1"/>
  <c r="AS47" i="16" s="1"/>
  <c r="AB47" i="16"/>
  <c r="AB26" i="16"/>
  <c r="Z26" i="16"/>
  <c r="AI26" i="16" s="1"/>
  <c r="AQ26" i="16" s="1"/>
  <c r="X26" i="16"/>
  <c r="AK26" i="16" s="1"/>
  <c r="AU26" i="16" s="1"/>
  <c r="AZ26" i="16" s="1"/>
  <c r="Y26" i="16"/>
  <c r="AH26" i="16" s="1"/>
  <c r="AO26" i="16" s="1"/>
  <c r="AG26" i="16"/>
  <c r="AL26" i="16" s="1"/>
  <c r="AW26" i="16" s="1"/>
  <c r="W26" i="16"/>
  <c r="AA26" i="16"/>
  <c r="AJ26" i="16" s="1"/>
  <c r="AS26" i="16" s="1"/>
  <c r="AY46" i="16"/>
  <c r="AZ46" i="16"/>
  <c r="Y68" i="16"/>
  <c r="AH68" i="16" s="1"/>
  <c r="AO68" i="16" s="1"/>
  <c r="Z68" i="16"/>
  <c r="AI68" i="16" s="1"/>
  <c r="AQ68" i="16" s="1"/>
  <c r="W68" i="16"/>
  <c r="X68" i="16"/>
  <c r="AK68" i="16" s="1"/>
  <c r="AU68" i="16" s="1"/>
  <c r="AG68" i="16"/>
  <c r="AL68" i="16" s="1"/>
  <c r="AW68" i="16" s="1"/>
  <c r="AA68" i="16"/>
  <c r="AJ68" i="16" s="1"/>
  <c r="AS68" i="16" s="1"/>
  <c r="AB68" i="16"/>
  <c r="N34" i="18"/>
  <c r="O34" i="18" s="1"/>
  <c r="Z34" i="18"/>
  <c r="AA34" i="18" s="1"/>
  <c r="AF34" i="18"/>
  <c r="AG34" i="18" s="1"/>
  <c r="AI34" i="18"/>
  <c r="AJ34" i="18" s="1"/>
  <c r="W34" i="18"/>
  <c r="X34" i="18" s="1"/>
  <c r="AC34" i="18"/>
  <c r="AD34" i="18" s="1"/>
  <c r="AY67" i="16"/>
  <c r="AZ47" i="16" l="1"/>
  <c r="AY26" i="16"/>
  <c r="AY47" i="16"/>
  <c r="AY68" i="16"/>
  <c r="AZ68"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Davies, Di (CMAR, Hobart)</author>
  </authors>
  <commentList>
    <comment ref="D3" authorId="0" shapeId="0" xr:uid="{00000000-0006-0000-0000-000001000000}">
      <text>
        <r>
          <rPr>
            <b/>
            <sz val="8"/>
            <color indexed="81"/>
            <rFont val="Tahoma"/>
            <family val="2"/>
          </rPr>
          <t>Davies, Di (CMAR, Hobart):</t>
        </r>
        <r>
          <rPr>
            <sz val="8"/>
            <color indexed="81"/>
            <rFont val="Tahoma"/>
            <family val="2"/>
          </rPr>
          <t xml:space="preserve">
Measured on Mettler balance only accurate to 0.01 mg. Formatted as ug to make consistent with rest of data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tc={B3977FC7-5C35-4C65-9488-9A883D758501}</author>
  </authors>
  <commentList>
    <comment ref="D48" authorId="0" shapeId="0" xr:uid="{00000000-0006-0000-0600-000001000000}">
      <text>
        <t>[Threaded comment]
Your version of Excel allows you to read this threaded comment; however, any edits to it will get removed if the file is opened in a newer version of Excel. Learn more: https://go.microsoft.com/fwlink/?linkid=870924
Comment:
    Is this correct or did you combine all of the splits, or never even split the &lt;1mm fractions?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tc={B2254075-B804-4881-8B9C-8297DD5729CD}</author>
  </authors>
  <commentList>
    <comment ref="E2" authorId="0" shapeId="0" xr:uid="{00000000-0006-0000-0700-000001000000}">
      <text>
        <t>[Threaded comment]
Your version of Excel allows you to read this threaded comment; however, any edits to it will get removed if the file is opened in a newer version of Excel. Learn more: https://go.microsoft.com/fwlink/?linkid=870924
Comment:
    Conversion equation from https://sciencing.com/convert-specific-conductivity-salinity-5915328.html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Davies, Di (CMAR, Hobart)</author>
  </authors>
  <commentList>
    <comment ref="D3" authorId="0" shapeId="0" xr:uid="{00000000-0006-0000-0800-000001000000}">
      <text>
        <r>
          <rPr>
            <b/>
            <sz val="8"/>
            <color indexed="81"/>
            <rFont val="Tahoma"/>
            <family val="2"/>
          </rPr>
          <t>Davies, Di (CMAR, Hobart):</t>
        </r>
        <r>
          <rPr>
            <sz val="8"/>
            <color indexed="81"/>
            <rFont val="Tahoma"/>
            <family val="2"/>
          </rPr>
          <t xml:space="preserve">
Measured on Mettler balance only accurate to 0.01 mg. Formatted as ug to make consistent with rest of data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tc={10F605F3-BE9B-4879-BD21-F1CB72021FF4}</author>
    <author>tc={BAFA2492-01C3-4937-9839-8D3D4601CBDB}</author>
    <author>tc={5D227335-DA52-4EB3-80CB-586BB00AD5E4}</author>
    <author>tc={CF044CF0-65B6-468E-A48F-6A5DFD22AC4F}</author>
    <author>tc={EB8615CD-7E30-4B63-9306-2479B6D4FF5B}</author>
    <author>tc={698BCB22-2998-4E43-9A6D-D22533DD0D97}</author>
    <author>tc={8E6B4835-E7C4-44B0-8C74-52EB79229616}</author>
    <author>tc={AAAFC12E-D531-4770-AC1B-726201C61069}</author>
    <author>tc={A09A1314-7616-4277-83A0-E55E36DBEED9}</author>
    <author>tc={D9FEC44F-CA41-47A5-B245-1DD00C5970F6}</author>
    <author>tc={9478C28A-EBD3-4939-9924-74277F32BF56}</author>
    <author>tc={C181CC9B-FC68-4EC4-B2E9-446F70D4F6A2}</author>
    <author>tc={C4DD8C95-267F-4B8A-8651-B1ACAE0A3FE9}</author>
    <author>tc={55A201EB-3973-485C-9451-CBDA2B344C0E}</author>
    <author>tc={A0063A7D-A2DC-4BE2-8389-BD032969860A}</author>
    <author>tc={1470FB81-D0FB-4A08-AF6E-3A051AD71AC0}</author>
    <author>tc={79A61E41-989E-453A-B86B-284965E9B9B5}</author>
    <author>tc={C5460CCD-5C4A-4112-AE34-C462D9A3075D}</author>
    <author>tc={B2289B58-BA3F-4CF7-A5F8-A705043D0067}</author>
    <author>tc={C260CE5E-3A9C-4BF1-89C8-341F65CB2257}</author>
    <author>tc={4D0EB33D-A845-48EC-9775-3D154C609774}</author>
    <author>tc={A284372E-51AA-4A40-B9C3-C93D8E11F335}</author>
    <author>tc={83B4B3A1-80F3-479F-A92D-8A1FCA3594C1}</author>
    <author>tc={FD29F109-A6E0-4B94-8AD3-115118C20B39}</author>
    <author>tc={F8CA0952-735C-45D5-B683-CFCE8D77D295}</author>
    <author>tc={14B5ADA8-93DE-486A-BB3A-D5BEE1FC659D}</author>
    <author>tc={AF0859C0-6CBA-4B22-8B32-CC9FCA9032BF}</author>
    <author>tc={03817F99-CFB1-45E3-98D7-745D860A6870}</author>
    <author>tc={B3213D49-5E71-493A-9FD2-BCC316A31B4E}</author>
    <author>tc={207115CD-FE05-4FDA-BE1F-38430B68EF5D}</author>
    <author>tc={605100AD-0BA1-48EC-925C-20806508797A}</author>
    <author>tc={A8B047F0-ED9E-4A52-BB09-2F8B9259B3CB}</author>
    <author>tc={87BEF144-4BB9-47BC-8C90-A727E510255D}</author>
    <author>tc={AD6C950B-FBCD-4EB3-8CF9-AB2E9ED8E92E}</author>
    <author>tc={24F46A7C-83B4-4B24-AABC-1FECE7CE9F4C}</author>
    <author>tc={7BB9A6C1-DA01-4BE5-8726-D0177597D46B}</author>
    <author>tc={2FCCD2EB-3B06-415A-8853-2BFD4BF5A723}</author>
    <author>tc={A849C064-6399-48E5-8F18-738B711196EA}</author>
    <author>tc={17AEC38B-FB39-4CCE-A0A8-4346F67E1BB8}</author>
    <author>tc={229A4FC0-3ECC-4E60-9666-0507F6ED1894}</author>
    <author>tc={B5B83535-50D3-4987-84AA-9F4242EF61E3}</author>
    <author>tc={B18D0516-7487-4F33-BF96-AF96E3FABB34}</author>
  </authors>
  <commentList>
    <comment ref="M8" authorId="0" shapeId="0" xr:uid="{00000000-0006-0000-0B00-000001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N8" authorId="1" shapeId="0" xr:uid="{00000000-0006-0000-0B00-000002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O8" authorId="2" shapeId="0" xr:uid="{00000000-0006-0000-0B00-000003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R9" authorId="3" shapeId="0" xr:uid="{00000000-0006-0000-0B00-000004000000}">
      <text>
        <t>[Threaded comment]
Your version of Excel allows you to read this threaded comment; however, any edits to it will get removed if the file is opened in a newer version of Excel. Learn more: https://go.microsoft.com/fwlink/?linkid=870924
Comment:
    average of duplicate measurement</t>
      </text>
    </comment>
    <comment ref="S9" authorId="4" shapeId="0" xr:uid="{00000000-0006-0000-0B00-000005000000}">
      <text>
        <t>[Threaded comment]
Your version of Excel allows you to read this threaded comment; however, any edits to it will get removed if the file is opened in a newer version of Excel. Learn more: https://go.microsoft.com/fwlink/?linkid=870924
Comment:
    average of duplicate measurement</t>
      </text>
    </comment>
    <comment ref="M12" authorId="5" shapeId="0" xr:uid="{00000000-0006-0000-0B00-000006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N12" authorId="6" shapeId="0" xr:uid="{00000000-0006-0000-0B00-000007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O12" authorId="7" shapeId="0" xr:uid="{00000000-0006-0000-0B00-000008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R18" authorId="8" shapeId="0" xr:uid="{00000000-0006-0000-0B00-000009000000}">
      <text>
        <t>[Threaded comment]
Your version of Excel allows you to read this threaded comment; however, any edits to it will get removed if the file is opened in a newer version of Excel. Learn more: https://go.microsoft.com/fwlink/?linkid=870924
Comment:
    average of duplicate measurement</t>
      </text>
    </comment>
    <comment ref="S18" authorId="9" shapeId="0" xr:uid="{00000000-0006-0000-0B00-00000A000000}">
      <text>
        <t>[Threaded comment]
Your version of Excel allows you to read this threaded comment; however, any edits to it will get removed if the file is opened in a newer version of Excel. Learn more: https://go.microsoft.com/fwlink/?linkid=870924
Comment:
    average of duplicate measurement</t>
      </text>
    </comment>
    <comment ref="M20" authorId="10" shapeId="0" xr:uid="{00000000-0006-0000-0B00-00000B000000}">
      <text>
        <t>[Threaded comment]
Your version of Excel allows you to read this threaded comment; however, any edits to it will get removed if the file is opened in a newer version of Excel. Learn more: https://go.microsoft.com/fwlink/?linkid=870924
Comment:
    Average of 2</t>
      </text>
    </comment>
    <comment ref="N20" authorId="11" shapeId="0" xr:uid="{00000000-0006-0000-0B00-00000C000000}">
      <text>
        <t>[Threaded comment]
Your version of Excel allows you to read this threaded comment; however, any edits to it will get removed if the file is opened in a newer version of Excel. Learn more: https://go.microsoft.com/fwlink/?linkid=870924
Comment:
    duplicate</t>
      </text>
    </comment>
    <comment ref="O20" authorId="12" shapeId="0" xr:uid="{00000000-0006-0000-0B00-00000D000000}">
      <text>
        <t>[Threaded comment]
Your version of Excel allows you to read this threaded comment; however, any edits to it will get removed if the file is opened in a newer version of Excel. Learn more: https://go.microsoft.com/fwlink/?linkid=870924
Comment:
    duplicate</t>
      </text>
    </comment>
    <comment ref="AB27" authorId="13" shapeId="0" xr:uid="{00000000-0006-0000-0B00-00000E000000}">
      <text>
        <t>[Threaded comment]
Your version of Excel allows you to read this threaded comment; however, any edits to it will get removed if the file is opened in a newer version of Excel. Learn more: https://go.microsoft.com/fwlink/?linkid=870924
Comment:
    Used from run1</t>
      </text>
    </comment>
    <comment ref="AC27" authorId="14" shapeId="0" xr:uid="{00000000-0006-0000-0B00-00000F000000}">
      <text>
        <t xml:space="preserve">[Threaded comment]
Your version of Excel allows you to read this threaded comment; however, any edits to it will get removed if the file is opened in a newer version of Excel. Learn more: https://go.microsoft.com/fwlink/?linkid=870924
Comment:
    Used from run 1 </t>
      </text>
    </comment>
    <comment ref="M33" authorId="15" shapeId="0" xr:uid="{00000000-0006-0000-0B00-000010000000}">
      <text>
        <t>[Threaded comment]
Your version of Excel allows you to read this threaded comment; however, any edits to it will get removed if the file is opened in a newer version of Excel. Learn more: https://go.microsoft.com/fwlink/?linkid=870924
Comment:
    Average of 2</t>
      </text>
    </comment>
    <comment ref="N33" authorId="16" shapeId="0" xr:uid="{00000000-0006-0000-0B00-000011000000}">
      <text>
        <t>[Threaded comment]
Your version of Excel allows you to read this threaded comment; however, any edits to it will get removed if the file is opened in a newer version of Excel. Learn more: https://go.microsoft.com/fwlink/?linkid=870924
Comment:
    duplicate</t>
      </text>
    </comment>
    <comment ref="O33" authorId="17" shapeId="0" xr:uid="{00000000-0006-0000-0B00-000012000000}">
      <text>
        <t>[Threaded comment]
Your version of Excel allows you to read this threaded comment; however, any edits to it will get removed if the file is opened in a newer version of Excel. Learn more: https://go.microsoft.com/fwlink/?linkid=870924
Comment:
    duplicate</t>
      </text>
    </comment>
    <comment ref="R33" authorId="18" shapeId="0" xr:uid="{00000000-0006-0000-0B00-000013000000}">
      <text>
        <t>[Threaded comment]
Your version of Excel allows you to read this threaded comment; however, any edits to it will get removed if the file is opened in a newer version of Excel. Learn more: https://go.microsoft.com/fwlink/?linkid=870924
Comment:
    average of duplicate measurement</t>
      </text>
    </comment>
    <comment ref="S33" authorId="19" shapeId="0" xr:uid="{00000000-0006-0000-0B00-000014000000}">
      <text>
        <t>[Threaded comment]
Your version of Excel allows you to read this threaded comment; however, any edits to it will get removed if the file is opened in a newer version of Excel. Learn more: https://go.microsoft.com/fwlink/?linkid=870924
Comment:
    average of duplicate measurement</t>
      </text>
    </comment>
    <comment ref="M38" authorId="20" shapeId="0" xr:uid="{00000000-0006-0000-0B00-000015000000}">
      <text>
        <t>[Threaded comment]
Your version of Excel allows you to read this threaded comment; however, any edits to it will get removed if the file is opened in a newer version of Excel. Learn more: https://go.microsoft.com/fwlink/?linkid=870924
Comment:
    Average of 2
Reply:
    Only run 1 will be used, since weights of rerun cannot be verified</t>
      </text>
    </comment>
    <comment ref="N38" authorId="21" shapeId="0" xr:uid="{00000000-0006-0000-0B00-000016000000}">
      <text>
        <t>[Threaded comment]
Your version of Excel allows you to read this threaded comment; however, any edits to it will get removed if the file is opened in a newer version of Excel. Learn more: https://go.microsoft.com/fwlink/?linkid=870924
Comment:
    duplicate</t>
      </text>
    </comment>
    <comment ref="O38" authorId="22" shapeId="0" xr:uid="{00000000-0006-0000-0B00-000017000000}">
      <text>
        <t>[Threaded comment]
Your version of Excel allows you to read this threaded comment; however, any edits to it will get removed if the file is opened in a newer version of Excel. Learn more: https://go.microsoft.com/fwlink/?linkid=870924
Comment:
    duplicate</t>
      </text>
    </comment>
    <comment ref="M42" authorId="23" shapeId="0" xr:uid="{00000000-0006-0000-0B00-000018000000}">
      <text>
        <t>[Threaded comment]
Your version of Excel allows you to read this threaded comment; however, any edits to it will get removed if the file is opened in a newer version of Excel. Learn more: https://go.microsoft.com/fwlink/?linkid=870924
Comment:
    Average of 2
Reply:
    Only run 1 will be used, since weights of rerun cannot be verified</t>
      </text>
    </comment>
    <comment ref="N42" authorId="24" shapeId="0" xr:uid="{00000000-0006-0000-0B00-000019000000}">
      <text>
        <t>[Threaded comment]
Your version of Excel allows you to read this threaded comment; however, any edits to it will get removed if the file is opened in a newer version of Excel. Learn more: https://go.microsoft.com/fwlink/?linkid=870924
Comment:
    duplicate</t>
      </text>
    </comment>
    <comment ref="O42" authorId="25" shapeId="0" xr:uid="{00000000-0006-0000-0B00-00001A000000}">
      <text>
        <t>[Threaded comment]
Your version of Excel allows you to read this threaded comment; however, any edits to it will get removed if the file is opened in a newer version of Excel. Learn more: https://go.microsoft.com/fwlink/?linkid=870924
Comment:
    duplicate</t>
      </text>
    </comment>
    <comment ref="M43" authorId="26" shapeId="0" xr:uid="{00000000-0006-0000-0B00-00001B000000}">
      <text>
        <t>[Threaded comment]
Your version of Excel allows you to read this threaded comment; however, any edits to it will get removed if the file is opened in a newer version of Excel. Learn more: https://go.microsoft.com/fwlink/?linkid=870924
Comment:
    Average of 2</t>
      </text>
    </comment>
    <comment ref="N43" authorId="27" shapeId="0" xr:uid="{00000000-0006-0000-0B00-00001C000000}">
      <text>
        <t>[Threaded comment]
Your version of Excel allows you to read this threaded comment; however, any edits to it will get removed if the file is opened in a newer version of Excel. Learn more: https://go.microsoft.com/fwlink/?linkid=870924
Comment:
    duplicate</t>
      </text>
    </comment>
    <comment ref="O43" authorId="28" shapeId="0" xr:uid="{00000000-0006-0000-0B00-00001D000000}">
      <text>
        <t>[Threaded comment]
Your version of Excel allows you to read this threaded comment; however, any edits to it will get removed if the file is opened in a newer version of Excel. Learn more: https://go.microsoft.com/fwlink/?linkid=870924
Comment:
    duplicate</t>
      </text>
    </comment>
    <comment ref="R43" authorId="29" shapeId="0" xr:uid="{00000000-0006-0000-0B00-00001E000000}">
      <text>
        <t>[Threaded comment]
Your version of Excel allows you to read this threaded comment; however, any edits to it will get removed if the file is opened in a newer version of Excel. Learn more: https://go.microsoft.com/fwlink/?linkid=870924
Comment:
    Average of replicates</t>
      </text>
    </comment>
    <comment ref="S43" authorId="30" shapeId="0" xr:uid="{00000000-0006-0000-0B00-00001F000000}">
      <text>
        <t>[Threaded comment]
Your version of Excel allows you to read this threaded comment; however, any edits to it will get removed if the file is opened in a newer version of Excel. Learn more: https://go.microsoft.com/fwlink/?linkid=870924
Comment:
    Average of replicates</t>
      </text>
    </comment>
    <comment ref="E46" authorId="31" shapeId="0" xr:uid="{00000000-0006-0000-0B00-000020000000}">
      <text>
        <t>[Threaded comment]
Your version of Excel allows you to read this threaded comment; however, any edits to it will get removed if the file is opened in a newer version of Excel. Learn more: https://go.microsoft.com/fwlink/?linkid=870924
Comment:
    See comment on filtration tab!</t>
      </text>
    </comment>
    <comment ref="R57" authorId="32" shapeId="0" xr:uid="{00000000-0006-0000-0B00-000021000000}">
      <text>
        <t>[Threaded comment]
Your version of Excel allows you to read this threaded comment; however, any edits to it will get removed if the file is opened in a newer version of Excel. Learn more: https://go.microsoft.com/fwlink/?linkid=870924
Comment:
    average of duplicate measurement</t>
      </text>
    </comment>
    <comment ref="S57" authorId="33" shapeId="0" xr:uid="{00000000-0006-0000-0B00-000022000000}">
      <text>
        <t>[Threaded comment]
Your version of Excel allows you to read this threaded comment; however, any edits to it will get removed if the file is opened in a newer version of Excel. Learn more: https://go.microsoft.com/fwlink/?linkid=870924
Comment:
    average of duplicate measurement</t>
      </text>
    </comment>
    <comment ref="R66" authorId="34" shapeId="0" xr:uid="{00000000-0006-0000-0B00-000023000000}">
      <text>
        <t>[Threaded comment]
Your version of Excel allows you to read this threaded comment; however, any edits to it will get removed if the file is opened in a newer version of Excel. Learn more: https://go.microsoft.com/fwlink/?linkid=870924
Comment:
    average of duplicate measurement</t>
      </text>
    </comment>
    <comment ref="S66" authorId="35" shapeId="0" xr:uid="{00000000-0006-0000-0B00-000024000000}">
      <text>
        <t>[Threaded comment]
Your version of Excel allows you to read this threaded comment; however, any edits to it will get removed if the file is opened in a newer version of Excel. Learn more: https://go.microsoft.com/fwlink/?linkid=870924
Comment:
    average of duplicate measurement</t>
      </text>
    </comment>
    <comment ref="M69" authorId="36" shapeId="0" xr:uid="{00000000-0006-0000-0B00-000025000000}">
      <text>
        <t>[Threaded comment]
Your version of Excel allows you to read this threaded comment; however, any edits to it will get removed if the file is opened in a newer version of Excel. Learn more: https://go.microsoft.com/fwlink/?linkid=870924
Comment:
    Average of 3
Reply:
    Only run 1 will be used, since weights of rerun cannot be verified</t>
      </text>
    </comment>
    <comment ref="N69" authorId="37" shapeId="0" xr:uid="{00000000-0006-0000-0B00-000026000000}">
      <text>
        <t>[Threaded comment]
Your version of Excel allows you to read this threaded comment; however, any edits to it will get removed if the file is opened in a newer version of Excel. Learn more: https://go.microsoft.com/fwlink/?linkid=870924
Comment:
    Average of 3</t>
      </text>
    </comment>
    <comment ref="O69" authorId="38" shapeId="0" xr:uid="{00000000-0006-0000-0B00-000027000000}">
      <text>
        <t>[Threaded comment]
Your version of Excel allows you to read this threaded comment; however, any edits to it will get removed if the file is opened in a newer version of Excel. Learn more: https://go.microsoft.com/fwlink/?linkid=870924
Comment:
    Average of 3</t>
      </text>
    </comment>
    <comment ref="M71" authorId="39" shapeId="0" xr:uid="{00000000-0006-0000-0B00-000028000000}">
      <text>
        <t>[Threaded comment]
Your version of Excel allows you to read this threaded comment; however, any edits to it will get removed if the file is opened in a newer version of Excel. Learn more: https://go.microsoft.com/fwlink/?linkid=870924
Comment:
    Average of 4
Reply:
    Only run 1 will be used, since weights of rerun cannot be verified</t>
      </text>
    </comment>
    <comment ref="N71" authorId="40" shapeId="0" xr:uid="{00000000-0006-0000-0B00-000029000000}">
      <text>
        <t>[Threaded comment]
Your version of Excel allows you to read this threaded comment; however, any edits to it will get removed if the file is opened in a newer version of Excel. Learn more: https://go.microsoft.com/fwlink/?linkid=870924
Comment:
    Average of 4</t>
      </text>
    </comment>
    <comment ref="O71" authorId="41" shapeId="0" xr:uid="{00000000-0006-0000-0B00-00002A000000}">
      <text>
        <t>[Threaded comment]
Your version of Excel allows you to read this threaded comment; however, any edits to it will get removed if the file is opened in a newer version of Excel. Learn more: https://go.microsoft.com/fwlink/?linkid=870924
Comment:
    Average of 2</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tc={A4D476F7-7D06-4853-8303-721D8080F89C}</author>
    <author>tc={7AA7CADB-E410-403D-A05F-120ADF502F07}</author>
    <author>tc={DECABED5-0D1C-4CA8-83C7-645455415CAD}</author>
  </authors>
  <commentList>
    <comment ref="F9" authorId="0" shapeId="0" xr:uid="{A4D476F7-7D06-4853-8303-721D8080F89C}">
      <text>
        <t>[Threaded comment]
Your version of Excel allows you to read this threaded comment; however, any edits to it will get removed if the file is opened in a newer version of Excel. Learn more: https://go.microsoft.com/fwlink/?linkid=870924
Comment:
    Fish!</t>
      </text>
    </comment>
    <comment ref="J27" authorId="1" shapeId="0" xr:uid="{7AA7CADB-E410-403D-A05F-120ADF502F07}">
      <text>
        <t>[Threaded comment]
Your version of Excel allows you to read this threaded comment; however, any edits to it will get removed if the file is opened in a newer version of Excel. Learn more: https://go.microsoft.com/fwlink/?linkid=870924
Comment:
    No handwritten notes, hence flag 3 for all of 2000 and 3800m cups</t>
      </text>
    </comment>
    <comment ref="G42" authorId="2"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This is from all four cups, so the number could be divided by 4 but this number does not go into the netCDF file</t>
      </text>
    </comment>
  </commentList>
</comments>
</file>

<file path=xl/sharedStrings.xml><?xml version="1.0" encoding="utf-8"?>
<sst xmlns="http://schemas.openxmlformats.org/spreadsheetml/2006/main" count="8460" uniqueCount="3796">
  <si>
    <t>copied from C:\Users\cawynn\OneDrive - University of Tasmania\sediment trap lab proc\RAW data\PIC, file name "PIC_SEDIMENT TRAP_RESULTS_GW_2023.xls"</t>
  </si>
  <si>
    <t>Sample mass</t>
  </si>
  <si>
    <t>mass correction</t>
  </si>
  <si>
    <t>Blank</t>
  </si>
  <si>
    <t>Calculation from Standard Curve</t>
  </si>
  <si>
    <t>Calculation direct from raw figures</t>
  </si>
  <si>
    <t>Analytical precision calculation / standard error of regression</t>
  </si>
  <si>
    <t>Date Analysed</t>
  </si>
  <si>
    <t>Sample Number</t>
  </si>
  <si>
    <t>Sample Name</t>
  </si>
  <si>
    <t>ug</t>
  </si>
  <si>
    <t>corrected ug</t>
  </si>
  <si>
    <t>CaCO3 mass (ug)</t>
  </si>
  <si>
    <t>UIC Reading
(ug Carbon)</t>
  </si>
  <si>
    <t>ug C</t>
  </si>
  <si>
    <t>UIC Reading Subtract Blank
(ug Carbon)</t>
  </si>
  <si>
    <t>Estimate (ug CaCO3)</t>
  </si>
  <si>
    <t>% CaCO3</t>
  </si>
  <si>
    <t>%CaCO3</t>
  </si>
  <si>
    <t>Gas Flow Rate (ml/min)</t>
  </si>
  <si>
    <t>Heating Block Temperature (degrees C)</t>
  </si>
  <si>
    <t>Coulometer Cell Volume (mls)</t>
  </si>
  <si>
    <t>Sample Run Time</t>
  </si>
  <si>
    <t>Weighed by</t>
  </si>
  <si>
    <t>Analysed by</t>
  </si>
  <si>
    <t>Comments</t>
  </si>
  <si>
    <t>Estimate (ug C) from calibration curve</t>
  </si>
  <si>
    <t>standard deviation about the regression</t>
  </si>
  <si>
    <t>max precision ugC</t>
  </si>
  <si>
    <t>min precision ugC</t>
  </si>
  <si>
    <t>max precision ugCaCO3</t>
  </si>
  <si>
    <t>Year</t>
  </si>
  <si>
    <t>Trap</t>
  </si>
  <si>
    <t>trap</t>
  </si>
  <si>
    <t>FLAG</t>
  </si>
  <si>
    <t>UIC ugC reading</t>
  </si>
  <si>
    <t>Cell got to ~ 136mA during initial titration</t>
  </si>
  <si>
    <t>blanks</t>
  </si>
  <si>
    <t>Ran the usual purge and acidify macro and the new 3min run time</t>
  </si>
  <si>
    <t>% average sample</t>
  </si>
  <si>
    <t>cup #</t>
  </si>
  <si>
    <t>std curve</t>
  </si>
  <si>
    <t>% of sample average</t>
  </si>
  <si>
    <t>purged and acidified 28/02/2024 overnight, analysed 29/02/2024</t>
  </si>
  <si>
    <t>average</t>
  </si>
  <si>
    <t>blank 1</t>
  </si>
  <si>
    <t>47_1000</t>
  </si>
  <si>
    <t>% diff duplicates</t>
  </si>
  <si>
    <t>stdev.p</t>
  </si>
  <si>
    <t>blank 2</t>
  </si>
  <si>
    <t>n</t>
  </si>
  <si>
    <t>blank 3</t>
  </si>
  <si>
    <t>2 replicates</t>
  </si>
  <si>
    <t>CaCO3 Std.1  319.2</t>
  </si>
  <si>
    <t>GW</t>
  </si>
  <si>
    <t>CaCO3 Std.2  1059.4</t>
  </si>
  <si>
    <t>CaCO3 Std.3  2141.6</t>
  </si>
  <si>
    <t>samples</t>
  </si>
  <si>
    <t>CaCO3 Std.4  2869.3</t>
  </si>
  <si>
    <t>CaCO3 Std.5  3612.8</t>
  </si>
  <si>
    <t>ugC</t>
  </si>
  <si>
    <t>blank 4</t>
  </si>
  <si>
    <t>ugCaCO3</t>
  </si>
  <si>
    <t>blank 5</t>
  </si>
  <si>
    <t>1999_54_1500_14a</t>
  </si>
  <si>
    <t>blank 6</t>
  </si>
  <si>
    <t>blank 7</t>
  </si>
  <si>
    <t>47_3800_01</t>
  </si>
  <si>
    <t>checked against handwritten notes</t>
  </si>
  <si>
    <t>47_3800_02</t>
  </si>
  <si>
    <t>47_3800_03</t>
  </si>
  <si>
    <t>47_3800_04</t>
  </si>
  <si>
    <t>47_3800_05</t>
  </si>
  <si>
    <t>47_3800_06A</t>
  </si>
  <si>
    <t>blank 8</t>
  </si>
  <si>
    <t>47_3800_06B</t>
  </si>
  <si>
    <t>47_2000</t>
  </si>
  <si>
    <t>47_3800_07</t>
  </si>
  <si>
    <t>19/3 and 23/4</t>
  </si>
  <si>
    <t>47_3800_08</t>
  </si>
  <si>
    <t>47_3800_09</t>
  </si>
  <si>
    <t>47_3800_10</t>
  </si>
  <si>
    <t>blank 9</t>
  </si>
  <si>
    <t>CaCO3 Std.3  2070.9</t>
  </si>
  <si>
    <t>blank 10</t>
  </si>
  <si>
    <t>Cell got to ~ 125mA during initial titration</t>
  </si>
  <si>
    <t>purged and acidified 29/02/2024 overnight, analysed 01/03/2024</t>
  </si>
  <si>
    <t>CaCO3 Std.1  218.6</t>
  </si>
  <si>
    <t>CaCO3 Std.2  919.6</t>
  </si>
  <si>
    <t>CaCO3 Std.3  2034.9</t>
  </si>
  <si>
    <t>CaCO3 Std.4  2965.4</t>
  </si>
  <si>
    <t>20/3 and 23/4</t>
  </si>
  <si>
    <t>CaCO3 Std.5  3975</t>
  </si>
  <si>
    <t>47_3800</t>
  </si>
  <si>
    <t>29/2 and 2/7</t>
  </si>
  <si>
    <t>23/4 and 2/7</t>
  </si>
  <si>
    <t>47_3800_11</t>
  </si>
  <si>
    <t>47_3800_12</t>
  </si>
  <si>
    <t>29/2 and 3/7</t>
  </si>
  <si>
    <t>47_3800_13</t>
  </si>
  <si>
    <t>47_3800_14</t>
  </si>
  <si>
    <t>47_3800_15A</t>
  </si>
  <si>
    <t>47_3800_16</t>
  </si>
  <si>
    <t>47_3800_15B</t>
  </si>
  <si>
    <t>47_3800_17</t>
  </si>
  <si>
    <t>47_3800_18</t>
  </si>
  <si>
    <t>1/3 and 23/4</t>
  </si>
  <si>
    <t>47_3800_19</t>
  </si>
  <si>
    <t>47_3800_20</t>
  </si>
  <si>
    <t>47_3800_21</t>
  </si>
  <si>
    <t>CaCO3 Std.3  2170.2</t>
  </si>
  <si>
    <t>purged and acidified 04/03/2024 overnight, analysed 05/03/2024</t>
  </si>
  <si>
    <t>CaCO3 Std.1  396.2</t>
  </si>
  <si>
    <t>CaCO3 Std.2  1159.1</t>
  </si>
  <si>
    <t>CaCO3 Std.3  2021.7</t>
  </si>
  <si>
    <t>CaCO3 Std.4  2987</t>
  </si>
  <si>
    <t>CaCO3 Std.5  3475</t>
  </si>
  <si>
    <t>47_1000_01</t>
  </si>
  <si>
    <t>47_1000_02</t>
  </si>
  <si>
    <t>47_1000_3a</t>
  </si>
  <si>
    <t>47_1000_4</t>
  </si>
  <si>
    <t>47_1000_3b</t>
  </si>
  <si>
    <t>47_1000_5</t>
  </si>
  <si>
    <t>47_1000_6</t>
  </si>
  <si>
    <t>47_1000_7</t>
  </si>
  <si>
    <t>47_1000_8</t>
  </si>
  <si>
    <t>CaCO3 Std.3  2014.6</t>
  </si>
  <si>
    <t>Cell got to ~ 135mA during initial titration</t>
  </si>
  <si>
    <t>purged and acidified 05/03/2024 overnight, analysed 06/03/2024</t>
  </si>
  <si>
    <t>CaCO3 Std.1  238.5</t>
  </si>
  <si>
    <t>CaCO3 Std.2  1125</t>
  </si>
  <si>
    <t>CaCO3 Std.3  2167.5</t>
  </si>
  <si>
    <t>CaCO3 Std.4  3159.4</t>
  </si>
  <si>
    <t>CaCO3 Std.5  3458.7</t>
  </si>
  <si>
    <t>47_1000_09</t>
  </si>
  <si>
    <t>47_1000_10</t>
  </si>
  <si>
    <t>47_1000_11a</t>
  </si>
  <si>
    <t>47_1000_12</t>
  </si>
  <si>
    <t>47_1000_11b</t>
  </si>
  <si>
    <t>47_1000_13</t>
  </si>
  <si>
    <t>47_1000_14</t>
  </si>
  <si>
    <t>47_1000_15</t>
  </si>
  <si>
    <t>CaCO3 Std.3  2087.9</t>
  </si>
  <si>
    <t>purged and acidified 18/03/2024 overnight, analysed 19/03/2024</t>
  </si>
  <si>
    <t>CaCO3 Std.1  317.9</t>
  </si>
  <si>
    <t>CaCO3 Std.2  1040.6</t>
  </si>
  <si>
    <t>CaCO3 Std.3  1984</t>
  </si>
  <si>
    <t>CaCO3 Std.4  2866.5</t>
  </si>
  <si>
    <t>CaCO3 Std.5  3550.3</t>
  </si>
  <si>
    <t>47_2000_01</t>
  </si>
  <si>
    <t>47_2000_02</t>
  </si>
  <si>
    <t>47_2000_3</t>
  </si>
  <si>
    <t>47_2000_6a</t>
  </si>
  <si>
    <t>47_2000_4</t>
  </si>
  <si>
    <t>47_2000_5</t>
  </si>
  <si>
    <t>47_2000_6b</t>
  </si>
  <si>
    <t>47_2000_7</t>
  </si>
  <si>
    <t>47_2000_8</t>
  </si>
  <si>
    <t>CaCO3 Std.3  1999.9</t>
  </si>
  <si>
    <t>Cell got to ~ 124mA during initial titration</t>
  </si>
  <si>
    <t>purged and acidified 19/03/2024 overnight, analysed 20/03/2024</t>
  </si>
  <si>
    <t>CaCO3 Std.1  258.6</t>
  </si>
  <si>
    <t>CaCO3 Std.2  1127</t>
  </si>
  <si>
    <t>CaCO3 Std.3  2037.6</t>
  </si>
  <si>
    <t>CaCO3 Std.4  2850.9</t>
  </si>
  <si>
    <t>CaCO3 Std.5  3590.8</t>
  </si>
  <si>
    <t>47_2000_09</t>
  </si>
  <si>
    <t>47_2000_10</t>
  </si>
  <si>
    <t>47_2000_11A</t>
  </si>
  <si>
    <t>47_2000_12</t>
  </si>
  <si>
    <t>47_2000_11B</t>
  </si>
  <si>
    <t>The trace of this sample doesn't look right, looks like it had not finished</t>
  </si>
  <si>
    <t>47_2000_13</t>
  </si>
  <si>
    <t>47_2000_20</t>
  </si>
  <si>
    <t>CaCO3 Std.3  2099.7</t>
  </si>
  <si>
    <t>Cell got to ~ 121mA during initial titration</t>
  </si>
  <si>
    <t>purged and acidified 20/03/2024 overnight, analysed 22/03/2024</t>
  </si>
  <si>
    <t>CaCO3 Std.1  330.5</t>
  </si>
  <si>
    <t>CaCO3 Std.2  1081.9</t>
  </si>
  <si>
    <t>CaCO3 Std.3  2076.2</t>
  </si>
  <si>
    <t>CaCO3 Std.4  2957.7</t>
  </si>
  <si>
    <t>CaCO3 Std.5  3704.3</t>
  </si>
  <si>
    <t>47_1000_18</t>
  </si>
  <si>
    <t>47_1000_19</t>
  </si>
  <si>
    <t>47_1000_20</t>
  </si>
  <si>
    <t>47_1000_21</t>
  </si>
  <si>
    <t>47_2000_16</t>
  </si>
  <si>
    <t>47_2000_21</t>
  </si>
  <si>
    <t>blank9</t>
  </si>
  <si>
    <t>CaCO3 Std.3  2130.5</t>
  </si>
  <si>
    <t>Cell got to ~ 116mA during initial titration</t>
  </si>
  <si>
    <t>purged and acidified 18/04/2024 overnight, analysed 19/04/2024</t>
  </si>
  <si>
    <t>CaCO3 Std.1  248.6</t>
  </si>
  <si>
    <t>CaCO3 Std.2  1188.4</t>
  </si>
  <si>
    <t>CaCO3 Std.3  1952.3</t>
  </si>
  <si>
    <t>CaCO3 Std.4  2975.4</t>
  </si>
  <si>
    <t>CaCO3 Std.5  3469.5</t>
  </si>
  <si>
    <t>CaCO3 Std.3  2063.7</t>
  </si>
  <si>
    <t>purged and acidified 22/03/2024 overnight, analysed 23/03/2024</t>
  </si>
  <si>
    <t>CaCO3 Std.1  283.4</t>
  </si>
  <si>
    <t>CaCO3 Std.2  1230.9</t>
  </si>
  <si>
    <t>CaCO3 Std.3  2206.5</t>
  </si>
  <si>
    <t>CaCO3 Std.4  2978.6</t>
  </si>
  <si>
    <t>CaCO3 Std.5  3343.3</t>
  </si>
  <si>
    <t>47_3800_12A</t>
  </si>
  <si>
    <t>47_2000_08</t>
  </si>
  <si>
    <t>47_3800_12B</t>
  </si>
  <si>
    <t>CaCO3 Std.3  2019.1</t>
  </si>
  <si>
    <t>purged and acidified 01/07/2024 overnight, analysed 02/07/2024</t>
  </si>
  <si>
    <t>CaCO3 Std.1  279.8</t>
  </si>
  <si>
    <t>CaCO3 Std.2  1010.6</t>
  </si>
  <si>
    <t>CaCO3 Std.3  2155.8</t>
  </si>
  <si>
    <t>CaCO3 Std.4  3050.5</t>
  </si>
  <si>
    <t>CaCO3 Std.5  3545.9</t>
  </si>
  <si>
    <t>KC-1</t>
  </si>
  <si>
    <t>blank6</t>
  </si>
  <si>
    <t>blank7</t>
  </si>
  <si>
    <t>1000_07</t>
  </si>
  <si>
    <t>2000_11A</t>
  </si>
  <si>
    <t>3800_01</t>
  </si>
  <si>
    <t>3800_02</t>
  </si>
  <si>
    <t>2000_11B</t>
  </si>
  <si>
    <t>3800_03</t>
  </si>
  <si>
    <t>3800_04</t>
  </si>
  <si>
    <t>3800_05</t>
  </si>
  <si>
    <t>CaCO3 Std.3  2065.7</t>
  </si>
  <si>
    <t>Cell got to ~ 126mA during initial titration</t>
  </si>
  <si>
    <t>purged and acidified 02/07/2024 overnight, analysed 03/07/2024</t>
  </si>
  <si>
    <t>CaCO3 Std.1  262.1</t>
  </si>
  <si>
    <t>CaCO3 Std.2  1152.7</t>
  </si>
  <si>
    <t>CaCO3 Std.3  2123.9</t>
  </si>
  <si>
    <t>CaCO3 Std.4  2994.9</t>
  </si>
  <si>
    <t>CaCO3 Std.5  3441.1</t>
  </si>
  <si>
    <t>3800_06</t>
  </si>
  <si>
    <t>3800_07A</t>
  </si>
  <si>
    <t>3800_08</t>
  </si>
  <si>
    <t>3800_09</t>
  </si>
  <si>
    <t>3800_07B</t>
  </si>
  <si>
    <t>3800_10</t>
  </si>
  <si>
    <t>3800_12</t>
  </si>
  <si>
    <t>CaCO3 Std.3  2056.2</t>
  </si>
  <si>
    <t>saz24, 2022</t>
  </si>
  <si>
    <t>1_start</t>
  </si>
  <si>
    <t>McLane</t>
  </si>
  <si>
    <t>1_end</t>
  </si>
  <si>
    <t>2_start</t>
  </si>
  <si>
    <t>2_end</t>
  </si>
  <si>
    <t>3_end</t>
  </si>
  <si>
    <t>3_start</t>
  </si>
  <si>
    <t>4_end</t>
  </si>
  <si>
    <t>4_start</t>
  </si>
  <si>
    <t>5_end</t>
  </si>
  <si>
    <t>5_start</t>
  </si>
  <si>
    <t>6_end</t>
  </si>
  <si>
    <t>6_start</t>
  </si>
  <si>
    <t>7_end</t>
  </si>
  <si>
    <t>7_start</t>
  </si>
  <si>
    <t>8_end</t>
  </si>
  <si>
    <t>8_start</t>
  </si>
  <si>
    <t>9_end</t>
  </si>
  <si>
    <t>9_start</t>
  </si>
  <si>
    <t>10_end</t>
  </si>
  <si>
    <t>10_start</t>
  </si>
  <si>
    <t>11_end</t>
  </si>
  <si>
    <t>11_start</t>
  </si>
  <si>
    <t>12_end</t>
  </si>
  <si>
    <t>12_start</t>
  </si>
  <si>
    <t>13_end</t>
  </si>
  <si>
    <t>13_start</t>
  </si>
  <si>
    <t>14_end</t>
  </si>
  <si>
    <t>14_start</t>
  </si>
  <si>
    <t>15_end</t>
  </si>
  <si>
    <t>15_start</t>
  </si>
  <si>
    <t>16_end</t>
  </si>
  <si>
    <t>16_start</t>
  </si>
  <si>
    <t>17_end</t>
  </si>
  <si>
    <t>17_start</t>
  </si>
  <si>
    <t>18_end</t>
  </si>
  <si>
    <t>18_start</t>
  </si>
  <si>
    <t>19_end</t>
  </si>
  <si>
    <t>19_start</t>
  </si>
  <si>
    <t>20_end</t>
  </si>
  <si>
    <t>20_start</t>
  </si>
  <si>
    <t>21_end</t>
  </si>
  <si>
    <t>21_start</t>
  </si>
  <si>
    <t>SAZ24 cups could be filled to the top and then 5ml taken out, to avoid cups leaking while they are sitting in the lab / van prior to deployment.</t>
  </si>
  <si>
    <t>Email from Pete:</t>
  </si>
  <si>
    <t>Hi Cathryn,</t>
  </si>
  <si>
    <t>Just a check about what the compression of the SAZ cups are between the lab temperature and the deployed temperature and pressure.</t>
  </si>
  <si>
    <t>Some matlab,</t>
  </si>
  <si>
    <t>%addpath(genpath('gsw_matlab_v3_06_12'));</t>
  </si>
  <si>
    <t>psal=[40 40 40 40 40 40 40 40]';</t>
  </si>
  <si>
    <t>p = [0 0 0 1000 1000 2000 3800 3800]';</t>
  </si>
  <si>
    <t>t = [20 40 10 10 5 4 10 2]';</t>
  </si>
  <si>
    <t>SA = gsw_SA_from_SP(psal, p, 142, -47);</t>
  </si>
  <si>
    <t>CT = gsw_CT_from_t(SA, t, p);</t>
  </si>
  <si>
    <r>
      <t xml:space="preserve">rho = gsw_rho(SA,CT,p); </t>
    </r>
    <r>
      <rPr>
        <sz val="10"/>
        <color rgb="FF028009"/>
        <rFont val="Courier New"/>
        <family val="3"/>
      </rPr>
      <t>% kg / m ^3</t>
    </r>
  </si>
  <si>
    <r>
      <t xml:space="preserve">vol = 200 * 1e-6; </t>
    </r>
    <r>
      <rPr>
        <sz val="10"/>
        <color rgb="FF028009"/>
        <rFont val="Courier New"/>
        <family val="3"/>
      </rPr>
      <t>% volumn in m^3</t>
    </r>
  </si>
  <si>
    <r>
      <t xml:space="preserve">mass_rt = rho(1) * vol; </t>
    </r>
    <r>
      <rPr>
        <sz val="10"/>
        <color rgb="FF028009"/>
        <rFont val="Courier New"/>
        <family val="3"/>
      </rPr>
      <t>% kg</t>
    </r>
  </si>
  <si>
    <r>
      <t xml:space="preserve">vol_tp = mass_rt./rho * 1e6; </t>
    </r>
    <r>
      <rPr>
        <sz val="10"/>
        <color rgb="FF028009"/>
        <rFont val="Courier New"/>
        <family val="3"/>
      </rPr>
      <t>% vol in ml</t>
    </r>
  </si>
  <si>
    <t>t = table(t,psal,p,rho, vol_tp)</t>
  </si>
  <si>
    <t>    t     psal     p       rho      vol_tp</t>
  </si>
  <si>
    <t>    __    ____    ____    ______    ______</t>
  </si>
  <si>
    <t>    20     40        0    1028.6       200</t>
  </si>
  <si>
    <t>    40     40        0    1021.7    201.35</t>
  </si>
  <si>
    <t>    10     40        0    1030.9    199.56</t>
  </si>
  <si>
    <t>    10     40     1000    1035.3     198.7</t>
  </si>
  <si>
    <t>     5     40     1000    1036.2    198.53</t>
  </si>
  <si>
    <t>     4     40     2000    1040.8    197.65</t>
  </si>
  <si>
    <t>    10     40     3800    1047.3    196.43</t>
  </si>
  <si>
    <t>     2     40     3800      1049     196.1</t>
  </si>
  <si>
    <t>&gt;&gt; vol_tp-200</t>
  </si>
  <si>
    <t>ans =</t>
  </si>
  <si>
    <t>   -0.0000</t>
  </si>
  <si>
    <t>    1.3527</t>
  </si>
  <si>
    <t>   -0.4423</t>
  </si>
  <si>
    <t>   -1.2995</t>
  </si>
  <si>
    <t>   -1.4687</t>
  </si>
  <si>
    <t>   -2.3509</t>
  </si>
  <si>
    <t>   -3.5726</t>
  </si>
  <si>
    <t>   -3.8982</t>
  </si>
  <si>
    <t>So the cup at 20 C, 0 pressure is 200ml with a density of 1028.6 kg/m^3. At 40C it expands 1.35 ml. At 3800m and 2 C its compressed by 3.9 ml. Under fulling the cups by 3-5 ml would avoid and leakage by expansion of the liquid in the bottles.</t>
  </si>
  <si>
    <t>Cheers,</t>
  </si>
  <si>
    <t>Pete Jansen</t>
  </si>
  <si>
    <t>brine pH before loading the cups</t>
  </si>
  <si>
    <t>brine Salinity before loading the cups</t>
  </si>
  <si>
    <t>standard</t>
  </si>
  <si>
    <t>reading after calibration</t>
  </si>
  <si>
    <t>2022 McLane sediment trap brine mercuric chloride concentration brine adjustment</t>
  </si>
  <si>
    <t>Hanna pH meter, buffers 7.01, 9.18, 12.45, probe condition 100%, slope 98.2%</t>
  </si>
  <si>
    <t>Conductivity meter (Mettler Toledo Seven Compact), ref temp. 25C</t>
  </si>
  <si>
    <t>new probe installed this year!</t>
  </si>
  <si>
    <t>50mS/cm</t>
  </si>
  <si>
    <t>Di's additions:  there is a general preference to fill the cups with brine, remove 10mL by pipette and replace with 10mL of saturated mercuric chloride. This was trialed during SAZ18 prep and worked well.</t>
  </si>
  <si>
    <t>new probe!</t>
  </si>
  <si>
    <t>calibrated with 12.8mS/cm</t>
  </si>
  <si>
    <t>0.563776/cm, 21.7C</t>
  </si>
  <si>
    <t>35psu</t>
  </si>
  <si>
    <t>2022, we will remove 15mL by pipette and then replace with 10mL saturated mercuric chloride to avoid cups leaking while waiting for deployment.</t>
  </si>
  <si>
    <t>#1</t>
  </si>
  <si>
    <t>CWE</t>
  </si>
  <si>
    <t>1413uS/cm</t>
  </si>
  <si>
    <t>The volume of the McLane Parflux mark78 21 cup is 250mL but I need to check when filled to shoulder=</t>
  </si>
  <si>
    <t>#2</t>
  </si>
  <si>
    <t>from 23L carboy</t>
  </si>
  <si>
    <t>Salts are added to filtered seawater= IN2021_V02 FSW stored 4C.</t>
  </si>
  <si>
    <t>#3</t>
  </si>
  <si>
    <t>volume of FSW prior to addition of brine</t>
  </si>
  <si>
    <t>L</t>
  </si>
  <si>
    <t>final concentration g/L that we're aiming for</t>
  </si>
  <si>
    <t>Therefore carboy needs addition of</t>
  </si>
  <si>
    <t>concentration per cup, take out 15mL and add 10mL sat HgCl2 to 250mL cup g/L ie 4.1% salts</t>
  </si>
  <si>
    <t>Concentration aimed for</t>
  </si>
  <si>
    <t>g wt (NaCl taken into account psu measured already)</t>
  </si>
  <si>
    <t>g/L to be added</t>
  </si>
  <si>
    <t>CHECK 1L post 4.1% dilution</t>
  </si>
  <si>
    <r>
      <t>sodium chloride, NaCl;</t>
    </r>
    <r>
      <rPr>
        <b/>
        <sz val="12"/>
        <rFont val="Calibri"/>
        <family val="2"/>
        <scheme val="minor"/>
      </rPr>
      <t xml:space="preserve"> Brine concentration needs to be increased to allow for 10mL removal from 250mL and replacement with mercuric chloride</t>
    </r>
    <r>
      <rPr>
        <sz val="12"/>
        <rFont val="Calibri"/>
        <family val="2"/>
        <scheme val="minor"/>
      </rPr>
      <t xml:space="preserve"> (4% dilution), hence aim for 41.6 prior to dilution</t>
    </r>
  </si>
  <si>
    <t>sodium tetraborate,Na2B4O7.10H2O in addition to sw</t>
  </si>
  <si>
    <t>increased as per later notes</t>
  </si>
  <si>
    <t>Potassium tetraborate tetrahydrate, B4K2O7.4H2O instead this year! (ran out of the sodium borate usually used)</t>
  </si>
  <si>
    <t>strontium chloride,  SrCl2.6H2O 10x sw</t>
  </si>
  <si>
    <t>mercury chloride,  HgCl2</t>
  </si>
  <si>
    <t>molecular weight</t>
  </si>
  <si>
    <t>silicate, none due to slow kinetics, low in 47S water</t>
  </si>
  <si>
    <t>none, discussed with Tom</t>
  </si>
  <si>
    <t>Na2B4O7.10H2O</t>
  </si>
  <si>
    <t>g/mol</t>
  </si>
  <si>
    <t>2g</t>
  </si>
  <si>
    <t>=</t>
  </si>
  <si>
    <t>mol</t>
  </si>
  <si>
    <t xml:space="preserve">One cup contains 250mL which would require g.  </t>
  </si>
  <si>
    <t>close to 10mL saturated HgCL2 7.3g/100mL</t>
  </si>
  <si>
    <t>saturated mercuric chloride volume (mL) required=</t>
  </si>
  <si>
    <t>g</t>
  </si>
  <si>
    <t>B4K2O7.4H2O</t>
  </si>
  <si>
    <t>Brine volume (L) required for 3 traps for SAZ19=</t>
  </si>
  <si>
    <t>hence prepare 24L as 2 12L aliquots for easy handling</t>
  </si>
  <si>
    <t xml:space="preserve">mol = </t>
  </si>
  <si>
    <t>IN2021_V02 Sed trap prep brine for SAZ24 NO POISON</t>
  </si>
  <si>
    <t>IN2021-V02 FSW stored 4C.</t>
  </si>
  <si>
    <t>actually added</t>
  </si>
  <si>
    <t>g/23L</t>
  </si>
  <si>
    <t>company, PN</t>
  </si>
  <si>
    <t>sodium chloride, NaCl</t>
  </si>
  <si>
    <t>Merck 1.06404.5000 5kg, Lot. K36021104 618</t>
  </si>
  <si>
    <t>Sigma Aldrich B3545-500G, Batch# 096K00021</t>
  </si>
  <si>
    <t>+ Sigma Boric acid, B6768-600G Lot# SLBM6878V</t>
  </si>
  <si>
    <t>Sigma Aldrich, P5754-500G, Lot# 120M1876V</t>
  </si>
  <si>
    <t>Sigma Aldrich Lot. No. 03216TR</t>
  </si>
  <si>
    <t>Approximately 23L of deep water from IN2021_V02</t>
  </si>
  <si>
    <t>Filtered seawater salinity and pH before adding brine salts</t>
  </si>
  <si>
    <t>This carboy is being used for preparing SAZ24 brine</t>
  </si>
  <si>
    <t>Conductivity meter (Mettler Toledo Seven Compact),</t>
  </si>
  <si>
    <t>Collected IN2021_V02</t>
  </si>
  <si>
    <t>0.558934/cm, 21.7C</t>
  </si>
  <si>
    <t>Sample ID</t>
  </si>
  <si>
    <t>NOx (uM)</t>
  </si>
  <si>
    <t>Phosphate (uM)</t>
  </si>
  <si>
    <t>Silicate (uM)</t>
  </si>
  <si>
    <t>Ammonia (uM)</t>
  </si>
  <si>
    <t>Nitrite (uM)</t>
  </si>
  <si>
    <t>decanted into 3 nutrient tubes</t>
  </si>
  <si>
    <t>DD 4 - Carboy 4</t>
  </si>
  <si>
    <t>Hanna pH meter, buffers 7.01, 9.18, 12.45, probe condition 30%, slope 95.6%</t>
  </si>
  <si>
    <t>decanted into glass beaker</t>
  </si>
  <si>
    <t>22.2C</t>
  </si>
  <si>
    <t>depth</t>
  </si>
  <si>
    <t>McLane 250x21 frame# 12419-01, controller# 12419-01 and Motor # 12419-01 Cup set AA</t>
  </si>
  <si>
    <r>
      <t>tilt 2</t>
    </r>
    <r>
      <rPr>
        <sz val="11"/>
        <rFont val="Calibri"/>
        <family val="2"/>
      </rPr>
      <t xml:space="preserve">°, tilt set to </t>
    </r>
    <r>
      <rPr>
        <sz val="11"/>
        <rFont val="Calibri"/>
        <family val="2"/>
        <scheme val="minor"/>
      </rPr>
      <t>1440</t>
    </r>
  </si>
  <si>
    <t>CTD model# SBE37SM, serial# 1777</t>
  </si>
  <si>
    <t>McLane 250x21 frame#  12419-02, controller#  12419-02 and motor#  12419-02 Cup set AB</t>
  </si>
  <si>
    <t>RBR-TDR_2050, serial# 16380</t>
  </si>
  <si>
    <t>McLane 250x21 frame # 12993-01, controller # 11649-01 and motor # 11649-01 Cup set AC</t>
  </si>
  <si>
    <t>no tilt</t>
  </si>
  <si>
    <t>CTD model# SBE37SM, serial# 2971</t>
  </si>
  <si>
    <t>CTD SBE37SM – 2955 on wire @ 4500m</t>
  </si>
  <si>
    <t>CTD SBE37SMP – 13264 on wire @ 4500m</t>
  </si>
  <si>
    <t>deployment</t>
  </si>
  <si>
    <t>SAZ-24 anchor released at 2022-05-09 04:25:42 UTC, anchor 4665.5(m) lat,lon -46.80848 141.83198 deg triangulated</t>
  </si>
  <si>
    <t>event</t>
  </si>
  <si>
    <t>date, UTC</t>
  </si>
  <si>
    <t>interval</t>
  </si>
  <si>
    <t>saz24</t>
  </si>
  <si>
    <t>year 2022-23</t>
  </si>
  <si>
    <t>47S</t>
  </si>
  <si>
    <t>McLane 21 cup</t>
  </si>
  <si>
    <t>McLane/US date format</t>
  </si>
  <si>
    <t>deploy (tentative)</t>
  </si>
  <si>
    <t>suggested time for funnel to "prime"</t>
  </si>
  <si>
    <t>cup 1 opens</t>
  </si>
  <si>
    <t>22 (mt)</t>
  </si>
  <si>
    <t>cup 21 closes</t>
  </si>
  <si>
    <t>pickup</t>
  </si>
  <si>
    <t>days spare (need +ve)</t>
  </si>
  <si>
    <t>total</t>
  </si>
  <si>
    <t>pickup-deploy</t>
  </si>
  <si>
    <t>1000m</t>
  </si>
  <si>
    <t>2000m</t>
  </si>
  <si>
    <t>3000m</t>
  </si>
  <si>
    <t xml:space="preserve">[2023-05-30 05:12:04.727] </t>
  </si>
  <si>
    <t xml:space="preserve">[2023-05-30 05:20:45.111] </t>
  </si>
  <si>
    <t>[2023-05-30 05:03:47.013] .</t>
  </si>
  <si>
    <t>[2023-05-30 05:12:04.743]  Enter &lt;CTRL-C&gt; now to wake up?</t>
  </si>
  <si>
    <t>[2023-05-30 05:20:45.111]  Enter &lt;CTRL-C&gt; now to wake up?</t>
  </si>
  <si>
    <t>[2023-05-30 05:03:49.730] Enter ^C now to wake up ...  [^C]</t>
  </si>
  <si>
    <t xml:space="preserve">[2023-05-30 05:12:05.367] </t>
  </si>
  <si>
    <t xml:space="preserve">[2023-05-30 05:20:45.748] </t>
  </si>
  <si>
    <t xml:space="preserve">[2023-05-30 05:03:50.386] </t>
  </si>
  <si>
    <t>[2023-05-30 05:12:05.367] _______________________________________________________</t>
  </si>
  <si>
    <t>[2023-05-30 05:20:45.748] _______________________________________________________</t>
  </si>
  <si>
    <t xml:space="preserve">[2023-05-30 05:03:50.403] </t>
  </si>
  <si>
    <t xml:space="preserve">[2023-05-30 05:12:05.431] </t>
  </si>
  <si>
    <t xml:space="preserve">[2023-05-30 05:20:45.812] </t>
  </si>
  <si>
    <t>[2023-05-30 05:03:50.403] ________________________________________________________________</t>
  </si>
  <si>
    <t xml:space="preserve">[2023-05-30 05:12:05.431]               </t>
  </si>
  <si>
    <t xml:space="preserve">[2023-05-30 05:20:45.827]               </t>
  </si>
  <si>
    <t>[2023-05-30 05:03:50.464] Configuration: PST-21                   CF2 V3_09 of May 16 2014</t>
  </si>
  <si>
    <t xml:space="preserve">[2023-05-30 05:12:05.447] </t>
  </si>
  <si>
    <t xml:space="preserve">  McLane Research Laboratories, USA              </t>
  </si>
  <si>
    <t xml:space="preserve">[2023-05-30 05:20:45.845] </t>
  </si>
  <si>
    <t xml:space="preserve">[2023-05-30 05:03:50.529] </t>
  </si>
  <si>
    <t xml:space="preserve">[2023-05-30 05:12:05.510] </t>
  </si>
  <si>
    <t xml:space="preserve">    ParFlux 21-Cup Sediment Trap              </t>
  </si>
  <si>
    <t xml:space="preserve">[2023-05-30 05:20:45.892] </t>
  </si>
  <si>
    <t>[2023-05-30 05:03:50.529]                McLane Research Laboratories, Inc.</t>
  </si>
  <si>
    <t xml:space="preserve">[2023-05-30 05:12:05.559] </t>
  </si>
  <si>
    <t xml:space="preserve">        with Compass and Tilt              </t>
  </si>
  <si>
    <t xml:space="preserve">[2023-05-30 05:20:45.957] </t>
  </si>
  <si>
    <t>[2023-05-30 05:03:50.593]                      ParFlux Sediment Trap</t>
  </si>
  <si>
    <t xml:space="preserve">[2023-05-30 05:12:05.638] </t>
  </si>
  <si>
    <t xml:space="preserve">Version: PST-21C5.c   S/N: ML12419-01            </t>
  </si>
  <si>
    <t xml:space="preserve">[2023-05-30 05:20:46.021] </t>
  </si>
  <si>
    <t xml:space="preserve">Version: PST-21C5.c   S/N: ML12419-02            </t>
  </si>
  <si>
    <t>[2023-05-30 05:03:50.640]                            ML12993-01</t>
  </si>
  <si>
    <t xml:space="preserve">[2023-05-30 05:12:05.686] </t>
  </si>
  <si>
    <t xml:space="preserve">[2023-05-30 05:20:46.069] </t>
  </si>
  <si>
    <t>[2023-05-30 05:03:50.672]                _________________________________</t>
  </si>
  <si>
    <t xml:space="preserve">[2023-05-30 05:12:05.702] </t>
  </si>
  <si>
    <t xml:space="preserve"> ÉÍÍÍÍÍÍÍÍÍÍÍÍÍÍÍÍÍÍÍÍÍÍÍÍÍÍÍÍÍÍÍÍÍ»              </t>
  </si>
  <si>
    <t xml:space="preserve">[2023-05-30 05:20:46.085] </t>
  </si>
  <si>
    <t>[2023-05-30 05:03:50.720]                            Main Menu</t>
  </si>
  <si>
    <t xml:space="preserve">[2023-05-30 05:12:05.783] </t>
  </si>
  <si>
    <t xml:space="preserve"> º            Main Menu            º              </t>
  </si>
  <si>
    <t xml:space="preserve">[2023-05-30 05:20:46.165] </t>
  </si>
  <si>
    <t>[2023-05-30 05:03:50.769]                _________________________________</t>
  </si>
  <si>
    <t xml:space="preserve">[2023-05-30 05:12:05.863] </t>
  </si>
  <si>
    <t xml:space="preserve"> ÈÍÍÍÍÍÍÍÍÍÍÍÍÍÍÍÍÍÍÍÍÍÍÍÍÍÍÍÍÍÍÍÍÍ¼              </t>
  </si>
  <si>
    <t xml:space="preserve">[2023-05-30 05:20:46.244] </t>
  </si>
  <si>
    <t>[2023-05-30 05:03:50.833]                    Tue May 30 05:02:20 2023</t>
  </si>
  <si>
    <t>trap delayed by 1 min</t>
  </si>
  <si>
    <t xml:space="preserve">[2023-05-30 05:12:06.102] </t>
  </si>
  <si>
    <t xml:space="preserve">      Tue May 30 04:38:52 2023</t>
  </si>
  <si>
    <t>trap delayed by 34 min</t>
  </si>
  <si>
    <t xml:space="preserve">[2023-05-30 05:20:46.502] </t>
  </si>
  <si>
    <t xml:space="preserve">      Tue May 30 04:49:01 2023</t>
  </si>
  <si>
    <t>trap delayed by 33 min</t>
  </si>
  <si>
    <t xml:space="preserve">[2023-05-30 05:03:50.880] </t>
  </si>
  <si>
    <t xml:space="preserve">[2023-05-30 05:12:06.149] </t>
  </si>
  <si>
    <t xml:space="preserve">[2023-05-30 05:20:46.533] </t>
  </si>
  <si>
    <t>[2023-05-30 05:03:50.880]            &lt;1&gt; Set Time          &lt;5&gt; Create Schedule</t>
  </si>
  <si>
    <t xml:space="preserve">[2023-05-30 05:12:06.198] </t>
  </si>
  <si>
    <t xml:space="preserve">&lt;1&gt; Set Time             &lt;5&gt; Create Schedule          </t>
  </si>
  <si>
    <t xml:space="preserve">[2023-05-30 05:20:46.581] </t>
  </si>
  <si>
    <t xml:space="preserve">[2023-05-30 05:03:50.929]            &lt;2&gt; Diagnostics       &lt;6&gt; Deploy System  </t>
  </si>
  <si>
    <t xml:space="preserve">[2023-05-30 05:12:06.294] </t>
  </si>
  <si>
    <t xml:space="preserve">&lt;2&gt; Diagnostics          &lt;6&gt; Deploy System          </t>
  </si>
  <si>
    <t xml:space="preserve">[2023-05-30 05:20:46.677] </t>
  </si>
  <si>
    <t xml:space="preserve">[2023-05-30 05:03:50.995]            &lt;3&gt; Fill Containers   &lt;7&gt; Offload Data   </t>
  </si>
  <si>
    <t xml:space="preserve">[2023-05-30 05:12:06.391] </t>
  </si>
  <si>
    <t xml:space="preserve">&lt;3&gt; Fill Containers      &lt;7&gt; Offload Data          </t>
  </si>
  <si>
    <t xml:space="preserve">[2023-05-30 05:20:46.789] </t>
  </si>
  <si>
    <t xml:space="preserve">[2023-05-30 05:03:51.039]            &lt;4&gt; Sleep             &lt;8&gt; Contact McLane </t>
  </si>
  <si>
    <t xml:space="preserve">[2023-05-30 05:12:06.486] </t>
  </si>
  <si>
    <t>&lt;4&gt; Sleep                &lt;8&gt; Contacting McLane</t>
  </si>
  <si>
    <t xml:space="preserve">[2023-05-30 05:20:46.885] </t>
  </si>
  <si>
    <t xml:space="preserve">[2023-05-30 05:03:51.187] </t>
  </si>
  <si>
    <t xml:space="preserve">[2023-05-30 05:12:06.551] </t>
  </si>
  <si>
    <t xml:space="preserve">[2023-05-30 05:20:46.933] </t>
  </si>
  <si>
    <t>[2023-05-30 05:03:51.187]                 Selection [] ? 2</t>
  </si>
  <si>
    <t xml:space="preserve">[2023-05-30 05:12:06.566] </t>
  </si>
  <si>
    <t xml:space="preserve">  Selection  ? 2</t>
  </si>
  <si>
    <t xml:space="preserve">[2023-05-30 05:20:46.948] </t>
  </si>
  <si>
    <t xml:space="preserve">[2023-05-30 05:03:56.431] </t>
  </si>
  <si>
    <t xml:space="preserve">[2023-05-30 05:12:12.322] </t>
  </si>
  <si>
    <t xml:space="preserve">[2023-05-30 05:20:49.683] </t>
  </si>
  <si>
    <t>[2023-05-30 05:03:56.431] ^C to exit. Any other key to pause/continue.</t>
  </si>
  <si>
    <t>[2023-05-30 05:12:12.370]  Press any key to pause/continue display, &lt;X&gt; to exit</t>
  </si>
  <si>
    <t>[2023-05-30 05:20:49.731]  Press any key to pause/continue display, &lt;X&gt; to exit</t>
  </si>
  <si>
    <t xml:space="preserve">[2023-05-30 05:03:56.476] </t>
  </si>
  <si>
    <t xml:space="preserve">[2023-05-30 05:12:12.434] </t>
  </si>
  <si>
    <t xml:space="preserve">[2023-05-30 05:20:49.797] </t>
  </si>
  <si>
    <t>[2023-05-30 05:03:56.476]   Date     Time    Battery TempTur  Rotator</t>
  </si>
  <si>
    <t>[2023-05-30 05:12:14.192]   05/30/2023 04:38:59   16.2 Vb    21øC   1øT  318øH  aligned</t>
  </si>
  <si>
    <t>[2023-05-30 05:20:51.668]   05/30/2023 04:49:05   16.2 Vb    21øC   3øT  319øH  aligned</t>
  </si>
  <si>
    <t>[2023-05-30 05:03:58.205] 05/30/23 05:02:27  18.1 Vb  21.0°C  aligned</t>
  </si>
  <si>
    <t>[2023-05-30 05:12:29.942]   05/30/2023 04:39:13   16.1 Vb    21øC   0øT  180øH  aligned</t>
  </si>
  <si>
    <t>[2023-05-30 05:20:53.635]   05/30/2023 04:49:07   16.1 Vb    21øC   3øT  319øH  aligned</t>
  </si>
  <si>
    <t>[2023-05-30 05:04:00.203] 05/30/23 05:02:29  18.1 Vb  21.0°C  aligned</t>
  </si>
  <si>
    <t>[2023-05-30 05:12:31.782]   05/30/2023 04:39:17   16.0 Vb    21øC   1øT  309øH  aligned</t>
  </si>
  <si>
    <t>[2023-05-30 05:20:55.586]   05/30/2023 04:49:09   16.1 Vb    21øC   3øT  319øH  aligned</t>
  </si>
  <si>
    <t>[2023-05-30 05:04:02.200] 05/30/23 05:02:31  18.1 Vb  21.0°C  aligned</t>
  </si>
  <si>
    <t>[2023-05-30 05:12:33.619]   05/30/2023 04:39:18   16.0 Vb    21øC   1øT  307øH  aligned</t>
  </si>
  <si>
    <t>[2023-05-30 05:20:57.555]   05/30/2023 04:49:11   16.0 Vb    22øC   3øT  316øH  aligned</t>
  </si>
  <si>
    <t>[2023-05-30 05:04:04.216] 05/30/23 05:02:33  18.1 Vb  21.0°C  aligned</t>
  </si>
  <si>
    <t>[2023-05-30 05:12:35.458]   05/30/2023 04:39:20   16.0 Vb    21øC   1øT  312øH  aligned</t>
  </si>
  <si>
    <t>[2023-05-30 05:20:59.507]   05/30/2023 04:49:13   16.0 Vb    22øC   3øT  318øH  aligned</t>
  </si>
  <si>
    <t>[2023-05-30 05:04:06.214] 05/30/23 05:02:35  18.0 Vb  21.0°C  aligned</t>
  </si>
  <si>
    <t>[2023-05-30 05:12:37.280]   05/30/2023 04:39:22   16.0 Vb    21øC   1øT  301øH  aligned</t>
  </si>
  <si>
    <t>[2023-05-30 05:21:01.486]   05/30/2023 04:49:15   16.0 Vb    22øC   3øT  319øH  aligned</t>
  </si>
  <si>
    <t>[2023-05-30 05:04:08.212] 05/30/23 05:02:37  18.0 Vb  21.0°C  aligned</t>
  </si>
  <si>
    <t>[2023-05-30 05:12:39.136]   05/30/2023 04:39:24   16.0 Vb    21øC   1øT  302øH  aligned</t>
  </si>
  <si>
    <t xml:space="preserve">[2023-05-30 05:21:01.567] </t>
  </si>
  <si>
    <t>[2023-05-30 05:04:10.211] 05/30/23 05:02:39  18.0 Vb  21.0°C  aligned</t>
  </si>
  <si>
    <t>[2023-05-30 05:12:40.992]   05/30/2023 04:39:26   15.9 Vb    21øC   1øT  310øH  aligned</t>
  </si>
  <si>
    <t>[2023-05-30 05:04:12.225] 05/30/23 05:02:41  18.0 Vb  21.0°C  aligned</t>
  </si>
  <si>
    <t>[2023-05-30 05:12:42.846]   05/30/2023 04:39:28   15.9 Vb    21øC   1øT  306øH  aligned</t>
  </si>
  <si>
    <t xml:space="preserve">[2023-05-30 05:21:01.614]  Battery voltage is abnormally low.  Check/replace            </t>
  </si>
  <si>
    <t>[2023-05-30 05:04:14.225] 05/30/23 05:02:43  18.0 Vb  21.0°C  aligned</t>
  </si>
  <si>
    <t xml:space="preserve">[2023-05-30 05:12:44.220] </t>
  </si>
  <si>
    <t>[2023-05-30 05:21:01.726]  main battery pack before deploying system.</t>
  </si>
  <si>
    <t>[2023-05-30 05:04:14.321]  ... any key to continue ... 05/30/23 05:02:48  17.9 Vb  21.1°C  aligned</t>
  </si>
  <si>
    <t xml:space="preserve">[2023-05-30 05:21:01.791]           </t>
  </si>
  <si>
    <t>[2023-05-30 05:04:20.716] 05/30/23 05:02:50  17.9 Vb  21.1°C  aligned</t>
  </si>
  <si>
    <t xml:space="preserve">[2023-05-30 05:12:44.268]  Battery voltage is abnormally low.  Check/replace            </t>
  </si>
  <si>
    <t xml:space="preserve">[2023-05-30 05:21:01.806] </t>
  </si>
  <si>
    <t>[2023-05-30 05:04:20.796]  ... any key to continue ... 05/30/23 05:02:57  17.9 Vb  21.1°C  aligned</t>
  </si>
  <si>
    <t>[2023-05-30 05:12:44.380]  main battery pack before deploying system.</t>
  </si>
  <si>
    <t>[2023-05-30 05:21:01.823]  Press any key to continue.</t>
  </si>
  <si>
    <t>[2023-05-30 05:04:30.212] 05/30/23 05:02:59  17.9 Vb  21.1°C  aligned</t>
  </si>
  <si>
    <t xml:space="preserve">[2023-05-30 05:12:44.430]           </t>
  </si>
  <si>
    <t xml:space="preserve">[2023-05-30 05:21:03.342] </t>
  </si>
  <si>
    <t xml:space="preserve">[2023-05-30 05:04:30.325] </t>
  </si>
  <si>
    <t xml:space="preserve">[2023-05-30 05:12:44.444] </t>
  </si>
  <si>
    <t xml:space="preserve">[2023-05-30 05:21:03.358] </t>
  </si>
  <si>
    <t>[2023-05-30 05:12:44.476]  Press any key to continue.</t>
  </si>
  <si>
    <t>[2023-05-30 05:21:03.358] _______________________________________________________</t>
  </si>
  <si>
    <t>[2023-05-30 05:04:30.325] Battery voltage is abnormally low.  Check/replace</t>
  </si>
  <si>
    <t xml:space="preserve">[2023-05-30 05:12:46.412] </t>
  </si>
  <si>
    <t xml:space="preserve">[2023-05-30 05:21:03.422] </t>
  </si>
  <si>
    <t>[2023-05-30 05:04:30.388] main battery pack before deploying system.</t>
  </si>
  <si>
    <t xml:space="preserve">[2023-05-30 05:21:03.422]               </t>
  </si>
  <si>
    <t xml:space="preserve">[2023-05-30 05:04:30.420] </t>
  </si>
  <si>
    <t>[2023-05-30 05:12:46.428] _______________________________________________________</t>
  </si>
  <si>
    <t xml:space="preserve">[2023-05-30 05:21:03.438] </t>
  </si>
  <si>
    <t xml:space="preserve">[2023-05-30 05:04:30.436] </t>
  </si>
  <si>
    <t xml:space="preserve">[2023-05-30 05:12:46.492] </t>
  </si>
  <si>
    <t xml:space="preserve">[2023-05-30 05:21:03.485] </t>
  </si>
  <si>
    <t>[2023-05-30 05:04:30.436]  Press any key to continue.</t>
  </si>
  <si>
    <t xml:space="preserve">[2023-05-30 05:12:46.492]               </t>
  </si>
  <si>
    <t xml:space="preserve">[2023-05-30 05:21:03.551] </t>
  </si>
  <si>
    <t xml:space="preserve">[2023-05-30 05:04:36.175] </t>
  </si>
  <si>
    <t xml:space="preserve">[2023-05-30 05:12:46.507] </t>
  </si>
  <si>
    <t xml:space="preserve">[2023-05-30 05:21:03.614] </t>
  </si>
  <si>
    <t xml:space="preserve">[2023-05-30 05:12:46.556] </t>
  </si>
  <si>
    <t xml:space="preserve">[2023-05-30 05:21:03.678] </t>
  </si>
  <si>
    <t>[2023-05-30 05:04:36.175] ________________________________________________________________</t>
  </si>
  <si>
    <t xml:space="preserve">[2023-05-30 05:12:46.620] </t>
  </si>
  <si>
    <t xml:space="preserve">[2023-05-30 05:21:03.695] </t>
  </si>
  <si>
    <t>[2023-05-30 05:04:36.255] Configuration: PST-21                   CF2 V3_09 of May 16 2014</t>
  </si>
  <si>
    <t xml:space="preserve">[2023-05-30 05:12:46.685] </t>
  </si>
  <si>
    <t xml:space="preserve">[2023-05-30 05:21:03.757] </t>
  </si>
  <si>
    <t xml:space="preserve">[2023-05-30 05:04:36.319] </t>
  </si>
  <si>
    <t xml:space="preserve">[2023-05-30 05:12:46.731] </t>
  </si>
  <si>
    <t xml:space="preserve">[2023-05-30 05:21:03.838] </t>
  </si>
  <si>
    <t>[2023-05-30 05:04:36.319]                McLane Research Laboratories, Inc.</t>
  </si>
  <si>
    <t xml:space="preserve">[2023-05-30 05:12:46.748] </t>
  </si>
  <si>
    <t xml:space="preserve">[2023-05-30 05:21:04.094] </t>
  </si>
  <si>
    <t xml:space="preserve">      Tue May 30 04:49:19 2023</t>
  </si>
  <si>
    <t>[2023-05-30 05:04:36.366]                      ParFlux Sediment Trap</t>
  </si>
  <si>
    <t xml:space="preserve">[2023-05-30 05:12:46.827] </t>
  </si>
  <si>
    <t xml:space="preserve">[2023-05-30 05:21:04.125] </t>
  </si>
  <si>
    <t>[2023-05-30 05:04:36.416]                            ML12993-01</t>
  </si>
  <si>
    <t xml:space="preserve">[2023-05-30 05:12:46.906] </t>
  </si>
  <si>
    <t xml:space="preserve">[2023-05-30 05:21:04.174] </t>
  </si>
  <si>
    <t>[2023-05-30 05:04:36.466]                _________________________________</t>
  </si>
  <si>
    <t xml:space="preserve">[2023-05-30 05:12:47.167] </t>
  </si>
  <si>
    <t xml:space="preserve">      Tue May 30 04:39:33 2023</t>
  </si>
  <si>
    <t xml:space="preserve">[2023-05-30 05:21:04.270] </t>
  </si>
  <si>
    <t>[2023-05-30 05:04:36.511]                            Main Menu</t>
  </si>
  <si>
    <t xml:space="preserve">[2023-05-30 05:12:47.196] </t>
  </si>
  <si>
    <t xml:space="preserve">[2023-05-30 05:21:04.382] </t>
  </si>
  <si>
    <t>[2023-05-30 05:04:36.543]                _________________________________</t>
  </si>
  <si>
    <t xml:space="preserve">[2023-05-30 05:12:47.243] </t>
  </si>
  <si>
    <t xml:space="preserve">[2023-05-30 05:21:04.478] </t>
  </si>
  <si>
    <t>[2023-05-30 05:04:36.612]                    Tue May 30 05:03:06 2023</t>
  </si>
  <si>
    <t xml:space="preserve">[2023-05-30 05:12:47.338] </t>
  </si>
  <si>
    <t xml:space="preserve">[2023-05-30 05:21:04.526] </t>
  </si>
  <si>
    <t xml:space="preserve">[2023-05-30 05:04:36.657] </t>
  </si>
  <si>
    <t xml:space="preserve">[2023-05-30 05:12:47.451] </t>
  </si>
  <si>
    <t xml:space="preserve">[2023-05-30 05:21:04.541] </t>
  </si>
  <si>
    <t xml:space="preserve">  Selection  ? 7</t>
  </si>
  <si>
    <t>[2023-05-30 05:04:36.657]            &lt;1&gt; Set Time          &lt;5&gt; Create Schedule</t>
  </si>
  <si>
    <t xml:space="preserve">[2023-05-30 05:12:47.547] </t>
  </si>
  <si>
    <t xml:space="preserve">[2023-05-30 05:21:08.971] </t>
  </si>
  <si>
    <t xml:space="preserve">[2023-05-30 05:04:36.721]            &lt;2&gt; Diagnostics       &lt;6&gt; Deploy System  </t>
  </si>
  <si>
    <t xml:space="preserve">[2023-05-30 05:12:47.594] </t>
  </si>
  <si>
    <t xml:space="preserve">[2023-05-30 05:21:08.987] </t>
  </si>
  <si>
    <t>ÉÍÍÍÍÍÍÍÍÍÍÍÍÍÍÍÍÍÍÍÍÍÍÍÍÍÍÍÍÍÍÍÍÍ»</t>
  </si>
  <si>
    <t xml:space="preserve">[2023-05-30 05:04:36.768]            &lt;3&gt; Fill Containers   &lt;7&gt; Offload Data   </t>
  </si>
  <si>
    <t xml:space="preserve">[2023-05-30 05:12:47.610] </t>
  </si>
  <si>
    <t xml:space="preserve">[2023-05-30 05:21:09.035] </t>
  </si>
  <si>
    <t>º    Offload/Display Data File    º</t>
  </si>
  <si>
    <t xml:space="preserve">[2023-05-30 05:04:36.833]            &lt;4&gt; Sleep             &lt;8&gt; Contact McLane </t>
  </si>
  <si>
    <t xml:space="preserve">[2023-05-30 05:12:51.704] </t>
  </si>
  <si>
    <t xml:space="preserve">[2023-05-30 05:21:09.100] </t>
  </si>
  <si>
    <t>ÈÍÍÍÍÍÍÍÍÍÍÍÍÍÍÍÍÍÍÍÍÍÍÍÍÍÍÍÍÍÍÍÍÍ¼</t>
  </si>
  <si>
    <t xml:space="preserve">[2023-05-30 05:04:36.980] </t>
  </si>
  <si>
    <t xml:space="preserve">[2023-05-30 05:12:51.720] </t>
  </si>
  <si>
    <t xml:space="preserve">[2023-05-30 05:21:09.343] </t>
  </si>
  <si>
    <t xml:space="preserve">     Tue May 30 04:49:24 2023</t>
  </si>
  <si>
    <t>[2023-05-30 05:04:36.980]                 Selection [] ? 7</t>
  </si>
  <si>
    <t xml:space="preserve">[2023-05-30 05:12:51.784] </t>
  </si>
  <si>
    <t xml:space="preserve">[2023-05-30 05:21:09.372] </t>
  </si>
  <si>
    <t xml:space="preserve">[2023-05-30 05:04:40.014] </t>
  </si>
  <si>
    <t xml:space="preserve">[2023-05-30 05:12:51.847] </t>
  </si>
  <si>
    <t xml:space="preserve">[2023-05-30 05:21:09.403] </t>
  </si>
  <si>
    <t xml:space="preserve">&lt;1&gt; Display all data        </t>
  </si>
  <si>
    <t>[2023-05-30 05:04:40.014] ________________________________________________________________</t>
  </si>
  <si>
    <t xml:space="preserve">[2023-05-30 05:12:52.090] </t>
  </si>
  <si>
    <t xml:space="preserve">     Tue May 30 04:39:38 2023</t>
  </si>
  <si>
    <t xml:space="preserve">[2023-05-30 05:21:09.451] </t>
  </si>
  <si>
    <t xml:space="preserve">&lt;2&gt; Display event summary        </t>
  </si>
  <si>
    <t>[2023-05-30 05:04:40.109] Configuration: PST-21                   CF2 V3_09 of May 16 2014</t>
  </si>
  <si>
    <t xml:space="preserve">[2023-05-30 05:12:52.119] </t>
  </si>
  <si>
    <t xml:space="preserve">[2023-05-30 05:21:09.516] </t>
  </si>
  <si>
    <t xml:space="preserve">&lt;3&gt; Display tilt data        </t>
  </si>
  <si>
    <t xml:space="preserve">[2023-05-30 05:04:40.173] </t>
  </si>
  <si>
    <t xml:space="preserve">[2023-05-30 05:12:52.135] </t>
  </si>
  <si>
    <t xml:space="preserve">[2023-05-30 05:21:09.579] </t>
  </si>
  <si>
    <t xml:space="preserve">&lt;4&gt; Display backup EEPROM        </t>
  </si>
  <si>
    <t>[2023-05-30 05:04:40.173]                _________________________________</t>
  </si>
  <si>
    <t xml:space="preserve">[2023-05-30 05:12:52.199] </t>
  </si>
  <si>
    <t xml:space="preserve">[2023-05-30 05:21:09.627] </t>
  </si>
  <si>
    <t>&lt;M&gt; Main Menu</t>
  </si>
  <si>
    <t>[2023-05-30 05:04:40.239]                    Offload/Display Data File</t>
  </si>
  <si>
    <t xml:space="preserve">[2023-05-30 05:12:52.264] </t>
  </si>
  <si>
    <t xml:space="preserve">[2023-05-30 05:21:09.660] </t>
  </si>
  <si>
    <t>[2023-05-30 05:04:40.269]                _________________________________</t>
  </si>
  <si>
    <t xml:space="preserve">[2023-05-30 05:12:52.327] </t>
  </si>
  <si>
    <t xml:space="preserve">[2023-05-30 05:21:09.676] </t>
  </si>
  <si>
    <t xml:space="preserve">  Selection  ? 1</t>
  </si>
  <si>
    <t>[2023-05-30 05:04:40.465]                    Tue May 30 05:03:09 2023</t>
  </si>
  <si>
    <t xml:space="preserve">[2023-05-30 05:12:52.375] </t>
  </si>
  <si>
    <t xml:space="preserve">[2023-05-30 05:21:11.787] </t>
  </si>
  <si>
    <t xml:space="preserve">[2023-05-30 05:04:40.513] </t>
  </si>
  <si>
    <t xml:space="preserve">[2023-05-30 05:12:52.391] </t>
  </si>
  <si>
    <t xml:space="preserve">[2023-05-30 05:21:11.834]  To copy the instrument data file to a disk file, initiate          </t>
  </si>
  <si>
    <t xml:space="preserve">[2023-05-30 05:04:40.513]                 &lt;1&gt; Display all data     </t>
  </si>
  <si>
    <t xml:space="preserve">[2023-05-30 05:12:52.407] </t>
  </si>
  <si>
    <t xml:space="preserve">[2023-05-30 05:21:11.963]  your communication program's file logging command now and          </t>
  </si>
  <si>
    <t>[2023-05-30 05:04:40.543]                 &lt;2&gt; Display backup EEPROM</t>
  </si>
  <si>
    <t xml:space="preserve">[2023-05-30 05:13:01.408] </t>
  </si>
  <si>
    <t xml:space="preserve">[2023-05-30 05:21:12.091]  then press any key to start the transfer.  The instrument          </t>
  </si>
  <si>
    <t xml:space="preserve">[2023-05-30 05:04:40.593]                 &lt;M&gt; Main Menu            </t>
  </si>
  <si>
    <t xml:space="preserve">[2023-05-30 05:13:01.457]  To copy the instrument data file to a disk file, initiate          </t>
  </si>
  <si>
    <t xml:space="preserve">[2023-05-30 05:21:12.218]  data file will remain resident and is not erased by this          </t>
  </si>
  <si>
    <t xml:space="preserve">[2023-05-30 05:04:40.639] </t>
  </si>
  <si>
    <t xml:space="preserve">[2023-05-30 05:13:01.585]  your communication program's file logging command now and          </t>
  </si>
  <si>
    <t>[2023-05-30 05:21:12.315]  offload procedure.</t>
  </si>
  <si>
    <t>[2023-05-30 05:04:40.639]                 Selection [1] ? 1</t>
  </si>
  <si>
    <t xml:space="preserve">[2023-05-30 05:13:01.712]  then press any key to start the transfer.  The instrument          </t>
  </si>
  <si>
    <t xml:space="preserve">[2023-05-30 05:21:12.348] </t>
  </si>
  <si>
    <t xml:space="preserve">[2023-05-30 05:04:49.591] </t>
  </si>
  <si>
    <t xml:space="preserve">[2023-05-30 05:13:01.840]  data file will remain resident and is not erased by this          </t>
  </si>
  <si>
    <t xml:space="preserve">[2023-05-30 05:21:15.210] </t>
  </si>
  <si>
    <t>[2023-05-30 05:04:49.591]  To copy the instrument data file to a disk file, initiate</t>
  </si>
  <si>
    <t>[2023-05-30 05:13:01.935]  offload procedure.</t>
  </si>
  <si>
    <t xml:space="preserve">[2023-05-30 05:21:15.210]  Software version:  PST-21C5.c          </t>
  </si>
  <si>
    <t>[2023-05-30 05:04:49.655]  your communication program's file logging command now and</t>
  </si>
  <si>
    <t xml:space="preserve">[2023-05-30 05:13:01.968] </t>
  </si>
  <si>
    <t>[2023-05-30 05:21:15.273]  Compiled:          Mar 13 2007 14:22:06</t>
  </si>
  <si>
    <t xml:space="preserve">  </t>
  </si>
  <si>
    <t>[2023-05-30 05:04:49.705]  then press any key to start the transfer.  The instrument</t>
  </si>
  <si>
    <t xml:space="preserve">[2023-05-30 05:13:02.735] </t>
  </si>
  <si>
    <t>[2023-05-30 05:21:15.337]  Electronics S/N:   ML12419-02</t>
  </si>
  <si>
    <t>[2023-05-30 05:04:49.769]  data file will remain resident and is not erased by this</t>
  </si>
  <si>
    <t xml:space="preserve">[2023-05-30 05:13:02.752]  Software version:  PST-21C5.c          </t>
  </si>
  <si>
    <t xml:space="preserve">[2023-05-30 05:21:15.374] </t>
  </si>
  <si>
    <t>[2023-05-30 05:04:49.831]  offload procedure.</t>
  </si>
  <si>
    <t>[2023-05-30 05:13:02.816]  Compiled:          Mar 13 2007 14:22:06</t>
  </si>
  <si>
    <t>[2023-05-30 05:21:15.673]  Data recording start time = 04/20/2022 04:06:53</t>
  </si>
  <si>
    <t xml:space="preserve">[2023-05-30 05:04:49.863] </t>
  </si>
  <si>
    <t>[2023-05-30 05:13:02.879]  Electronics S/N:   ML12419-01</t>
  </si>
  <si>
    <t>[2023-05-30 05:21:16.011]  Data recording stop time  = 05/07/2023 00:00:31</t>
  </si>
  <si>
    <t xml:space="preserve">[2023-05-30 05:05:10.284] </t>
  </si>
  <si>
    <t xml:space="preserve">[2023-05-30 05:13:02.916] </t>
  </si>
  <si>
    <t xml:space="preserve">[2023-05-30 05:21:16.074] </t>
  </si>
  <si>
    <t>[2023-05-30 05:05:10.284] Configuration:     PST-21</t>
  </si>
  <si>
    <t>[2023-05-30 05:13:03.201]  Data recording start time = 04/20/2022 03:40:26</t>
  </si>
  <si>
    <t>[2023-05-30 05:21:16.074]  HEADER</t>
  </si>
  <si>
    <t>[2023-05-30 05:05:10.318] Software version:  PST-3_09.c</t>
  </si>
  <si>
    <t>[2023-05-30 05:13:03.553]  Data recording stop time  = 05/07/2023 00:00:31</t>
  </si>
  <si>
    <t>[2023-05-30 05:21:16.090]  ______</t>
  </si>
  <si>
    <t>[2023-05-30 05:05:10.345] Compiled:          May 16 2014 11:42:19</t>
  </si>
  <si>
    <t xml:space="preserve">[2023-05-30 05:13:03.601] </t>
  </si>
  <si>
    <t xml:space="preserve">[2023-05-30 05:21:16.106] </t>
  </si>
  <si>
    <t>[2023-05-30 05:05:10.394] Electronics S/N:   ML12993-01</t>
  </si>
  <si>
    <t>[2023-05-30 05:13:03.617]  HEADER</t>
  </si>
  <si>
    <t>[2023-05-30 05:21:16.106]  SAZ24_2022_2000m_12419_02_TILT</t>
  </si>
  <si>
    <t xml:space="preserve">[2023-05-30 05:05:10.426] </t>
  </si>
  <si>
    <t>[2023-05-30 05:13:03.633]  ______</t>
  </si>
  <si>
    <t xml:space="preserve">[2023-05-30 05:21:16.155] </t>
  </si>
  <si>
    <t>[2023-05-30 05:05:10.440] Data recording start time: 04/20/22 03:04:09</t>
  </si>
  <si>
    <t xml:space="preserve">[2023-05-30 05:13:03.649] </t>
  </si>
  <si>
    <t>[2023-05-30 05:21:16.155]  SCHEDULE</t>
  </si>
  <si>
    <t>[2023-05-30 05:05:10.504] Data recording  stop time: 05/07/23 00:00:32</t>
  </si>
  <si>
    <t>[2023-05-30 05:13:03.649]  SAZ24_2022_1000m_12419_01_TILT</t>
  </si>
  <si>
    <t>[2023-05-30 05:21:16.186]  ________</t>
  </si>
  <si>
    <t xml:space="preserve">[2023-05-30 05:05:10.555] </t>
  </si>
  <si>
    <t xml:space="preserve">[2023-05-30 05:13:03.697] </t>
  </si>
  <si>
    <t xml:space="preserve">[2023-05-30 05:21:16.202] </t>
  </si>
  <si>
    <t>[2023-05-30 05:05:10.555]  HEADER</t>
  </si>
  <si>
    <t>[2023-05-30 05:13:03.697]  SCHEDULE</t>
  </si>
  <si>
    <t>[2023-05-30 05:21:16.505]  Event 01 of 22 @ 05/15/2022 00:00:00</t>
  </si>
  <si>
    <t>[2023-05-30 05:05:10.569]  ______</t>
  </si>
  <si>
    <t>[2023-05-30 05:13:03.731]  ________</t>
  </si>
  <si>
    <t>[2023-05-30 05:21:16.841]  Event 02 of 22 @ 06/01/2022 00:00:00</t>
  </si>
  <si>
    <t xml:space="preserve">[2023-05-30 05:05:10.569] </t>
  </si>
  <si>
    <t xml:space="preserve">[2023-05-30 05:13:03.748] </t>
  </si>
  <si>
    <t>[2023-05-30 05:21:17.193]  Event 03 of 22 @ 06/18/2022 00:00:00</t>
  </si>
  <si>
    <t>[2023-05-30 05:05:10.569]  SAZ24_2022_3800m_12993_01_NO_TILT</t>
  </si>
  <si>
    <t>[2023-05-30 05:13:04.047]  Event 01 of 22 @ 05/15/2022 00:00:00</t>
  </si>
  <si>
    <t>[2023-05-30 05:21:17.543]  Event 04 of 22 @ 07/05/2022 00:00:00</t>
  </si>
  <si>
    <t xml:space="preserve">[2023-05-30 05:05:10.617] </t>
  </si>
  <si>
    <t>[2023-05-30 05:13:04.382]  Event 02 of 22 @ 06/01/2022 00:00:00</t>
  </si>
  <si>
    <t>[2023-05-30 05:21:17.880]  Event 05 of 22 @ 07/22/2022 00:00:00</t>
  </si>
  <si>
    <t>[2023-05-30 05:05:10.617]  SCHEDULE</t>
  </si>
  <si>
    <t>[2023-05-30 05:13:04.736]  Event 03 of 22 @ 06/18/2022 00:00:00</t>
  </si>
  <si>
    <t>[2023-05-30 05:21:18.232]  Event 06 of 22 @ 08/08/2022 00:00:00</t>
  </si>
  <si>
    <t>[2023-05-30 05:05:10.637]  ________</t>
  </si>
  <si>
    <t>[2023-05-30 05:13:05.071]  Event 04 of 22 @ 07/05/2022 00:00:00</t>
  </si>
  <si>
    <t>[2023-05-30 05:21:18.568]  Event 07 of 22 @ 08/25/2022 00:00:00</t>
  </si>
  <si>
    <t xml:space="preserve">[2023-05-30 05:05:10.637] </t>
  </si>
  <si>
    <t>[2023-05-30 05:13:05.423]  Event 05 of 22 @ 07/22/2022 00:00:00</t>
  </si>
  <si>
    <t>[2023-05-30 05:21:18.921]  Event 08 of 22 @ 09/11/2022 00:00:00</t>
  </si>
  <si>
    <t>[2023-05-30 05:05:10.652]  Event 01 of 22 @ 05/15/22 00:00:00</t>
  </si>
  <si>
    <t>[2023-05-30 05:13:05.775]  Event 06 of 22 @ 08/08/2022 00:00:00</t>
  </si>
  <si>
    <t>[2023-05-30 05:21:19.271]  Event 09 of 22 @ 09/28/2022 00:00:00</t>
  </si>
  <si>
    <t>[2023-05-30 05:05:10.712]  Event 02 of 22 @ 06/01/22 00:00:00</t>
  </si>
  <si>
    <t>[2023-05-30 05:13:06.109]  Event 07 of 22 @ 08/25/2022 00:00:00</t>
  </si>
  <si>
    <t>[2023-05-30 05:21:19.606]  Event 10 of 22 @ 10/15/2022 00:00:00</t>
  </si>
  <si>
    <t>[2023-05-30 05:05:10.775]  Event 03 of 22 @ 06/18/22 00:00:00</t>
  </si>
  <si>
    <t>[2023-05-30 05:13:06.461]  Event 08 of 22 @ 09/11/2022 00:00:00</t>
  </si>
  <si>
    <t>[2023-05-30 05:21:19.961]  Event 11 of 22 @ 11/01/2022 00:00:00</t>
  </si>
  <si>
    <t>[2023-05-30 05:05:10.824]  Event 04 of 22 @ 07/05/22 00:00:00</t>
  </si>
  <si>
    <t>[2023-05-30 05:13:06.816]  Event 09 of 22 @ 09/28/2022 00:00:00</t>
  </si>
  <si>
    <t>[2023-05-30 05:21:20.313]  Event 12 of 22 @ 11/18/2022 00:00:00</t>
  </si>
  <si>
    <t>[2023-05-30 05:05:10.888]  Event 05 of 22 @ 07/22/22 00:00:00</t>
  </si>
  <si>
    <t>[2023-05-30 05:13:07.150]  Event 10 of 22 @ 10/15/2022 00:00:00</t>
  </si>
  <si>
    <t>[2023-05-30 05:21:20.649]  Event 13 of 22 @ 12/05/2022 00:00:00</t>
  </si>
  <si>
    <t>[2023-05-30 05:05:10.936]  Event 06 of 22 @ 08/08/22 00:00:00</t>
  </si>
  <si>
    <t>[2023-05-30 05:13:07.501]  Event 11 of 22 @ 11/01/2022 00:00:00</t>
  </si>
  <si>
    <t>[2023-05-30 05:21:20.999]  Event 14 of 22 @ 12/22/2022 00:00:00</t>
  </si>
  <si>
    <t>[2023-05-30 05:05:11.000]  Event 07 of 22 @ 08/25/22 00:00:00</t>
  </si>
  <si>
    <t>[2023-05-30 05:13:07.852]  Event 12 of 22 @ 11/18/2022 00:00:00</t>
  </si>
  <si>
    <t>[2023-05-30 05:21:21.350]  Event 15 of 22 @ 01/08/2023 00:00:00</t>
  </si>
  <si>
    <t>[2023-05-30 05:05:11.047]  Event 08 of 22 @ 09/11/22 00:00:00</t>
  </si>
  <si>
    <t>[2023-05-30 05:13:08.189]  Event 13 of 22 @ 12/05/2022 00:00:00</t>
  </si>
  <si>
    <t>[2023-05-30 05:21:21.700]  Event 16 of 22 @ 01/25/2023 00:00:00</t>
  </si>
  <si>
    <t>[2023-05-30 05:05:11.112]  Event 09 of 22 @ 09/28/22 00:00:00</t>
  </si>
  <si>
    <t>[2023-05-30 05:13:08.541]  Event 14 of 22 @ 12/22/2022 00:00:00</t>
  </si>
  <si>
    <t>[2023-05-30 05:21:22.037]  Event 17 of 22 @ 02/11/2023 00:00:00</t>
  </si>
  <si>
    <t>[2023-05-30 05:05:11.160]  Event 10 of 22 @ 10/15/22 00:00:00</t>
  </si>
  <si>
    <t>[2023-05-30 05:13:08.893]  Event 15 of 22 @ 01/08/2023 00:00:00</t>
  </si>
  <si>
    <t>[2023-05-30 05:21:22.392]  Event 18 of 22 @ 02/28/2023 00:00:00</t>
  </si>
  <si>
    <t>[2023-05-30 05:05:11.223]  Event 11 of 22 @ 11/01/22 00:00:00</t>
  </si>
  <si>
    <t>[2023-05-30 05:13:09.245]  Event 16 of 22 @ 01/25/2023 00:00:00</t>
  </si>
  <si>
    <t>[2023-05-30 05:21:22.741]  Event 19 of 22 @ 03/17/2023 00:00:00</t>
  </si>
  <si>
    <t>[2023-05-30 05:05:11.271]  Event 12 of 22 @ 11/18/22 00:00:00</t>
  </si>
  <si>
    <t>[2023-05-30 05:13:09.583]  Event 17 of 22 @ 02/11/2023 00:00:00</t>
  </si>
  <si>
    <t>[2023-05-30 05:21:23.076]  Event 20 of 22 @ 04/03/2023 00:00:00</t>
  </si>
  <si>
    <t>[2023-05-30 05:05:11.336]  Event 13 of 22 @ 12/05/22 00:00:00</t>
  </si>
  <si>
    <t>[2023-05-30 05:13:09.931]  Event 18 of 22 @ 02/28/2023 00:00:00</t>
  </si>
  <si>
    <t>[2023-05-30 05:21:23.433]  Event 21 of 22 @ 04/20/2023 00:00:00</t>
  </si>
  <si>
    <t>[2023-05-30 05:05:11.387]  Event 14 of 22 @ 12/22/22 00:00:00</t>
  </si>
  <si>
    <t>[2023-05-30 05:13:10.282]  Event 19 of 22 @ 03/17/2023 00:00:00</t>
  </si>
  <si>
    <t>[2023-05-30 05:21:23.783]  Event 22 of 22 @ 05/07/2023 00:00:00</t>
  </si>
  <si>
    <t>[2023-05-30 05:05:11.447]  Event 15 of 22 @ 01/08/23 00:00:00</t>
  </si>
  <si>
    <t>[2023-05-30 05:13:10.620]  Event 20 of 22 @ 04/03/2023 00:00:00</t>
  </si>
  <si>
    <t xml:space="preserve">[2023-05-30 05:21:23.831] </t>
  </si>
  <si>
    <t>[2023-05-30 05:05:11.494]  Event 16 of 22 @ 01/25/23 00:00:00</t>
  </si>
  <si>
    <t>[2023-05-30 05:13:10.971]  Event 21 of 22 @ 04/20/2023 00:00:00</t>
  </si>
  <si>
    <t>[2023-05-30 05:21:23.831]  DEPLOYMENT DATA</t>
  </si>
  <si>
    <t>[2023-05-30 05:05:11.560]  Event 17 of 22 @ 02/11/23 00:00:00</t>
  </si>
  <si>
    <t>[2023-05-30 05:13:11.321]  Event 22 of 22 @ 05/07/2023 00:00:00</t>
  </si>
  <si>
    <t>[2023-05-30 05:21:23.878]  _______________</t>
  </si>
  <si>
    <t>[2023-05-30 05:05:11.607]  Event 18 of 22 @ 02/28/23 00:00:00</t>
  </si>
  <si>
    <t xml:space="preserve">[2023-05-30 05:13:11.369] </t>
  </si>
  <si>
    <t xml:space="preserve">[2023-05-30 05:21:23.894] </t>
  </si>
  <si>
    <t>[2023-05-30 05:05:11.671]  Event 19 of 22 @ 03/17/23 00:00:00</t>
  </si>
  <si>
    <t>[2023-05-30 05:13:11.384]  DEPLOYMENT DATA</t>
  </si>
  <si>
    <t>[2023-05-30 05:05:11.735]  Event 20 of 22 @ 04/03/23 00:00:00</t>
  </si>
  <si>
    <t>[2023-05-30 05:13:11.417]  _______________</t>
  </si>
  <si>
    <t>[2023-05-30 05:21:23.911]  Event 01</t>
  </si>
  <si>
    <t>[2023-05-30 05:05:11.786]  Event 21 of 22 @ 04/20/23 00:00:00</t>
  </si>
  <si>
    <t xml:space="preserve">[2023-05-30 05:13:11.434] </t>
  </si>
  <si>
    <t xml:space="preserve">[2023-05-30 05:21:23.926] </t>
  </si>
  <si>
    <t>[2023-05-30 05:05:11.847]  Event 22 of 22 @ 05/07/23 00:00:00</t>
  </si>
  <si>
    <t>[2023-05-30 05:21:24.230]  Scheduled start time:  05/15/2022 00:00:00</t>
  </si>
  <si>
    <t xml:space="preserve">[2023-05-30 05:05:11.881] </t>
  </si>
  <si>
    <t>[2023-05-30 05:13:11.449]  Event 01</t>
  </si>
  <si>
    <t>[2023-05-30 05:21:24.581]  Event start time:      05/15/2022 00:00:00</t>
  </si>
  <si>
    <t>[2023-05-30 05:05:11.881]  DEPLOYMENT DATA</t>
  </si>
  <si>
    <t xml:space="preserve">[2023-05-30 05:13:11.465] </t>
  </si>
  <si>
    <t>[2023-05-30 05:21:24.934]  Event stop time:       05/15/2022 00:00:28</t>
  </si>
  <si>
    <t>[2023-05-30 05:05:11.897]  _______________</t>
  </si>
  <si>
    <t>[2023-05-30 05:13:11.772]  Scheduled start time:  05/15/2022 00:00:00</t>
  </si>
  <si>
    <t xml:space="preserve">[2023-05-30 05:21:24.983] </t>
  </si>
  <si>
    <t xml:space="preserve">[2023-05-30 05:05:11.927] </t>
  </si>
  <si>
    <t>[2023-05-30 05:13:12.121]  Event start time:      05/15/2022 00:00:00</t>
  </si>
  <si>
    <t>[2023-05-30 05:21:25.028]          Aligned  Battery  Temperature  Tilt  Heading</t>
  </si>
  <si>
    <t>[2023-05-30 05:05:11.927]  Event 01</t>
  </si>
  <si>
    <t>[2023-05-30 05:13:12.473]  Event stop time:       05/15/2022 00:00:28</t>
  </si>
  <si>
    <t>[2023-05-30 05:21:25.190]  Start:     Y       19.9        2øC       2ø    260ø</t>
  </si>
  <si>
    <t xml:space="preserve">[2023-05-30 05:13:12.522] </t>
  </si>
  <si>
    <t>[2023-05-30 05:21:25.350]  Stop:      Y       19.5        3øC       2ø    266ø</t>
  </si>
  <si>
    <t>[2023-05-30 05:05:11.927]  Scheduled start time:  05/15/22 00:00:00</t>
  </si>
  <si>
    <t>[2023-05-30 05:13:12.569]          Aligned  Battery  Temperature  Tilt  Heading</t>
  </si>
  <si>
    <t xml:space="preserve">[2023-05-30 05:21:25.397] </t>
  </si>
  <si>
    <t>[2023-05-30 05:05:11.995]  Event start time:      05/15/22 00:00:02</t>
  </si>
  <si>
    <t>[2023-05-30 05:13:12.727]  Start:     Y       20.0        4øC       1ø    317ø</t>
  </si>
  <si>
    <t>[2023-05-30 05:21:25.412]  Event 02</t>
  </si>
  <si>
    <t>[2023-05-30 05:05:12.057]  Event stop time:       05/15/22 00:00:29</t>
  </si>
  <si>
    <t>[2023-05-30 05:13:12.888]  Stop:      Y       19.7        4øC       1ø    305ø</t>
  </si>
  <si>
    <t xml:space="preserve">[2023-05-30 05:21:25.429] </t>
  </si>
  <si>
    <t>[2023-05-30 05:05:12.120]  Event duration:        27 seconds</t>
  </si>
  <si>
    <t xml:space="preserve">[2023-05-30 05:13:12.937] </t>
  </si>
  <si>
    <t>[2023-05-30 05:21:25.732]  Scheduled start time:  06/01/2022 00:00:00</t>
  </si>
  <si>
    <t xml:space="preserve">[2023-05-30 05:05:12.154] </t>
  </si>
  <si>
    <t>[2023-05-30 05:13:12.952]  Event 02</t>
  </si>
  <si>
    <t>[2023-05-30 05:21:26.086]  Event start time:      06/01/2022 00:00:00</t>
  </si>
  <si>
    <t>[2023-05-30 05:05:12.154]       Aligned    Battery Temperature</t>
  </si>
  <si>
    <t xml:space="preserve">[2023-05-30 05:13:12.970] </t>
  </si>
  <si>
    <t>[2023-05-30 05:21:26.436]  Event stop time:       06/01/2022 00:00:28</t>
  </si>
  <si>
    <t>[2023-05-30 05:05:12.200]  Start:     Y       20.3      1.4°C</t>
  </si>
  <si>
    <t>[2023-05-30 05:13:13.274]  Scheduled start time:  06/01/2022 00:00:00</t>
  </si>
  <si>
    <t xml:space="preserve">[2023-05-30 05:21:26.486] </t>
  </si>
  <si>
    <t>[2023-05-30 05:05:12.246]  Stop:      Y       19.9      1.5°C</t>
  </si>
  <si>
    <t>[2023-05-30 05:13:13.625]  Event start time:      06/01/2022 00:00:00</t>
  </si>
  <si>
    <t>[2023-05-30 05:21:26.533]          Aligned  Battery  Temperature  Tilt  Heading</t>
  </si>
  <si>
    <t xml:space="preserve">[2023-05-30 05:05:12.280] </t>
  </si>
  <si>
    <t>[2023-05-30 05:13:13.976]  Event stop time:       06/01/2022 00:00:28</t>
  </si>
  <si>
    <t>[2023-05-30 05:21:26.693]  Start:     Y       19.6        2øC       2ø    266ø</t>
  </si>
  <si>
    <t>[2023-05-30 05:05:12.280]  Event 02</t>
  </si>
  <si>
    <t xml:space="preserve">[2023-05-30 05:13:14.028] </t>
  </si>
  <si>
    <t>[2023-05-30 05:21:26.852]  Stop:      Y       19.2        3øC       1ø    260ø</t>
  </si>
  <si>
    <t xml:space="preserve">[2023-05-30 05:05:12.296] </t>
  </si>
  <si>
    <t>[2023-05-30 05:13:14.072]          Aligned  Battery  Temperature  Tilt  Heading</t>
  </si>
  <si>
    <t xml:space="preserve">[2023-05-30 05:21:26.902] </t>
  </si>
  <si>
    <t>[2023-05-30 05:05:12.296]  Scheduled start time:  06/01/22 00:00:00</t>
  </si>
  <si>
    <t>[2023-05-30 05:13:14.233]  Start:     Y       19.7        4øC       1ø    325ø</t>
  </si>
  <si>
    <t>[2023-05-30 05:21:26.916]  Event 03</t>
  </si>
  <si>
    <t>[2023-05-30 05:05:12.362]  Event start time:      06/01/22 00:00:02</t>
  </si>
  <si>
    <t>[2023-05-30 05:13:14.394]  Stop:      Y       19.3        4øC       1ø    330ø</t>
  </si>
  <si>
    <t xml:space="preserve">[2023-05-30 05:21:26.934] </t>
  </si>
  <si>
    <t>[2023-05-30 05:05:12.424]  Event stop time:       06/01/22 00:00:29</t>
  </si>
  <si>
    <t xml:space="preserve">[2023-05-30 05:13:14.457] </t>
  </si>
  <si>
    <t>[2023-05-30 05:21:27.235]  Scheduled start time:  06/18/2022 00:00:00</t>
  </si>
  <si>
    <t>[2023-05-30 05:05:12.488]  Event duration:        27 seconds</t>
  </si>
  <si>
    <t>[2023-05-30 05:13:14.457]  Event 03</t>
  </si>
  <si>
    <t>[2023-05-30 05:21:27.587]  Event start time:      06/18/2022 00:00:00</t>
  </si>
  <si>
    <t xml:space="preserve">[2023-05-30 05:05:12.522] </t>
  </si>
  <si>
    <t xml:space="preserve">[2023-05-30 05:13:14.473] </t>
  </si>
  <si>
    <t>[2023-05-30 05:21:27.941]  Event stop time:       06/18/2022 00:00:28</t>
  </si>
  <si>
    <t>[2023-05-30 05:05:12.522]       Aligned    Battery Temperature</t>
  </si>
  <si>
    <t>[2023-05-30 05:13:14.775]  Scheduled start time:  06/18/2022 00:00:00</t>
  </si>
  <si>
    <t xml:space="preserve">[2023-05-30 05:21:27.990] </t>
  </si>
  <si>
    <t>[2023-05-30 05:05:12.572]  Start:     Y       20.0      1.3°C</t>
  </si>
  <si>
    <t>[2023-05-30 05:13:15.130]  Event start time:      06/18/2022 00:00:00</t>
  </si>
  <si>
    <t>[2023-05-30 05:21:28.035]          Aligned  Battery  Temperature  Tilt  Heading</t>
  </si>
  <si>
    <t>[2023-05-30 05:05:12.601]  Stop:      Y       19.7      1.5°C</t>
  </si>
  <si>
    <t>[2023-05-30 05:13:15.479]  Event stop time:       06/18/2022 00:00:28</t>
  </si>
  <si>
    <t>[2023-05-30 05:21:28.197]  Start:     Y       19.2        2øC       2ø    288ø</t>
  </si>
  <si>
    <t xml:space="preserve">[2023-05-30 05:05:12.648] </t>
  </si>
  <si>
    <t xml:space="preserve">[2023-05-30 05:13:15.528] </t>
  </si>
  <si>
    <t>[2023-05-30 05:21:28.354]  Stop:      Y       18.8        3øC       1ø    290ø</t>
  </si>
  <si>
    <t>[2023-05-30 05:05:12.648]  Event 03</t>
  </si>
  <si>
    <t>[2023-05-30 05:13:15.575]          Aligned  Battery  Temperature  Tilt  Heading</t>
  </si>
  <si>
    <t xml:space="preserve">[2023-05-30 05:21:28.426] </t>
  </si>
  <si>
    <t xml:space="preserve">[2023-05-30 05:05:12.664] </t>
  </si>
  <si>
    <t>[2023-05-30 05:13:15.737]  Start:     Y       19.4        4øC       1ø    359ø</t>
  </si>
  <si>
    <t>[2023-05-30 05:21:28.426]  Event 04</t>
  </si>
  <si>
    <t>[2023-05-30 05:05:12.664]  Scheduled start time:  06/18/22 00:00:00</t>
  </si>
  <si>
    <t>[2023-05-30 05:13:15.897]  Stop:      Y       19.0        4øC       1ø    357ø</t>
  </si>
  <si>
    <t xml:space="preserve">[2023-05-30 05:21:28.440] </t>
  </si>
  <si>
    <t>[2023-05-30 05:05:12.726]  Event start time:      06/18/22 00:00:02</t>
  </si>
  <si>
    <t xml:space="preserve">[2023-05-30 05:13:15.962] </t>
  </si>
  <si>
    <t>[2023-05-30 05:21:28.741]  Scheduled start time:  07/05/2022 00:00:00</t>
  </si>
  <si>
    <t>[2023-05-30 05:05:12.777]  Event stop time:       06/18/22 00:00:29</t>
  </si>
  <si>
    <t>[2023-05-30 05:13:15.962]  Event 04</t>
  </si>
  <si>
    <t>[2023-05-30 05:21:29.091]  Event start time:      07/05/2022 00:00:00</t>
  </si>
  <si>
    <t>[2023-05-30 05:05:12.840]  Event duration:        27 seconds</t>
  </si>
  <si>
    <t xml:space="preserve">[2023-05-30 05:13:15.977] </t>
  </si>
  <si>
    <t>[2023-05-30 05:21:29.442]  Event stop time:       07/05/2022 00:00:28</t>
  </si>
  <si>
    <t xml:space="preserve">[2023-05-30 05:05:12.887] </t>
  </si>
  <si>
    <t>[2023-05-30 05:13:16.280]  Scheduled start time:  07/05/2022 00:00:00</t>
  </si>
  <si>
    <t xml:space="preserve">[2023-05-30 05:21:29.493] </t>
  </si>
  <si>
    <t>[2023-05-30 05:05:12.887]       Aligned    Battery Temperature</t>
  </si>
  <si>
    <t>[2023-05-30 05:13:16.634]  Event start time:      07/05/2022 00:00:00</t>
  </si>
  <si>
    <t>[2023-05-30 05:21:29.539]          Aligned  Battery  Temperature  Tilt  Heading</t>
  </si>
  <si>
    <t>[2023-05-30 05:05:12.920]  Start:     Y       19.8      1.4°C</t>
  </si>
  <si>
    <t>[2023-05-30 05:13:16.982]  Event stop time:       07/05/2022 00:00:28</t>
  </si>
  <si>
    <t>[2023-05-30 05:21:29.701]  Start:     Y       18.9        2øC       2ø    324ø</t>
  </si>
  <si>
    <t>[2023-05-30 05:05:12.968]  Stop:      Y       19.4      1.5°C</t>
  </si>
  <si>
    <t xml:space="preserve">[2023-05-30 05:13:17.047] </t>
  </si>
  <si>
    <t>[2023-05-30 05:21:29.862]  Stop:      Y       18.5        3øC       2ø    320ø</t>
  </si>
  <si>
    <t xml:space="preserve">[2023-05-30 05:05:13.000] </t>
  </si>
  <si>
    <t>[2023-05-30 05:13:17.078]          Aligned  Battery  Temperature  Tilt  Heading</t>
  </si>
  <si>
    <t xml:space="preserve">[2023-05-30 05:21:29.929] </t>
  </si>
  <si>
    <t>[2023-05-30 05:05:13.000]  Event 04</t>
  </si>
  <si>
    <t>[2023-05-30 05:13:17.240]  Start:     Y       19.1        4øC       1ø    339ø</t>
  </si>
  <si>
    <t>[2023-05-30 05:21:29.930]  Event 05</t>
  </si>
  <si>
    <t xml:space="preserve">[2023-05-30 05:05:13.016] </t>
  </si>
  <si>
    <t>[2023-05-30 05:13:17.398]  Stop:      Y       18.7        4øC       1ø    335ø</t>
  </si>
  <si>
    <t xml:space="preserve">[2023-05-30 05:21:29.943] </t>
  </si>
  <si>
    <t>[2023-05-30 05:05:13.016]  Scheduled start time:  07/05/22 00:00:00</t>
  </si>
  <si>
    <t xml:space="preserve">[2023-05-30 05:13:17.464] </t>
  </si>
  <si>
    <t>[2023-05-30 05:21:30.244]  Scheduled start time:  07/22/2022 00:00:00</t>
  </si>
  <si>
    <t>[2023-05-30 05:05:13.080]  Event start time:      07/05/22 00:00:02</t>
  </si>
  <si>
    <t>[2023-05-30 05:13:17.464]  Event 05</t>
  </si>
  <si>
    <t>[2023-05-30 05:21:30.596]  Event start time:      07/22/2022 00:00:00</t>
  </si>
  <si>
    <t>[2023-05-30 05:05:13.145]  Event stop time:       07/05/22 00:00:29</t>
  </si>
  <si>
    <t xml:space="preserve">[2023-05-30 05:13:17.480] </t>
  </si>
  <si>
    <t>[2023-05-30 05:21:30.946]  Event stop time:       07/22/2022 00:00:28</t>
  </si>
  <si>
    <t>[2023-05-30 05:05:13.209]  Event duration:        27 seconds</t>
  </si>
  <si>
    <t>[2023-05-30 05:13:17.784]  Scheduled start time:  07/22/2022 00:00:00</t>
  </si>
  <si>
    <t xml:space="preserve">[2023-05-30 05:21:31.011] </t>
  </si>
  <si>
    <t xml:space="preserve">[2023-05-30 05:05:13.239] </t>
  </si>
  <si>
    <t>[2023-05-30 05:13:18.134]  Event start time:      07/22/2022 00:00:00</t>
  </si>
  <si>
    <t>[2023-05-30 05:21:31.043]          Aligned  Battery  Temperature  Tilt  Heading</t>
  </si>
  <si>
    <t>[2023-05-30 05:05:13.239]       Aligned    Battery Temperature</t>
  </si>
  <si>
    <t>[2023-05-30 05:13:18.504]  Event stop time:       07/22/2022 00:00:28</t>
  </si>
  <si>
    <t>[2023-05-30 05:21:31.202]  Start:     Y       18.7        2øC       2ø    344ø</t>
  </si>
  <si>
    <t>[2023-05-30 05:05:13.287]  Start:     Y       19.6      1.4°C</t>
  </si>
  <si>
    <t xml:space="preserve">[2023-05-30 05:13:18.551] </t>
  </si>
  <si>
    <t>[2023-05-30 05:21:31.361]  Stop:      Y       18.2        3øC       2ø    343ø</t>
  </si>
  <si>
    <t>[2023-05-30 05:05:13.320]  Stop:      Y       19.2      1.5°C</t>
  </si>
  <si>
    <t>[2023-05-30 05:13:18.597]          Aligned  Battery  Temperature  Tilt  Heading</t>
  </si>
  <si>
    <t xml:space="preserve">[2023-05-30 05:21:31.429] </t>
  </si>
  <si>
    <t xml:space="preserve">[2023-05-30 05:05:13.369] </t>
  </si>
  <si>
    <t>[2023-05-30 05:13:18.758]  Start:     Y       18.8        4øC       1ø      0ø</t>
  </si>
  <si>
    <t>[2023-05-30 05:21:31.429]  Event 06</t>
  </si>
  <si>
    <t>[2023-05-30 05:05:13.369]  Event 05</t>
  </si>
  <si>
    <t>[2023-05-30 05:13:18.916]  Stop:      Y       18.4        4øC       1ø    356ø</t>
  </si>
  <si>
    <t xml:space="preserve">[2023-05-30 05:21:31.443] </t>
  </si>
  <si>
    <t xml:space="preserve">[2023-05-30 05:05:13.386] </t>
  </si>
  <si>
    <t xml:space="preserve">[2023-05-30 05:13:18.966] </t>
  </si>
  <si>
    <t>[2023-05-30 05:21:31.746]  Scheduled start time:  08/08/2022 00:00:00</t>
  </si>
  <si>
    <t>[2023-05-30 05:05:13.386]  Scheduled start time:  07/22/22 00:00:00</t>
  </si>
  <si>
    <t>[2023-05-30 05:13:18.980]  Event 06</t>
  </si>
  <si>
    <t>[2023-05-30 05:21:32.098]  Event start time:      08/08/2022 00:00:00</t>
  </si>
  <si>
    <t>[2023-05-30 05:05:13.447]  Event start time:      07/22/22 00:00:02</t>
  </si>
  <si>
    <t xml:space="preserve">[2023-05-30 05:13:19.000] </t>
  </si>
  <si>
    <t>[2023-05-30 05:21:32.465]  Event stop time:       08/08/2022 00:00:28</t>
  </si>
  <si>
    <t>[2023-05-30 05:05:13.512]  Event stop time:       07/22/22 00:00:29</t>
  </si>
  <si>
    <t>[2023-05-30 05:13:19.301]  Scheduled start time:  08/08/2022 00:00:00</t>
  </si>
  <si>
    <t xml:space="preserve">[2023-05-30 05:21:32.514] </t>
  </si>
  <si>
    <t>[2023-05-30 05:05:13.562]  Event duration:        27 seconds</t>
  </si>
  <si>
    <t>[2023-05-30 05:13:19.655]  Event start time:      08/08/2022 00:00:00</t>
  </si>
  <si>
    <t>[2023-05-30 05:21:32.560]          Aligned  Battery  Temperature  Tilt  Heading</t>
  </si>
  <si>
    <t xml:space="preserve">[2023-05-30 05:05:13.607] </t>
  </si>
  <si>
    <t>[2023-05-30 05:13:20.006]  Event stop time:       08/08/2022 00:00:28</t>
  </si>
  <si>
    <t>[2023-05-30 05:21:32.721]  Start:     Y       18.5        2øC       2ø    349ø</t>
  </si>
  <si>
    <t>[2023-05-30 05:05:13.607]       Aligned    Battery Temperature</t>
  </si>
  <si>
    <t xml:space="preserve">[2023-05-30 05:13:20.055] </t>
  </si>
  <si>
    <t>[2023-05-30 05:21:32.865]  Stop:      Y       18.0        3øC       1ø    336ø</t>
  </si>
  <si>
    <t>[2023-05-30 05:05:13.653]  Start:     Y       19.4      1.4°C</t>
  </si>
  <si>
    <t>[2023-05-30 05:13:20.101]          Aligned  Battery  Temperature  Tilt  Heading</t>
  </si>
  <si>
    <t xml:space="preserve">[2023-05-30 05:21:32.929] </t>
  </si>
  <si>
    <t>[2023-05-30 05:05:13.688]  Stop:      Y       19.0      1.5°C</t>
  </si>
  <si>
    <t>[2023-05-30 05:13:20.260]  Start:     Y       18.6        4øC       1ø     16ø</t>
  </si>
  <si>
    <t>[2023-05-30 05:21:32.944]  Event 07</t>
  </si>
  <si>
    <t xml:space="preserve">[2023-05-30 05:05:13.737] </t>
  </si>
  <si>
    <t>[2023-05-30 05:13:20.420]  Stop:      Y       18.3        4øC       0ø    342ø</t>
  </si>
  <si>
    <t xml:space="preserve">[2023-05-30 05:21:32.960] </t>
  </si>
  <si>
    <t>[2023-05-30 05:05:13.737]  Event 06</t>
  </si>
  <si>
    <t xml:space="preserve">[2023-05-30 05:13:20.487] </t>
  </si>
  <si>
    <t>[2023-05-30 05:21:33.264]  Scheduled start time:  08/25/2022 00:00:00</t>
  </si>
  <si>
    <t>[2023-05-30 05:13:20.487]  Event 07</t>
  </si>
  <si>
    <t>[2023-05-30 05:21:33.616]  Event start time:      08/25/2022 00:00:00</t>
  </si>
  <si>
    <t>[2023-05-30 05:05:13.737]  Scheduled start time:  08/08/22 00:00:00</t>
  </si>
  <si>
    <t xml:space="preserve">[2023-05-30 05:13:20.504] </t>
  </si>
  <si>
    <t>[2023-05-30 05:21:33.968]  Event stop time:       08/25/2022 00:00:28</t>
  </si>
  <si>
    <t>[2023-05-30 05:05:13.801]  Event start time:      08/08/22 00:00:02</t>
  </si>
  <si>
    <t>[2023-05-30 05:13:20.805]  Scheduled start time:  08/25/2022 00:00:00</t>
  </si>
  <si>
    <t xml:space="preserve">[2023-05-30 05:21:34.017] </t>
  </si>
  <si>
    <t>[2023-05-30 05:05:13.863]  Event stop time:       08/08/22 00:00:29</t>
  </si>
  <si>
    <t>[2023-05-30 05:13:21.155]  Event start time:      08/25/2022 00:00:00</t>
  </si>
  <si>
    <t>[2023-05-30 05:21:34.063]          Aligned  Battery  Temperature  Tilt  Heading</t>
  </si>
  <si>
    <t>[2023-05-30 05:05:13.928]  Event duration:        27 seconds</t>
  </si>
  <si>
    <t>[2023-05-30 05:13:21.509]  Event stop time:       08/25/2022 00:00:28</t>
  </si>
  <si>
    <t>[2023-05-30 05:21:34.224]  Start:     Y       17.8        2øC       2ø    258ø</t>
  </si>
  <si>
    <t xml:space="preserve">[2023-05-30 05:05:13.960] </t>
  </si>
  <si>
    <t xml:space="preserve">[2023-05-30 05:13:21.573] </t>
  </si>
  <si>
    <t>[2023-05-30 05:21:34.385]  Stop:      Y       17.3        3øC       2ø    258ø</t>
  </si>
  <si>
    <t>[2023-05-30 05:05:13.960]       Aligned    Battery Temperature</t>
  </si>
  <si>
    <t>[2023-05-30 05:13:21.603]          Aligned  Battery  Temperature  Tilt  Heading</t>
  </si>
  <si>
    <t xml:space="preserve">[2023-05-30 05:21:34.432] </t>
  </si>
  <si>
    <t>[2023-05-30 05:05:14.006]  Start:     Y       19.2      1.2°C</t>
  </si>
  <si>
    <t>[2023-05-30 05:13:21.765]  Start:     Y       18.2        4øC       0ø    324ø</t>
  </si>
  <si>
    <t>[2023-05-30 05:21:34.448]  Event 08</t>
  </si>
  <si>
    <t>[2023-05-30 05:05:14.053]  Stop:      Y       18.8      1.4°C</t>
  </si>
  <si>
    <t>[2023-05-30 05:13:21.925]  Stop:      Y       17.8        4øC       0ø    294ø</t>
  </si>
  <si>
    <t xml:space="preserve">[2023-05-30 05:21:34.464] </t>
  </si>
  <si>
    <t xml:space="preserve">[2023-05-30 05:05:14.087] </t>
  </si>
  <si>
    <t xml:space="preserve">[2023-05-30 05:13:21.989] </t>
  </si>
  <si>
    <t>[2023-05-30 05:21:34.768]  Scheduled start time:  09/11/2022 00:00:00</t>
  </si>
  <si>
    <t>[2023-05-30 05:05:14.087]  Event 07</t>
  </si>
  <si>
    <t>[2023-05-30 05:13:21.989]  Event 08</t>
  </si>
  <si>
    <t>[2023-05-30 05:21:35.119]  Event start time:      09/11/2022 00:00:00</t>
  </si>
  <si>
    <t xml:space="preserve">[2023-05-30 05:05:14.104] </t>
  </si>
  <si>
    <t xml:space="preserve">[2023-05-30 05:13:22.007] </t>
  </si>
  <si>
    <t>[2023-05-30 05:21:35.471]  Event stop time:       09/11/2022 00:00:28</t>
  </si>
  <si>
    <t>[2023-05-30 05:05:14.104]  Scheduled start time:  08/25/22 00:00:00</t>
  </si>
  <si>
    <t>[2023-05-30 05:13:22.307]  Scheduled start time:  09/11/2022 00:00:00</t>
  </si>
  <si>
    <t xml:space="preserve">[2023-05-30 05:21:35.520] </t>
  </si>
  <si>
    <t>[2023-05-30 05:05:14.167]  Event start time:      08/25/22 00:00:02</t>
  </si>
  <si>
    <t>[2023-05-30 05:13:22.660]  Event start time:      09/11/2022 00:00:00</t>
  </si>
  <si>
    <t>[2023-05-30 05:21:35.567]          Aligned  Battery  Temperature  Tilt  Heading</t>
  </si>
  <si>
    <t>[2023-05-30 05:05:14.234]  Event stop time:       08/25/22 00:00:29</t>
  </si>
  <si>
    <t>[2023-05-30 05:13:23.027]  Event stop time:       09/11/2022 00:00:28</t>
  </si>
  <si>
    <t>[2023-05-30 05:21:35.727]  Start:     Y       16.2        2øC       2ø    283ø</t>
  </si>
  <si>
    <t>[2023-05-30 05:05:14.296]  Event duration:        27 seconds</t>
  </si>
  <si>
    <t xml:space="preserve">[2023-05-30 05:13:23.078] </t>
  </si>
  <si>
    <t>[2023-05-30 05:21:35.887]  Stop:      Y       15.1        3øC       2ø    280ø</t>
  </si>
  <si>
    <t xml:space="preserve">[2023-05-30 05:05:14.327] </t>
  </si>
  <si>
    <t>[2023-05-30 05:13:23.122]          Aligned  Battery  Temperature  Tilt  Heading</t>
  </si>
  <si>
    <t xml:space="preserve">[2023-05-30 05:21:35.951] </t>
  </si>
  <si>
    <t>[2023-05-30 05:05:14.327]       Aligned    Battery Temperature</t>
  </si>
  <si>
    <t>[2023-05-30 05:13:23.283]  Start:     Y       16.5        4øC       0ø    293ø</t>
  </si>
  <si>
    <t>[2023-05-30 05:21:35.951]  Event 09</t>
  </si>
  <si>
    <t>[2023-05-30 05:05:14.374]  Start:     Y       19.1      1.2°C</t>
  </si>
  <si>
    <t>[2023-05-30 05:13:23.426]  Stop:      Y       15.7        4øC       0ø    288ø</t>
  </si>
  <si>
    <t xml:space="preserve">[2023-05-30 05:21:35.967] </t>
  </si>
  <si>
    <t>[2023-05-30 05:05:14.407]  Stop:      Y       18.6      1.3°C</t>
  </si>
  <si>
    <t xml:space="preserve">[2023-05-30 05:13:23.492] </t>
  </si>
  <si>
    <t>[2023-05-30 05:21:36.270]  Scheduled start time:  09/28/2022 00:00:00</t>
  </si>
  <si>
    <t xml:space="preserve">[2023-05-30 05:05:14.455] </t>
  </si>
  <si>
    <t>[2023-05-30 05:13:23.507]  Event 09</t>
  </si>
  <si>
    <t>[2023-05-30 05:21:36.623]  Event start time:      09/28/2022 00:00:00</t>
  </si>
  <si>
    <t>[2023-05-30 05:05:14.455]  Event 08</t>
  </si>
  <si>
    <t xml:space="preserve">[2023-05-30 05:13:23.524] </t>
  </si>
  <si>
    <t>[2023-05-30 05:21:36.975]  Event stop time:       09/28/2022 00:00:28</t>
  </si>
  <si>
    <t xml:space="preserve">[2023-05-30 05:05:14.471] </t>
  </si>
  <si>
    <t>[2023-05-30 05:13:23.826]  Scheduled start time:  09/28/2022 00:00:00</t>
  </si>
  <si>
    <t xml:space="preserve">[2023-05-30 05:21:37.023] </t>
  </si>
  <si>
    <t>[2023-05-30 05:05:14.471]  Scheduled start time:  09/11/22 00:00:00</t>
  </si>
  <si>
    <t>[2023-05-30 05:13:24.179]  Event start time:      09/28/2022 00:00:00</t>
  </si>
  <si>
    <t>[2023-05-30 05:21:37.070]          Aligned  Battery  Temperature  Tilt  Heading</t>
  </si>
  <si>
    <t>[2023-05-30 05:05:14.538]  Event start time:      09/11/22 00:00:02</t>
  </si>
  <si>
    <t>[2023-05-30 05:13:24.530]  Event stop time:       09/28/2022 00:00:28</t>
  </si>
  <si>
    <t>[2023-05-30 05:21:37.230]  Start:     Y       16.6        2øC       2ø    316ø</t>
  </si>
  <si>
    <t>[2023-05-30 05:05:14.584]  Event stop time:       09/11/22 00:00:29</t>
  </si>
  <si>
    <t xml:space="preserve">[2023-05-30 05:13:24.581] </t>
  </si>
  <si>
    <t>[2023-05-30 05:21:37.390]  Stop:      Y       15.7        3øC       2ø    310ø</t>
  </si>
  <si>
    <t>[2023-05-30 05:05:14.648]  Event duration:        27 seconds</t>
  </si>
  <si>
    <t>[2023-05-30 05:13:24.625]          Aligned  Battery  Temperature  Tilt  Heading</t>
  </si>
  <si>
    <t xml:space="preserve">[2023-05-30 05:21:37.454] </t>
  </si>
  <si>
    <t xml:space="preserve">[2023-05-30 05:05:14.696] </t>
  </si>
  <si>
    <t>[2023-05-30 05:13:24.784]  Start:     Y       16.5        4øC       1ø     26ø</t>
  </si>
  <si>
    <t>[2023-05-30 05:21:37.455]  Event 10</t>
  </si>
  <si>
    <t>[2023-05-30 05:05:14.696]       Aligned    Battery Temperature</t>
  </si>
  <si>
    <t>[2023-05-30 05:13:24.945]  Stop:      Y       15.7        4øC       0ø      4ø</t>
  </si>
  <si>
    <t xml:space="preserve">[2023-05-30 05:21:37.471] </t>
  </si>
  <si>
    <t>[2023-05-30 05:05:14.729]  Start:     Y       18.9      1.3°C</t>
  </si>
  <si>
    <t xml:space="preserve">[2023-05-30 05:13:25.011] </t>
  </si>
  <si>
    <t>[2023-05-30 05:21:37.775]  Scheduled start time:  10/15/2022 00:00:00</t>
  </si>
  <si>
    <t>[2023-05-30 05:05:14.776]  Stop:      Y       18.5      1.4°C</t>
  </si>
  <si>
    <t>[2023-05-30 05:13:25.011]  Event 10</t>
  </si>
  <si>
    <t>[2023-05-30 05:21:38.126]  Event start time:      10/15/2022 00:00:00</t>
  </si>
  <si>
    <t xml:space="preserve">[2023-05-30 05:05:14.808] </t>
  </si>
  <si>
    <t xml:space="preserve">[2023-05-30 05:13:25.031] </t>
  </si>
  <si>
    <t>[2023-05-30 05:21:38.494]  Event stop time:       10/15/2022 00:00:28</t>
  </si>
  <si>
    <t>[2023-05-30 05:05:14.808]  Event 09</t>
  </si>
  <si>
    <t>[2023-05-30 05:13:25.330]  Scheduled start time:  10/15/2022 00:00:00</t>
  </si>
  <si>
    <t xml:space="preserve">[2023-05-30 05:21:38.543] </t>
  </si>
  <si>
    <t xml:space="preserve">[2023-05-30 05:05:14.823] </t>
  </si>
  <si>
    <t>[2023-05-30 05:13:25.682]  Event start time:      10/15/2022 00:00:00</t>
  </si>
  <si>
    <t>[2023-05-30 05:21:38.589]          Aligned  Battery  Temperature  Tilt  Heading</t>
  </si>
  <si>
    <t>[2023-05-30 05:05:14.823]  Scheduled start time:  09/28/22 00:00:00</t>
  </si>
  <si>
    <t>[2023-05-30 05:13:26.033]  Event stop time:       10/15/2022 00:00:28</t>
  </si>
  <si>
    <t>[2023-05-30 05:21:38.750]  Start:     Y       17.1        2øC       2ø    301ø</t>
  </si>
  <si>
    <t>[2023-05-30 05:05:14.888]  Event start time:      09/28/22 00:00:02</t>
  </si>
  <si>
    <t xml:space="preserve">[2023-05-30 05:13:26.097] </t>
  </si>
  <si>
    <t>[2023-05-30 05:21:38.894]  Stop:      Y       16.4        3øC       2ø    295ø</t>
  </si>
  <si>
    <t>[2023-05-30 05:05:14.952]  Event stop time:       09/28/22 00:00:29</t>
  </si>
  <si>
    <t>[2023-05-30 05:13:26.144]          Aligned  Battery  Temperature  Tilt  Heading</t>
  </si>
  <si>
    <t xml:space="preserve">[2023-05-30 05:21:38.958] </t>
  </si>
  <si>
    <t>[2023-05-30 05:05:15.014]  Event duration:        27 seconds</t>
  </si>
  <si>
    <t>[2023-05-30 05:13:26.306]  Start:     Y       17.1        4øC       1ø      5ø</t>
  </si>
  <si>
    <t>[2023-05-30 05:21:38.974]  Event 11</t>
  </si>
  <si>
    <t xml:space="preserve">[2023-05-30 05:05:15.050] </t>
  </si>
  <si>
    <t>[2023-05-30 05:13:26.449]  Stop:      Y       16.5        4øC       1ø    345ø</t>
  </si>
  <si>
    <t xml:space="preserve">[2023-05-30 05:21:38.990] </t>
  </si>
  <si>
    <t>[2023-05-30 05:05:15.050]       Aligned    Battery Temperature</t>
  </si>
  <si>
    <t xml:space="preserve">[2023-05-30 05:13:26.514] </t>
  </si>
  <si>
    <t>[2023-05-30 05:21:39.294]  Scheduled start time:  11/01/2022 00:00:00</t>
  </si>
  <si>
    <t>[2023-05-30 05:05:15.095]  Start:     Y       18.8      1.3°C</t>
  </si>
  <si>
    <t>[2023-05-30 05:13:26.529]  Event 11</t>
  </si>
  <si>
    <t>[2023-05-30 05:21:39.645]  Event start time:      11/01/2022 00:00:00</t>
  </si>
  <si>
    <t>[2023-05-30 05:05:15.127]  Stop:      Y       18.4      1.4°C</t>
  </si>
  <si>
    <t xml:space="preserve">[2023-05-30 05:13:26.545] </t>
  </si>
  <si>
    <t>[2023-05-30 05:21:39.998]  Event stop time:       11/01/2022 00:00:28</t>
  </si>
  <si>
    <t xml:space="preserve">[2023-05-30 05:05:15.174] </t>
  </si>
  <si>
    <t>[2023-05-30 05:13:26.849]  Scheduled start time:  11/01/2022 00:00:00</t>
  </si>
  <si>
    <t xml:space="preserve">[2023-05-30 05:21:40.046] </t>
  </si>
  <si>
    <t>[2023-05-30 05:05:15.174]  Event 10</t>
  </si>
  <si>
    <t>[2023-05-30 05:13:27.199]  Event start time:      11/01/2022 00:00:00</t>
  </si>
  <si>
    <t>[2023-05-30 05:21:40.093]          Aligned  Battery  Temperature  Tilt  Heading</t>
  </si>
  <si>
    <t xml:space="preserve">[2023-05-30 05:05:15.190] </t>
  </si>
  <si>
    <t>[2023-05-30 05:13:27.551]  Event stop time:       11/01/2022 00:00:28</t>
  </si>
  <si>
    <t>[2023-05-30 05:21:40.253]  Start:     Y       17.2        2øC       2ø     30ø</t>
  </si>
  <si>
    <t>[2023-05-30 05:05:15.190]  Scheduled start time:  10/15/22 00:00:00</t>
  </si>
  <si>
    <t xml:space="preserve">[2023-05-30 05:13:27.602] </t>
  </si>
  <si>
    <t>[2023-05-30 05:21:40.414]  Stop:      Y       16.7        3øC       2ø     43ø</t>
  </si>
  <si>
    <t>[2023-05-30 05:05:15.255]  Event start time:      10/15/22 00:00:02</t>
  </si>
  <si>
    <t>[2023-05-30 05:13:27.648]          Aligned  Battery  Temperature  Tilt  Heading</t>
  </si>
  <si>
    <t xml:space="preserve">[2023-05-30 05:21:40.479] </t>
  </si>
  <si>
    <t>[2023-05-30 05:05:15.319]  Event stop time:       10/15/22 00:00:29</t>
  </si>
  <si>
    <t>[2023-05-30 05:13:27.807]  Start:     Y       17.3        4øC       0ø     55ø</t>
  </si>
  <si>
    <t>[2023-05-30 05:21:40.479]  Event 12</t>
  </si>
  <si>
    <t>[2023-05-30 05:05:15.370]  Event duration:        27 seconds</t>
  </si>
  <si>
    <t>[2023-05-30 05:13:27.967]  Stop:      Y       16.8        4øC       0ø     50ø</t>
  </si>
  <si>
    <t xml:space="preserve">[2023-05-30 05:21:40.493] </t>
  </si>
  <si>
    <t xml:space="preserve">[2023-05-30 05:05:15.414] </t>
  </si>
  <si>
    <t xml:space="preserve">[2023-05-30 05:13:28.036] </t>
  </si>
  <si>
    <t>[2023-05-30 05:21:40.796]  Scheduled start time:  11/18/2022 00:00:00</t>
  </si>
  <si>
    <t>[2023-05-30 05:05:15.415]       Aligned    Battery Temperature</t>
  </si>
  <si>
    <t>[2023-05-30 05:13:28.036]  Event 12</t>
  </si>
  <si>
    <t>[2023-05-30 05:21:41.148]  Event start time:      11/18/2022 00:00:00</t>
  </si>
  <si>
    <t>[2023-05-30 05:05:15.461]  Start:     Y       18.6      1.3°C</t>
  </si>
  <si>
    <t xml:space="preserve">[2023-05-30 05:13:28.048] </t>
  </si>
  <si>
    <t>[2023-05-30 05:21:41.500]  Event stop time:       11/18/2022 00:00:28</t>
  </si>
  <si>
    <t>[2023-05-30 05:05:15.496]  Stop:      Y       18.2      1.4°C</t>
  </si>
  <si>
    <t>[2023-05-30 05:13:28.352]  Scheduled start time:  11/18/2022 00:00:00</t>
  </si>
  <si>
    <t xml:space="preserve">[2023-05-30 05:21:41.565] </t>
  </si>
  <si>
    <t xml:space="preserve">[2023-05-30 05:05:15.544] </t>
  </si>
  <si>
    <t>[2023-05-30 05:13:28.703]  Event start time:      11/18/2022 00:00:00</t>
  </si>
  <si>
    <t>[2023-05-30 05:21:41.614]          Aligned  Battery  Temperature  Tilt  Heading</t>
  </si>
  <si>
    <t>[2023-05-30 05:05:15.544]  Event 11</t>
  </si>
  <si>
    <t>[2023-05-30 05:13:29.071]  Event stop time:       11/18/2022 00:00:28</t>
  </si>
  <si>
    <t>[2023-05-30 05:21:41.756]  Start:     Y       17.3        2øC       2ø    218ø</t>
  </si>
  <si>
    <t xml:space="preserve">[2023-05-30 05:13:29.121] </t>
  </si>
  <si>
    <t>[2023-05-30 05:21:41.917]  Stop:      Y       16.8        3øC       2ø    216ø</t>
  </si>
  <si>
    <t>[2023-05-30 05:05:15.544]  Scheduled start time:  11/01/22 00:00:00</t>
  </si>
  <si>
    <t>[2023-05-30 05:13:29.167]          Aligned  Battery  Temperature  Tilt  Heading</t>
  </si>
  <si>
    <t xml:space="preserve">[2023-05-30 05:21:41.981] </t>
  </si>
  <si>
    <t>[2023-05-30 05:05:15.606]  Event start time:      11/01/22 00:00:02</t>
  </si>
  <si>
    <t>[2023-05-30 05:13:29.326]  Start:     Y       17.3        4øC       0ø    176ø</t>
  </si>
  <si>
    <t>[2023-05-30 05:21:41.998]  Event 13</t>
  </si>
  <si>
    <t>[2023-05-30 05:05:15.670]  Event stop time:       11/01/22 00:00:29</t>
  </si>
  <si>
    <t>[2023-05-30 05:13:29.470]  Stop:      Y       16.9        4øC       0ø    158ø</t>
  </si>
  <si>
    <t xml:space="preserve">[2023-05-30 05:21:41.998] </t>
  </si>
  <si>
    <t>[2023-05-30 05:05:15.736]  Event duration:        27 seconds</t>
  </si>
  <si>
    <t xml:space="preserve">[2023-05-30 05:13:29.536] </t>
  </si>
  <si>
    <t>[2023-05-30 05:21:42.301]  Scheduled start time:  12/05/2022 00:00:00</t>
  </si>
  <si>
    <t xml:space="preserve">[2023-05-30 05:05:15.767] </t>
  </si>
  <si>
    <t>[2023-05-30 05:13:29.554]  Event 13</t>
  </si>
  <si>
    <t>[2023-05-30 05:21:42.669]  Event start time:      12/05/2022 00:00:00</t>
  </si>
  <si>
    <t>[2023-05-30 05:05:15.781]       Aligned    Battery Temperature</t>
  </si>
  <si>
    <t xml:space="preserve">[2023-05-30 05:13:29.566] </t>
  </si>
  <si>
    <t>[2023-05-30 05:21:43.020]  Event stop time:       12/05/2022 00:00:28</t>
  </si>
  <si>
    <t>[2023-05-30 05:05:15.814]  Start:     Y       18.2      1.4°C</t>
  </si>
  <si>
    <t>[2023-05-30 05:13:29.873]  Scheduled start time:  12/05/2022 00:00:00</t>
  </si>
  <si>
    <t xml:space="preserve">[2023-05-30 05:21:43.069] </t>
  </si>
  <si>
    <t>[2023-05-30 05:05:15.862]  Stop:      Y       17.7      1.5°C</t>
  </si>
  <si>
    <t>[2023-05-30 05:13:30.221]  Event start time:      12/05/2022 00:00:00</t>
  </si>
  <si>
    <t>[2023-05-30 05:21:43.116]          Aligned  Battery  Temperature  Tilt  Heading</t>
  </si>
  <si>
    <t xml:space="preserve">[2023-05-30 05:05:15.896] </t>
  </si>
  <si>
    <t>[2023-05-30 05:13:30.574]  Event stop time:       12/05/2022 00:00:28</t>
  </si>
  <si>
    <t>[2023-05-30 05:21:43.276]  Start:     Y       17.2        2øC       2ø    180ø</t>
  </si>
  <si>
    <t>[2023-05-30 05:05:15.896]  Event 12</t>
  </si>
  <si>
    <t xml:space="preserve">[2023-05-30 05:13:30.626] </t>
  </si>
  <si>
    <t>[2023-05-30 05:21:43.436]  Stop:      Y       16.7        3øC       2ø    176ø</t>
  </si>
  <si>
    <t xml:space="preserve">[2023-05-30 05:05:15.910] </t>
  </si>
  <si>
    <t>[2023-05-30 05:13:30.671]          Aligned  Battery  Temperature  Tilt  Heading</t>
  </si>
  <si>
    <t xml:space="preserve">[2023-05-30 05:21:43.485] </t>
  </si>
  <si>
    <t>[2023-05-30 05:05:15.911]  Scheduled start time:  11/18/22 00:00:00</t>
  </si>
  <si>
    <t>[2023-05-30 05:13:30.827]  Start:     Y       17.3        4øC       0ø    203ø</t>
  </si>
  <si>
    <t>[2023-05-30 05:21:43.501]  Event 14</t>
  </si>
  <si>
    <t>[2023-05-30 05:05:15.975]  Event start time:      11/18/22 00:00:02</t>
  </si>
  <si>
    <t>[2023-05-30 05:13:30.991]  Stop:      Y       16.8        4øC       1ø    204ø</t>
  </si>
  <si>
    <t xml:space="preserve">[2023-05-30 05:21:43.517] </t>
  </si>
  <si>
    <t>[2023-05-30 05:05:16.040]  Event stop time:       11/18/22 00:00:29</t>
  </si>
  <si>
    <t xml:space="preserve">[2023-05-30 05:13:31.039] </t>
  </si>
  <si>
    <t>[2023-05-30 05:21:43.820]  Scheduled start time:  12/22/2022 00:00:00</t>
  </si>
  <si>
    <t>[2023-05-30 05:05:16.102]  Event duration:        27 seconds</t>
  </si>
  <si>
    <t>[2023-05-30 05:13:31.053]  Event 14</t>
  </si>
  <si>
    <t>[2023-05-30 05:21:44.171]  Event start time:      12/22/2022 00:00:00</t>
  </si>
  <si>
    <t xml:space="preserve">[2023-05-30 05:05:16.135] </t>
  </si>
  <si>
    <t xml:space="preserve">[2023-05-30 05:13:31.070] </t>
  </si>
  <si>
    <t>[2023-05-30 05:21:44.523]  Event stop time:       12/22/2022 00:00:28</t>
  </si>
  <si>
    <t>[2023-05-30 05:05:16.135]       Aligned    Battery Temperature</t>
  </si>
  <si>
    <t>[2023-05-30 05:13:31.373]  Scheduled start time:  12/22/2022 00:00:00</t>
  </si>
  <si>
    <t xml:space="preserve">[2023-05-30 05:21:44.573] </t>
  </si>
  <si>
    <t>[2023-05-30 05:05:16.182]  Start:     Y       17.3      1.4°C</t>
  </si>
  <si>
    <t>[2023-05-30 05:13:31.726]  Event start time:      12/22/2022 00:00:00</t>
  </si>
  <si>
    <t>[2023-05-30 05:21:44.620]          Aligned  Battery  Temperature  Tilt  Heading</t>
  </si>
  <si>
    <t>[2023-05-30 05:05:16.217]  Stop:      Y       16.6      1.5°C</t>
  </si>
  <si>
    <t>[2023-05-30 05:13:32.076]  Event stop time:       12/22/2022 00:00:28</t>
  </si>
  <si>
    <t>[2023-05-30 05:21:44.780]  Start:     Y       17.1        2øC       2ø    137ø</t>
  </si>
  <si>
    <t xml:space="preserve">[2023-05-30 05:05:16.262] </t>
  </si>
  <si>
    <t xml:space="preserve">[2023-05-30 05:13:32.128] </t>
  </si>
  <si>
    <t>[2023-05-30 05:21:44.940]  Stop:      Y       16.6        3øC       2ø    122ø</t>
  </si>
  <si>
    <t>[2023-05-30 05:05:16.263]  Event 13</t>
  </si>
  <si>
    <t>[2023-05-30 05:13:32.172]          Aligned  Battery  Temperature  Tilt  Heading</t>
  </si>
  <si>
    <t xml:space="preserve">[2023-05-30 05:21:45.004] </t>
  </si>
  <si>
    <t xml:space="preserve">[2023-05-30 05:05:16.277] </t>
  </si>
  <si>
    <t>[2023-05-30 05:13:32.333]  Start:     Y       17.2        4øC       0ø    198ø</t>
  </si>
  <si>
    <t>[2023-05-30 05:21:45.004]  Event 15</t>
  </si>
  <si>
    <t>[2023-05-30 05:05:16.277]  Scheduled start time:  12/05/22 00:00:00</t>
  </si>
  <si>
    <t>[2023-05-30 05:13:32.494]  Stop:      Y       16.7        4øC       0ø    161ø</t>
  </si>
  <si>
    <t xml:space="preserve">[2023-05-30 05:21:45.020] </t>
  </si>
  <si>
    <t>[2023-05-30 05:05:16.340]  Event start time:      12/05/22 00:00:02</t>
  </si>
  <si>
    <t xml:space="preserve">[2023-05-30 05:13:32.560] </t>
  </si>
  <si>
    <t>[2023-05-30 05:21:45.323]  Scheduled start time:  01/08/2023 00:00:00</t>
  </si>
  <si>
    <t>[2023-05-30 05:05:16.392]  Event stop time:       12/05/22 00:00:29</t>
  </si>
  <si>
    <t>[2023-05-30 05:13:32.560]  Event 15</t>
  </si>
  <si>
    <t>[2023-05-30 05:21:45.675]  Event start time:      01/08/2023 00:00:00</t>
  </si>
  <si>
    <t>[2023-05-30 05:05:16.454]  Event duration:        27 seconds</t>
  </si>
  <si>
    <t xml:space="preserve">[2023-05-30 05:13:32.575] </t>
  </si>
  <si>
    <t>[2023-05-30 05:21:46.027]  Event stop time:       01/08/2023 00:00:28</t>
  </si>
  <si>
    <t xml:space="preserve">[2023-05-30 05:05:16.501] </t>
  </si>
  <si>
    <t>[2023-05-30 05:13:32.875]  Scheduled start time:  01/08/2023 00:00:00</t>
  </si>
  <si>
    <t xml:space="preserve">[2023-05-30 05:21:46.092] </t>
  </si>
  <si>
    <t>[2023-05-30 05:05:16.501]       Aligned    Battery Temperature</t>
  </si>
  <si>
    <t>[2023-05-30 05:13:33.227]  Event start time:      01/08/2023 00:00:00</t>
  </si>
  <si>
    <t>[2023-05-30 05:21:46.126]          Aligned  Battery  Temperature  Tilt  Heading</t>
  </si>
  <si>
    <t>[2023-05-30 05:05:16.534]  Start:     Y       17.0      1.4°C</t>
  </si>
  <si>
    <t>[2023-05-30 05:13:33.595]  Event stop time:       01/08/2023 00:00:28</t>
  </si>
  <si>
    <t>[2023-05-30 05:21:46.283]  Start:     Y       16.9        2øC       2ø    120ø</t>
  </si>
  <si>
    <t>[2023-05-30 05:05:16.583]  Stop:      Y       16.1      1.5°C</t>
  </si>
  <si>
    <t xml:space="preserve">[2023-05-30 05:13:33.649] </t>
  </si>
  <si>
    <t>[2023-05-30 05:21:46.443]  Stop:      Y       16.5        3øC       2ø    114ø</t>
  </si>
  <si>
    <t xml:space="preserve">[2023-05-30 05:05:16.615] </t>
  </si>
  <si>
    <t>[2023-05-30 05:13:33.691]          Aligned  Battery  Temperature  Tilt  Heading</t>
  </si>
  <si>
    <t xml:space="preserve">[2023-05-30 05:21:46.507] </t>
  </si>
  <si>
    <t>[2023-05-30 05:05:16.615]  Event 14</t>
  </si>
  <si>
    <t>[2023-05-30 05:13:33.851]  Start:     Y       17.0        4øC       1ø    222ø</t>
  </si>
  <si>
    <t>[2023-05-30 05:21:46.525]  Event 16</t>
  </si>
  <si>
    <t xml:space="preserve">[2023-05-30 05:05:16.630] </t>
  </si>
  <si>
    <t>[2023-05-30 05:13:33.996]  Stop:      Y       16.6        4øC       1ø    204ø</t>
  </si>
  <si>
    <t xml:space="preserve">[2023-05-30 05:21:46.525] </t>
  </si>
  <si>
    <t>[2023-05-30 05:05:16.630]  Scheduled start time:  12/22/22 00:00:00</t>
  </si>
  <si>
    <t xml:space="preserve">[2023-05-30 05:13:34.061] </t>
  </si>
  <si>
    <t>[2023-05-30 05:21:46.830]  Scheduled start time:  01/25/2023 00:00:00</t>
  </si>
  <si>
    <t>[2023-05-30 05:05:16.694]  Event start time:      12/22/22 00:00:02</t>
  </si>
  <si>
    <t>[2023-05-30 05:13:34.076]  Event 16</t>
  </si>
  <si>
    <t>[2023-05-30 05:21:47.195]  Event start time:      01/25/2023 00:00:00</t>
  </si>
  <si>
    <t>[2023-05-30 05:05:16.758]  Event stop time:       12/22/22 00:00:29</t>
  </si>
  <si>
    <t xml:space="preserve">[2023-05-30 05:13:34.092] </t>
  </si>
  <si>
    <t>[2023-05-30 05:21:47.547]  Event stop time:       01/25/2023 00:00:28</t>
  </si>
  <si>
    <t>[2023-05-30 05:05:16.822]  Event duration:        27 seconds</t>
  </si>
  <si>
    <t>[2023-05-30 05:13:34.396]  Scheduled start time:  01/25/2023 00:00:00</t>
  </si>
  <si>
    <t xml:space="preserve">[2023-05-30 05:21:47.596] </t>
  </si>
  <si>
    <t xml:space="preserve">[2023-05-30 05:05:16.854] </t>
  </si>
  <si>
    <t>[2023-05-30 05:13:34.746]  Event start time:      01/25/2023 00:00:00</t>
  </si>
  <si>
    <t>[2023-05-30 05:21:47.642]          Aligned  Battery  Temperature  Tilt  Heading</t>
  </si>
  <si>
    <t>[2023-05-30 05:05:16.854]       Aligned    Battery Temperature</t>
  </si>
  <si>
    <t>[2023-05-30 05:13:35.101]  Event stop time:       01/25/2023 00:00:28</t>
  </si>
  <si>
    <t>[2023-05-30 05:21:47.802]  Start:     Y       16.8        2øC       2ø     63ø</t>
  </si>
  <si>
    <t>[2023-05-30 05:05:16.904]  Start:     Y       17.2      1.4°C</t>
  </si>
  <si>
    <t xml:space="preserve">[2023-05-30 05:13:35.148] </t>
  </si>
  <si>
    <t>[2023-05-30 05:21:47.961]  Stop:      Y       16.3        3øC       2ø     69ø</t>
  </si>
  <si>
    <t>[2023-05-30 05:05:16.948]  Stop:      Y       16.5      1.5°C</t>
  </si>
  <si>
    <t>[2023-05-30 05:13:35.194]          Aligned  Battery  Temperature  Tilt  Heading</t>
  </si>
  <si>
    <t xml:space="preserve">[2023-05-30 05:21:48.031] </t>
  </si>
  <si>
    <t xml:space="preserve">[2023-05-30 05:05:16.981] </t>
  </si>
  <si>
    <t>[2023-05-30 05:13:35.356]  Start:     Y       16.9        4øC       1ø    219ø</t>
  </si>
  <si>
    <t>[2023-05-30 05:21:48.031]  Event 17</t>
  </si>
  <si>
    <t>[2023-05-30 05:05:16.981]  Event 15</t>
  </si>
  <si>
    <t>[2023-05-30 05:13:35.515]  Stop:      Y       16.5        4øC       0ø    199ø</t>
  </si>
  <si>
    <t xml:space="preserve">[2023-05-30 05:21:48.045] </t>
  </si>
  <si>
    <t xml:space="preserve">[2023-05-30 05:05:16.996] </t>
  </si>
  <si>
    <t xml:space="preserve">[2023-05-30 05:13:35.579] </t>
  </si>
  <si>
    <t>[2023-05-30 05:21:48.347]  Scheduled start time:  02/11/2023 00:00:00</t>
  </si>
  <si>
    <t>[2023-05-30 05:05:16.998]  Scheduled start time:  01/08/23 00:00:00</t>
  </si>
  <si>
    <t>[2023-05-30 05:13:35.579]  Event 17</t>
  </si>
  <si>
    <t>[2023-05-30 05:21:48.698]  Event start time:      02/11/2023 00:00:00</t>
  </si>
  <si>
    <t>[2023-05-30 05:05:17.061]  Event start time:      01/08/23 00:00:02</t>
  </si>
  <si>
    <t xml:space="preserve">[2023-05-30 05:13:35.597] </t>
  </si>
  <si>
    <t>[2023-05-30 05:21:49.052]  Event stop time:       02/11/2023 00:00:28</t>
  </si>
  <si>
    <t>[2023-05-30 05:05:17.126]  Event stop time:       01/08/23 00:00:29</t>
  </si>
  <si>
    <t>[2023-05-30 05:13:35.899]  Scheduled start time:  02/11/2023 00:00:00</t>
  </si>
  <si>
    <t xml:space="preserve">[2023-05-30 05:21:49.118] </t>
  </si>
  <si>
    <t>[2023-05-30 05:05:17.187]  Event duration:        27 seconds</t>
  </si>
  <si>
    <t>[2023-05-30 05:13:36.248]  Event start time:      02/11/2023 00:00:00</t>
  </si>
  <si>
    <t>[2023-05-30 05:21:49.148]          Aligned  Battery  Temperature  Tilt  Heading</t>
  </si>
  <si>
    <t xml:space="preserve">[2023-05-30 05:05:17.221] </t>
  </si>
  <si>
    <t>[2023-05-30 05:13:36.600]  Event stop time:       02/11/2023 00:00:28</t>
  </si>
  <si>
    <t>[2023-05-30 05:21:49.307]  Start:     Y       16.5        2øC       2ø    149ø</t>
  </si>
  <si>
    <t>[2023-05-30 05:05:17.221]       Aligned    Battery Temperature</t>
  </si>
  <si>
    <t xml:space="preserve">[2023-05-30 05:13:36.666] </t>
  </si>
  <si>
    <t>[2023-05-30 05:21:49.466]  Stop:      Y       16.0        3øC       2ø    143ø</t>
  </si>
  <si>
    <t>[2023-05-30 05:05:17.273]  Start:     Y       17.4      1.4°C</t>
  </si>
  <si>
    <t>[2023-05-30 05:13:36.713]          Aligned  Battery  Temperature  Tilt  Heading</t>
  </si>
  <si>
    <t xml:space="preserve">[2023-05-30 05:21:49.535] </t>
  </si>
  <si>
    <t>[2023-05-30 05:05:17.302]  Stop:      Y       16.9      1.5°C</t>
  </si>
  <si>
    <t>[2023-05-30 05:13:36.857]  Start:     Y       16.7        4øC       1ø    218ø</t>
  </si>
  <si>
    <t>[2023-05-30 05:21:49.551]  Event 18</t>
  </si>
  <si>
    <t xml:space="preserve">[2023-05-30 05:05:17.349] </t>
  </si>
  <si>
    <t>[2023-05-30 05:13:37.016]  Stop:      Y       16.3        4øC       0ø    218ø</t>
  </si>
  <si>
    <t xml:space="preserve">[2023-05-30 05:21:49.551] </t>
  </si>
  <si>
    <t>[2023-05-30 05:05:17.349]  Event 16</t>
  </si>
  <si>
    <t xml:space="preserve">[2023-05-30 05:13:37.083] </t>
  </si>
  <si>
    <t>[2023-05-30 05:21:49.871]  Scheduled start time:  02/28/2023 00:00:00</t>
  </si>
  <si>
    <t>[2023-05-30 05:13:37.098]  Event 18</t>
  </si>
  <si>
    <t>[2023-05-30 05:21:50.218]  Event start time:      02/28/2023 00:00:00</t>
  </si>
  <si>
    <t>[2023-05-30 05:05:17.363]  Scheduled start time:  01/25/23 00:00:00</t>
  </si>
  <si>
    <t xml:space="preserve">[2023-05-30 05:13:37.098] </t>
  </si>
  <si>
    <t>[2023-05-30 05:21:50.571]  Event stop time:       02/28/2023 00:00:28</t>
  </si>
  <si>
    <t>[2023-05-30 05:05:17.415]  Event start time:      01/25/23 00:00:02</t>
  </si>
  <si>
    <t>[2023-05-30 05:13:37.417]  Scheduled start time:  02/28/2023 00:00:00</t>
  </si>
  <si>
    <t xml:space="preserve">[2023-05-30 05:21:50.620] </t>
  </si>
  <si>
    <t>[2023-05-30 05:05:17.478]  Event stop time:       01/25/23 00:00:29</t>
  </si>
  <si>
    <t>[2023-05-30 05:13:37.770]  Event start time:      02/28/2023 00:00:00</t>
  </si>
  <si>
    <t>[2023-05-30 05:21:50.666]          Aligned  Battery  Temperature  Tilt  Heading</t>
  </si>
  <si>
    <t>[2023-05-30 05:05:17.541]  Event duration:        27 seconds</t>
  </si>
  <si>
    <t>[2023-05-30 05:13:38.122]  Event stop time:       02/28/2023 00:00:28</t>
  </si>
  <si>
    <t>[2023-05-30 05:21:50.826]  Start:     Y       16.3        2øC       2ø    181ø</t>
  </si>
  <si>
    <t xml:space="preserve">[2023-05-30 05:05:17.591] </t>
  </si>
  <si>
    <t xml:space="preserve">[2023-05-30 05:13:38.170] </t>
  </si>
  <si>
    <t>[2023-05-30 05:21:50.986]  Stop:      Y       15.8        3øC       1ø    174ø</t>
  </si>
  <si>
    <t>[2023-05-30 05:05:17.591]       Aligned    Battery Temperature</t>
  </si>
  <si>
    <t>[2023-05-30 05:13:38.216]          Aligned  Battery  Temperature  Tilt  Heading</t>
  </si>
  <si>
    <t xml:space="preserve">[2023-05-30 05:21:51.035] </t>
  </si>
  <si>
    <t>[2023-05-30 05:05:17.621]  Start:     Y       17.6      1.4°C</t>
  </si>
  <si>
    <t>[2023-05-30 05:13:38.376]  Start:     Y       16.5        4øC       1ø    263ø</t>
  </si>
  <si>
    <t>[2023-05-30 05:21:51.051]  Event 19</t>
  </si>
  <si>
    <t>[2023-05-30 05:05:17.669]  Stop:      Y       17.0      1.5°C</t>
  </si>
  <si>
    <t>[2023-05-30 05:13:38.536]  Stop:      Y       16.2        4øC       1ø    254ø</t>
  </si>
  <si>
    <t xml:space="preserve">[2023-05-30 05:21:51.068] </t>
  </si>
  <si>
    <t xml:space="preserve">[2023-05-30 05:05:17.701] </t>
  </si>
  <si>
    <t xml:space="preserve">[2023-05-30 05:13:38.588] </t>
  </si>
  <si>
    <t>[2023-05-30 05:21:51.371]  Scheduled start time:  03/17/2023 00:00:00</t>
  </si>
  <si>
    <t>[2023-05-30 05:05:17.701]  Event 17</t>
  </si>
  <si>
    <t>[2023-05-30 05:13:38.600]  Event 19</t>
  </si>
  <si>
    <t>[2023-05-30 05:21:51.723]  Event start time:      03/17/2023 00:00:00</t>
  </si>
  <si>
    <t xml:space="preserve">[2023-05-30 05:05:17.721] </t>
  </si>
  <si>
    <t xml:space="preserve">[2023-05-30 05:13:38.618] </t>
  </si>
  <si>
    <t>[2023-05-30 05:21:52.076]  Event stop time:       03/17/2023 00:00:28</t>
  </si>
  <si>
    <t>[2023-05-30 05:05:17.721]  Scheduled start time:  02/11/23 00:00:00</t>
  </si>
  <si>
    <t>[2023-05-30 05:13:38.920]  Scheduled start time:  03/17/2023 00:00:00</t>
  </si>
  <si>
    <t xml:space="preserve">[2023-05-30 05:21:52.123] </t>
  </si>
  <si>
    <t>[2023-05-30 05:05:17.782]  Event start time:      02/11/23 00:00:02</t>
  </si>
  <si>
    <t>[2023-05-30 05:13:39.271]  Event start time:      03/17/2023 00:00:00</t>
  </si>
  <si>
    <t>[2023-05-30 05:21:52.170]          Aligned  Battery  Temperature  Tilt  Heading</t>
  </si>
  <si>
    <t>[2023-05-30 05:05:17.845]  Event stop time:       02/11/23 00:00:29</t>
  </si>
  <si>
    <t>[2023-05-30 05:13:39.625]  Event stop time:       03/17/2023 00:00:28</t>
  </si>
  <si>
    <t>[2023-05-30 05:21:52.330]  Start:     Y       16.1        2øC       2ø     81ø</t>
  </si>
  <si>
    <t>[2023-05-30 05:05:17.911]  Event duration:        27 seconds</t>
  </si>
  <si>
    <t xml:space="preserve">[2023-05-30 05:13:39.688] </t>
  </si>
  <si>
    <t>[2023-05-30 05:21:52.491]  Stop:      Y       15.6        3øC       2ø     84ø</t>
  </si>
  <si>
    <t xml:space="preserve">[2023-05-30 05:05:17.941] </t>
  </si>
  <si>
    <t>[2023-05-30 05:13:39.718]          Aligned  Battery  Temperature  Tilt  Heading</t>
  </si>
  <si>
    <t xml:space="preserve">[2023-05-30 05:21:52.558] </t>
  </si>
  <si>
    <t>[2023-05-30 05:05:17.941]       Aligned    Battery Temperature</t>
  </si>
  <si>
    <t>[2023-05-30 05:13:39.880]  Start:     Y       16.4        4øC       1ø    179ø</t>
  </si>
  <si>
    <t>[2023-05-30 05:21:52.572]  Event 20</t>
  </si>
  <si>
    <t>[2023-05-30 05:05:17.988]  Start:     Y       17.6      1.5°C</t>
  </si>
  <si>
    <t>[2023-05-30 05:13:40.038]  Stop:      Y       15.9        4øC       0ø    178ø</t>
  </si>
  <si>
    <t xml:space="preserve">[2023-05-30 05:21:52.572] </t>
  </si>
  <si>
    <t>[2023-05-30 05:05:18.021]  Stop:      Y       17.1      1.6°C</t>
  </si>
  <si>
    <t xml:space="preserve">[2023-05-30 05:13:40.105] </t>
  </si>
  <si>
    <t>[2023-05-30 05:21:52.891]  Scheduled start time:  04/03/2023 00:00:00</t>
  </si>
  <si>
    <t xml:space="preserve">[2023-05-30 05:05:18.070] </t>
  </si>
  <si>
    <t>[2023-05-30 05:13:40.105]  Event 20</t>
  </si>
  <si>
    <t>[2023-05-30 05:21:53.243]  Event start time:      04/03/2023 00:00:00</t>
  </si>
  <si>
    <t>[2023-05-30 05:05:18.070]  Event 18</t>
  </si>
  <si>
    <t xml:space="preserve">[2023-05-30 05:13:40.120] </t>
  </si>
  <si>
    <t>[2023-05-30 05:21:53.595]  Event stop time:       04/03/2023 00:00:28</t>
  </si>
  <si>
    <t xml:space="preserve">[2023-05-30 05:05:18.088] </t>
  </si>
  <si>
    <t>[2023-05-30 05:13:40.425]  Scheduled start time:  04/03/2023 00:00:00</t>
  </si>
  <si>
    <t xml:space="preserve">[2023-05-30 05:21:53.643] </t>
  </si>
  <si>
    <t>[2023-05-30 05:05:18.088]  Scheduled start time:  02/28/23 00:00:00</t>
  </si>
  <si>
    <t>[2023-05-30 05:13:40.789]  Event start time:      04/03/2023 00:00:00</t>
  </si>
  <si>
    <t>[2023-05-30 05:21:53.689]          Aligned  Battery  Temperature  Tilt  Heading</t>
  </si>
  <si>
    <t>[2023-05-30 05:05:18.149]  Event start time:      02/28/23 00:00:02</t>
  </si>
  <si>
    <t>[2023-05-30 05:13:41.141]  Event stop time:       04/03/2023 00:00:28</t>
  </si>
  <si>
    <t>[2023-05-30 05:21:53.850]  Start:     Y       15.9        2øC       2ø     64ø</t>
  </si>
  <si>
    <t>[2023-05-30 05:05:18.196]  Event stop time:       02/28/23 00:00:30</t>
  </si>
  <si>
    <t xml:space="preserve">[2023-05-30 05:13:41.194] </t>
  </si>
  <si>
    <t>[2023-05-30 05:21:54.010]  Stop:      Y       15.4        3øC       2ø     62ø</t>
  </si>
  <si>
    <t>[2023-05-30 05:05:18.263]  Event duration:        28 seconds</t>
  </si>
  <si>
    <t>[2023-05-30 05:13:41.238]          Aligned  Battery  Temperature  Tilt  Heading</t>
  </si>
  <si>
    <t xml:space="preserve">[2023-05-30 05:21:54.075] </t>
  </si>
  <si>
    <t xml:space="preserve">[2023-05-30 05:05:18.308] </t>
  </si>
  <si>
    <t>[2023-05-30 05:13:41.399]  Start:     Y       16.1        4øC       0ø    133ø</t>
  </si>
  <si>
    <t>[2023-05-30 05:21:54.075]  Event 21</t>
  </si>
  <si>
    <t>[2023-05-30 05:05:18.308]       Aligned    Battery Temperature</t>
  </si>
  <si>
    <t>[2023-05-30 05:13:41.562]  Stop:      Y       15.7        4øC       1ø    114ø</t>
  </si>
  <si>
    <t xml:space="preserve">[2023-05-30 05:21:54.091] </t>
  </si>
  <si>
    <t>[2023-05-30 05:05:18.341]  Start:     Y       17.6      1.4°C</t>
  </si>
  <si>
    <t xml:space="preserve">[2023-05-30 05:13:41.607] </t>
  </si>
  <si>
    <t>[2023-05-30 05:21:54.395]  Scheduled start time:  04/20/2023 00:00:00</t>
  </si>
  <si>
    <t>[2023-05-30 05:05:18.390]  Stop:      Y       17.2      1.5°C</t>
  </si>
  <si>
    <t>[2023-05-30 05:13:41.622]  Event 21</t>
  </si>
  <si>
    <t>[2023-05-30 05:21:54.745]  Event start time:      04/20/2023 00:00:00</t>
  </si>
  <si>
    <t xml:space="preserve">[2023-05-30 05:05:18.424] </t>
  </si>
  <si>
    <t xml:space="preserve">[2023-05-30 05:13:41.639] </t>
  </si>
  <si>
    <t>[2023-05-30 05:21:55.096]  Event stop time:       04/20/2023 00:00:22</t>
  </si>
  <si>
    <t>[2023-05-30 05:05:18.439]  Event 19</t>
  </si>
  <si>
    <t>[2023-05-30 05:13:41.941]  Scheduled start time:  04/20/2023 00:00:00</t>
  </si>
  <si>
    <t xml:space="preserve">[2023-05-30 05:21:55.167] </t>
  </si>
  <si>
    <t xml:space="preserve">[2023-05-30 05:05:18.439] </t>
  </si>
  <si>
    <t>[2023-05-30 05:13:42.293]  Event start time:      04/20/2023 00:00:00</t>
  </si>
  <si>
    <t>[2023-05-30 05:21:55.208]          Aligned  Battery  Temperature  Tilt  Heading</t>
  </si>
  <si>
    <t>[2023-05-30 05:05:18.439]  Scheduled start time:  03/17/23 00:00:00</t>
  </si>
  <si>
    <t>[2023-05-30 05:13:42.646]  Event stop time:       04/20/2023 00:00:28</t>
  </si>
  <si>
    <t>[2023-05-30 05:21:55.371]  Start:     N       15.6        2øC       2ø    278ø</t>
  </si>
  <si>
    <t>[2023-05-30 05:05:18.501]  Event start time:      03/17/23 00:00:02</t>
  </si>
  <si>
    <t xml:space="preserve">[2023-05-30 05:13:42.693] </t>
  </si>
  <si>
    <t>[2023-05-30 05:21:55.513]  Stop:      Y       15.2        3øC       2ø    269ø</t>
  </si>
  <si>
    <t>[2023-05-30 05:05:18.565]  Event stop time:       03/17/23 00:00:29</t>
  </si>
  <si>
    <t>[2023-05-30 05:13:42.740]          Aligned  Battery  Temperature  Tilt  Heading</t>
  </si>
  <si>
    <t xml:space="preserve">[2023-05-30 05:21:55.579] </t>
  </si>
  <si>
    <t>[2023-05-30 05:05:18.629]  Event duration:        27 seconds</t>
  </si>
  <si>
    <t>[2023-05-30 05:13:42.902]  Start:     Y       15.9        4øC       1ø    182ø</t>
  </si>
  <si>
    <t>[2023-05-30 05:21:55.594]  Event 22</t>
  </si>
  <si>
    <t xml:space="preserve">[2023-05-30 05:05:18.661] </t>
  </si>
  <si>
    <t>[2023-05-30 05:13:43.062]  Stop:      Y       15.5        4øC       0ø    159ø</t>
  </si>
  <si>
    <t xml:space="preserve">[2023-05-30 05:21:55.594] </t>
  </si>
  <si>
    <t>[2023-05-30 05:05:18.661]       Aligned    Battery Temperature</t>
  </si>
  <si>
    <t xml:space="preserve">[2023-05-30 05:13:43.126] </t>
  </si>
  <si>
    <t>[2023-05-30 05:21:55.912]  Scheduled start time:  05/07/2023 00:00:00</t>
  </si>
  <si>
    <t>[2023-05-30 05:05:18.708]  Start:     Y       17.6      1.4°C</t>
  </si>
  <si>
    <t>[2023-05-30 05:13:43.126]  Event 22</t>
  </si>
  <si>
    <t>[2023-05-30 05:21:56.264]  Event start time:      05/07/2023 00:00:00</t>
  </si>
  <si>
    <t>[2023-05-30 05:05:18.754]  Stop:      Y       17.1      1.5°C</t>
  </si>
  <si>
    <t xml:space="preserve">[2023-05-30 05:13:43.144] </t>
  </si>
  <si>
    <t>[2023-05-30 05:21:56.616]  Event stop time:       05/07/2023 00:00:28</t>
  </si>
  <si>
    <t xml:space="preserve">[2023-05-30 05:05:18.788] </t>
  </si>
  <si>
    <t>[2023-05-30 05:13:43.446]  Scheduled start time:  05/07/2023 00:00:00</t>
  </si>
  <si>
    <t xml:space="preserve">[2023-05-30 05:21:56.665] </t>
  </si>
  <si>
    <t>[2023-05-30 05:05:18.788]  Event 20</t>
  </si>
  <si>
    <t>[2023-05-30 05:13:43.796]  Event start time:      05/07/2023 00:00:00</t>
  </si>
  <si>
    <t>[2023-05-30 05:21:56.711]          Aligned  Battery  Temperature  Tilt  Heading</t>
  </si>
  <si>
    <t xml:space="preserve">[2023-05-30 05:05:18.806] </t>
  </si>
  <si>
    <t>[2023-05-30 05:13:44.163]  Event stop time:       05/07/2023 00:00:28</t>
  </si>
  <si>
    <t>[2023-05-30 05:21:56.876]  Start:     Y       15.4        2øC       2ø    322ø</t>
  </si>
  <si>
    <t>[2023-05-30 05:05:18.806]  Scheduled start time:  04/03/23 00:00:00</t>
  </si>
  <si>
    <t xml:space="preserve">[2023-05-30 05:13:44.213] </t>
  </si>
  <si>
    <t>[2023-05-30 05:21:57.034]  Stop:      Y       14.9        3øC       2ø    321ø</t>
  </si>
  <si>
    <t>[2023-05-30 05:05:18.869]  Event start time:      04/03/23 00:00:02</t>
  </si>
  <si>
    <t>[2023-05-30 05:13:44.259]          Aligned  Battery  Temperature  Tilt  Heading</t>
  </si>
  <si>
    <t xml:space="preserve">[2023-05-30 05:21:57.081] </t>
  </si>
  <si>
    <t>[2023-05-30 05:05:18.933]  Event stop time:       04/03/23 00:00:29</t>
  </si>
  <si>
    <t>[2023-05-30 05:13:44.421]  Start:     Y       15.7        4øC       0ø    216ø</t>
  </si>
  <si>
    <t>[2023-05-30 05:21:57.095]  TILT DATA</t>
  </si>
  <si>
    <t>[2023-05-30 05:05:18.996]  Event duration:        27 seconds</t>
  </si>
  <si>
    <t>[2023-05-30 05:13:44.564]  Stop:      Y       15.3        4øC       0ø    202ø</t>
  </si>
  <si>
    <t>[2023-05-30 05:21:57.114]  _________</t>
  </si>
  <si>
    <t xml:space="preserve">[2023-05-30 05:05:19.028] </t>
  </si>
  <si>
    <t xml:space="preserve">[2023-05-30 05:13:44.628] </t>
  </si>
  <si>
    <t xml:space="preserve">[2023-05-30 05:21:57.130]   </t>
  </si>
  <si>
    <t>[2023-05-30 05:05:19.028]       Aligned    Battery Temperature</t>
  </si>
  <si>
    <t>[2023-05-30 05:13:44.642]  TILT DATA</t>
  </si>
  <si>
    <t xml:space="preserve">[2023-05-30 05:21:57.159]  Tilt sample interval:  1440 minutes            </t>
  </si>
  <si>
    <t>[2023-05-30 05:05:19.073]  Start:     Y       17.5      1.4°C</t>
  </si>
  <si>
    <t>[2023-05-30 05:13:44.661]  _________</t>
  </si>
  <si>
    <t xml:space="preserve">[2023-05-30 05:21:57.211] </t>
  </si>
  <si>
    <t>[2023-05-30 05:05:19.108]  Stop:      Y       17.0      1.5°C</t>
  </si>
  <si>
    <t xml:space="preserve">[2023-05-30 05:13:44.678]   </t>
  </si>
  <si>
    <t>[2023-05-30 05:21:57.211]  Event  Tilt  Heading</t>
  </si>
  <si>
    <t xml:space="preserve">[2023-05-30 05:05:19.155] </t>
  </si>
  <si>
    <t xml:space="preserve">[2023-05-30 05:13:44.693]  Tilt sample interval:  1440 minutes            </t>
  </si>
  <si>
    <t xml:space="preserve">[2023-05-30 05:21:57.242] </t>
  </si>
  <si>
    <t>[2023-05-30 05:05:19.155]  Event 21</t>
  </si>
  <si>
    <t xml:space="preserve">[2023-05-30 05:13:44.757] </t>
  </si>
  <si>
    <t>[2023-05-30 05:21:57.271]    01    1øT   248øH</t>
  </si>
  <si>
    <t xml:space="preserve">[2023-05-30 05:05:19.171] </t>
  </si>
  <si>
    <t>[2023-05-30 05:13:44.757]  Event  Tilt  Heading</t>
  </si>
  <si>
    <t>[2023-05-30 05:21:57.335]    01    2øT   283øH</t>
  </si>
  <si>
    <t>[2023-05-30 05:05:19.171]  Scheduled start time:  04/20/23 00:00:00</t>
  </si>
  <si>
    <t xml:space="preserve">[2023-05-30 05:13:44.788] </t>
  </si>
  <si>
    <t>[2023-05-30 05:21:57.400]    01    1øT   282øH</t>
  </si>
  <si>
    <t>[2023-05-30 05:05:19.221]  Event start time:      04/20/23 00:00:02</t>
  </si>
  <si>
    <t>[2023-05-30 05:13:44.819]    01    1øT   326øH</t>
  </si>
  <si>
    <t>[2023-05-30 05:21:57.449]    01    1øT   278øH</t>
  </si>
  <si>
    <t>[2023-05-30 05:05:19.285]  Event stop time:       04/20/23 00:00:30</t>
  </si>
  <si>
    <t>[2023-05-30 05:13:44.882]    01    1øT   327øH</t>
  </si>
  <si>
    <t>[2023-05-30 05:21:57.511]    01    2øT   313øH</t>
  </si>
  <si>
    <t>[2023-05-30 05:05:19.348]  Event duration:        28 seconds</t>
  </si>
  <si>
    <t>[2023-05-30 05:13:44.930]    01    1øT   313øH</t>
  </si>
  <si>
    <t>[2023-05-30 05:21:57.576]    01    1øT   291øH</t>
  </si>
  <si>
    <t xml:space="preserve">[2023-05-30 05:05:19.399] </t>
  </si>
  <si>
    <t>[2023-05-30 05:13:44.995]    01    1øT   325øH</t>
  </si>
  <si>
    <t>[2023-05-30 05:21:57.623]    01    1øT   296øH</t>
  </si>
  <si>
    <t>[2023-05-30 05:05:19.399]       Aligned    Battery Temperature</t>
  </si>
  <si>
    <t>[2023-05-30 05:13:45.058]    01    2øT   348øH</t>
  </si>
  <si>
    <t>[2023-05-30 05:21:57.688]    01    2øT   306øH</t>
  </si>
  <si>
    <t>[2023-05-30 05:05:19.427]  Start:     Y       17.5      1.4°C</t>
  </si>
  <si>
    <t>[2023-05-30 05:13:45.106]    01    1øT   354øH</t>
  </si>
  <si>
    <t>[2023-05-30 05:21:57.752]    01    2øT   301øH</t>
  </si>
  <si>
    <t>[2023-05-30 05:05:19.473]  Stop:      Y       17.0      1.5°C</t>
  </si>
  <si>
    <t>[2023-05-30 05:13:45.170]    01    1øT    13øH</t>
  </si>
  <si>
    <t>[2023-05-30 05:21:57.800]    01    2øT   296øH</t>
  </si>
  <si>
    <t xml:space="preserve">[2023-05-30 05:05:19.508] </t>
  </si>
  <si>
    <t>[2023-05-30 05:13:45.235]    01    1øT   326øH</t>
  </si>
  <si>
    <t>[2023-05-30 05:21:57.863]    01    2øT   262øH</t>
  </si>
  <si>
    <t>[2023-05-30 05:05:19.508]  Event 22</t>
  </si>
  <si>
    <t>[2023-05-30 05:13:45.283]    01    1øT   359øH</t>
  </si>
  <si>
    <t>[2023-05-30 05:21:57.927]    01    2øT   250øH</t>
  </si>
  <si>
    <t xml:space="preserve">[2023-05-30 05:05:19.525] </t>
  </si>
  <si>
    <t>[2023-05-30 05:13:45.348]    01    1øT    18øH</t>
  </si>
  <si>
    <t>[2023-05-30 05:21:57.976]    01    2øT   270øH</t>
  </si>
  <si>
    <t>[2023-05-30 05:05:19.525]  Scheduled start time:  05/07/23 00:00:00</t>
  </si>
  <si>
    <t>[2023-05-30 05:13:45.411]    01    1øT   355øH</t>
  </si>
  <si>
    <t>[2023-05-30 05:21:58.041]    01    2øT   253øH</t>
  </si>
  <si>
    <t>[2023-05-30 05:05:19.587]  Event start time:      05/07/23 00:00:02</t>
  </si>
  <si>
    <t>[2023-05-30 05:13:45.475]    01    1øT   337øH</t>
  </si>
  <si>
    <t>[2023-05-30 05:21:58.103]    01    2øT   259øH</t>
  </si>
  <si>
    <t>[2023-05-30 05:05:19.653]  Event stop time:       05/07/23 00:00:29</t>
  </si>
  <si>
    <t>[2023-05-30 05:13:45.524]    01    1øT   348øH</t>
  </si>
  <si>
    <t>[2023-05-30 05:21:58.151]    01    1øT   266øH</t>
  </si>
  <si>
    <t>[2023-05-30 05:05:19.719]  Event duration:        27 seconds</t>
  </si>
  <si>
    <t>[2023-05-30 05:13:45.586]    01    1øT   328øH</t>
  </si>
  <si>
    <t>[2023-05-30 05:21:58.217]    02    1øT   294øH</t>
  </si>
  <si>
    <t xml:space="preserve">[2023-05-30 05:05:19.748] </t>
  </si>
  <si>
    <t>[2023-05-30 05:13:45.651]    01    1øT   336øH</t>
  </si>
  <si>
    <t>[2023-05-30 05:21:58.279]    02    2øT   294øH</t>
  </si>
  <si>
    <t>[2023-05-30 05:05:19.748]       Aligned    Battery Temperature</t>
  </si>
  <si>
    <t>[2023-05-30 05:13:45.698]    01    1øT   351øH</t>
  </si>
  <si>
    <t>[2023-05-30 05:21:58.328]    02    2øT   313øH</t>
  </si>
  <si>
    <t>[2023-05-30 05:05:19.795]  Start:     Y       17.4      1.3°C</t>
  </si>
  <si>
    <t>[2023-05-30 05:13:45.762]    02    1øT     3øH</t>
  </si>
  <si>
    <t>[2023-05-30 05:21:58.394]    02    2øT   310øH</t>
  </si>
  <si>
    <t>[2023-05-30 05:05:19.828]  Stop:      Y       16.9      1.4°C</t>
  </si>
  <si>
    <t>[2023-05-30 05:13:45.826]    02    1øT   324øH</t>
  </si>
  <si>
    <t>[2023-05-30 05:21:58.456]    02    2øT   309øH</t>
  </si>
  <si>
    <t xml:space="preserve">[2023-05-30 05:05:19.878] </t>
  </si>
  <si>
    <t>[2023-05-30 05:13:45.874]    02    1øT   351øH</t>
  </si>
  <si>
    <t>[2023-05-30 05:21:58.504]    02    2øT   305øH</t>
  </si>
  <si>
    <t>[2023-05-30 05:05:19.889] 05/07/23 00:00:32 Shutdown condition: Schedule completed.</t>
  </si>
  <si>
    <t>[2023-05-30 05:13:45.938]    02    1øT     4øH</t>
  </si>
  <si>
    <t>[2023-05-30 05:21:58.568]    02    2øT   322øH</t>
  </si>
  <si>
    <t xml:space="preserve">[2023-05-30 05:05:19.955] </t>
  </si>
  <si>
    <t>[2023-05-30 05:13:46.002]    02    1øT   341øH</t>
  </si>
  <si>
    <t>[2023-05-30 05:21:58.632]    02    2øT   304øH</t>
  </si>
  <si>
    <t>[2023-05-30 05:05:19.955] ________________________________________________________________</t>
  </si>
  <si>
    <t>[2023-05-30 05:13:46.066]    02    1øT     0øH</t>
  </si>
  <si>
    <t>[2023-05-30 05:21:58.679]    02    2øT   294øH</t>
  </si>
  <si>
    <t>[2023-05-30 05:05:20.019] Configuration: PST-21                   CF2 V3_09 of May 16 2014</t>
  </si>
  <si>
    <t>[2023-05-30 05:13:46.130]    02    2øT     7øH</t>
  </si>
  <si>
    <t>[2023-05-30 05:21:58.743]    02    2øT   278øH</t>
  </si>
  <si>
    <t xml:space="preserve">[2023-05-30 05:05:20.100] </t>
  </si>
  <si>
    <t>[2023-05-30 05:13:46.195]    02    1øT    17øH</t>
  </si>
  <si>
    <t>[2023-05-30 05:21:58.808]    02    2øT   276øH</t>
  </si>
  <si>
    <t>[2023-05-30 05:05:20.100]                _________________________________</t>
  </si>
  <si>
    <t>[2023-05-30 05:13:46.242]    02    1øT   358øH</t>
  </si>
  <si>
    <t>[2023-05-30 05:21:58.856]    02    2øT   281øH</t>
  </si>
  <si>
    <t>[2023-05-30 05:05:20.147]                    Offload/Display Data File</t>
  </si>
  <si>
    <t>[2023-05-30 05:13:46.306]    02    1øT    11øH</t>
  </si>
  <si>
    <t>[2023-05-30 05:21:58.918]    02    2øT   292øH</t>
  </si>
  <si>
    <t>[2023-05-30 05:05:20.196]                _________________________________</t>
  </si>
  <si>
    <t>[2023-05-30 05:13:46.372]    02    1øT   343øH</t>
  </si>
  <si>
    <t>[2023-05-30 05:21:58.984]    02    1øT   297øH</t>
  </si>
  <si>
    <t>[2023-05-30 05:05:20.260]                    Tue May 30 05:03:49 2023</t>
  </si>
  <si>
    <t>[2023-05-30 05:13:46.418]    02    1øT    35øH</t>
  </si>
  <si>
    <t>[2023-05-30 05:21:59.032]    02    2øT   173øH</t>
  </si>
  <si>
    <t xml:space="preserve">[2023-05-30 05:05:20.307] </t>
  </si>
  <si>
    <t>[2023-05-30 05:13:46.482]    02    1øT   357øH</t>
  </si>
  <si>
    <t>[2023-05-30 05:21:59.096]    02    2øT   336øH</t>
  </si>
  <si>
    <t xml:space="preserve">[2023-05-30 05:05:20.307]                 &lt;1&gt; Display all data     </t>
  </si>
  <si>
    <t>[2023-05-30 05:13:46.548]    02    1øT    30øH</t>
  </si>
  <si>
    <t>[2023-05-30 05:21:59.161]    03    2øT   339øH</t>
  </si>
  <si>
    <t>[2023-05-30 05:05:20.356]                 &lt;2&gt; Display backup EEPROM</t>
  </si>
  <si>
    <t>[2023-05-30 05:13:46.610]    02    0øT   326øH</t>
  </si>
  <si>
    <t>[2023-05-30 05:21:59.207]    03    2øT   339øH</t>
  </si>
  <si>
    <t xml:space="preserve">[2023-05-30 05:05:20.404]                 &lt;M&gt; Main Menu            </t>
  </si>
  <si>
    <t>[2023-05-30 05:13:46.657]    02    1øT    31øH</t>
  </si>
  <si>
    <t>[2023-05-30 05:21:59.271]    03    2øT   327øH</t>
  </si>
  <si>
    <t xml:space="preserve">[2023-05-30 05:05:20.435] </t>
  </si>
  <si>
    <t>[2023-05-30 05:13:46.722]    03    1øT    22øH</t>
  </si>
  <si>
    <t>[2023-05-30 05:21:59.335]    03    2øT   321øH</t>
  </si>
  <si>
    <t>[2023-05-30 05:05:20.450]                 Selection [1] ? 2</t>
  </si>
  <si>
    <t>[2023-05-30 05:13:46.785]    03    2øT    33øH</t>
  </si>
  <si>
    <t>[2023-05-30 05:21:59.384]    03    2øT   316øH</t>
  </si>
  <si>
    <t xml:space="preserve">[2023-05-30 05:08:19.629] </t>
  </si>
  <si>
    <t>[2023-05-30 05:13:46.850]    03    1øT   357øH</t>
  </si>
  <si>
    <t>[2023-05-30 05:21:59.447]    03    2øT   319øH</t>
  </si>
  <si>
    <t>[2023-05-30 05:08:19.629]  During deployments, a backup copy of the instrument data</t>
  </si>
  <si>
    <t>[2023-05-30 05:13:46.898]    03    1øT    22øH</t>
  </si>
  <si>
    <t>[2023-05-30 05:21:59.512]    03    2øT   316øH</t>
  </si>
  <si>
    <t>[2023-05-30 05:08:19.688]  is written to non-volatile EEPROM storage. This allows</t>
  </si>
  <si>
    <t>[2023-05-30 05:13:46.962]    03    1øT    10øH</t>
  </si>
  <si>
    <t>[2023-05-30 05:21:59.559]    03    2øT   283øH</t>
  </si>
  <si>
    <t>[2023-05-30 05:08:19.735]  for data recovery in the event the instrument data</t>
  </si>
  <si>
    <t>[2023-05-30 05:13:47.026]    03    1øT    12øH</t>
  </si>
  <si>
    <t>[2023-05-30 05:21:59.624]    03    2øT   310øH</t>
  </si>
  <si>
    <t>[2023-05-30 05:08:19.799]  is no longer resident in active memory.</t>
  </si>
  <si>
    <t>[2023-05-30 05:13:47.091]    03    1øT   357øH</t>
  </si>
  <si>
    <t>[2023-05-30 05:21:59.688]    03    2øT   286øH</t>
  </si>
  <si>
    <t xml:space="preserve">[2023-05-30 05:08:19.847] </t>
  </si>
  <si>
    <t>[2023-05-30 05:13:47.139]    03    1øT    41øH</t>
  </si>
  <si>
    <t>[2023-05-30 05:21:59.735]    03    2øT   333øH</t>
  </si>
  <si>
    <t>[2023-05-30 05:08:19.847]  To copy the EEPROM cache to a disk file, initiate your</t>
  </si>
  <si>
    <t>[2023-05-30 05:13:47.202]    03    1øT     6øH</t>
  </si>
  <si>
    <t>[2023-05-30 05:21:59.800]    03    2øT   249øH</t>
  </si>
  <si>
    <t>[2023-05-30 05:08:19.895]  communication program's file logging command now and then press</t>
  </si>
  <si>
    <t>[2023-05-30 05:13:47.266]    03    1øT     2øH</t>
  </si>
  <si>
    <t>[2023-05-30 05:21:59.863]    03    2øT   275øH</t>
  </si>
  <si>
    <t>[2023-05-30 05:08:19.975]  any key to start the transfer. The cache remains resident in</t>
  </si>
  <si>
    <t>[2023-05-30 05:13:47.330]    03    1øT    10øH</t>
  </si>
  <si>
    <t>[2023-05-30 05:21:59.912]    03    2øT   278øH</t>
  </si>
  <si>
    <t>[2023-05-30 05:08:20.039]  the EEPROM until overwritten during the next deployment.</t>
  </si>
  <si>
    <t>[2023-05-30 05:13:47.393]    03    1øT   322øH</t>
  </si>
  <si>
    <t>[2023-05-30 05:21:59.976]    03    2øT   328øH</t>
  </si>
  <si>
    <t xml:space="preserve">[2023-05-30 05:08:20.106] </t>
  </si>
  <si>
    <t>[2023-05-30 05:13:47.441]    03    1øT   343øH</t>
  </si>
  <si>
    <t>[2023-05-30 05:22:00.039]    03    2øT   329øH</t>
  </si>
  <si>
    <t xml:space="preserve">[2023-05-30 05:08:22.916] </t>
  </si>
  <si>
    <t>[2023-05-30 05:13:47.507]    03    0øT     3øH</t>
  </si>
  <si>
    <t>[2023-05-30 05:22:00.086]    04    3øT   348øH</t>
  </si>
  <si>
    <t>[2023-05-30 05:13:47.570]    03    1øT   345øH</t>
  </si>
  <si>
    <t>[2023-05-30 05:22:00.151]    04    2øT   332øH</t>
  </si>
  <si>
    <t>[2023-05-30 05:08:22.916]  Event Summary:</t>
  </si>
  <si>
    <t>[2023-05-30 05:13:47.633]    03    0øT   359øH</t>
  </si>
  <si>
    <t>[2023-05-30 05:22:00.217]    04    2øT   356øH</t>
  </si>
  <si>
    <t xml:space="preserve">[2023-05-30 05:08:22.952] </t>
  </si>
  <si>
    <t>[2023-05-30 05:13:47.681]    04    1øT     5øH</t>
  </si>
  <si>
    <t>[2023-05-30 05:22:00.263]    04    2øT   330øH</t>
  </si>
  <si>
    <t>[2023-05-30 05:08:22.952]  Event 01</t>
  </si>
  <si>
    <t>[2023-05-30 05:13:47.745]    04    0øT   332øH</t>
  </si>
  <si>
    <t>[2023-05-30 05:22:00.327]    04    2øT   343øH</t>
  </si>
  <si>
    <t xml:space="preserve">[2023-05-30 05:08:22.970] </t>
  </si>
  <si>
    <t>[2023-05-30 05:13:47.809]    04    0øT    33øH</t>
  </si>
  <si>
    <t>[2023-05-30 05:22:00.391]    04    2øT   331øH</t>
  </si>
  <si>
    <t>[2023-05-30 05:08:22.970]  Scheduled start time:  05/15/22 00:00:00</t>
  </si>
  <si>
    <t>[2023-05-30 05:13:47.873]    04    1øT    22øH</t>
  </si>
  <si>
    <t>[2023-05-30 05:22:00.440]    04    2øT   319øH</t>
  </si>
  <si>
    <t>[2023-05-30 05:08:23.027]  Event start time:      05/15/22 00:00:02</t>
  </si>
  <si>
    <t>[2023-05-30 05:13:47.921]    04    0øT    10øH</t>
  </si>
  <si>
    <t>[2023-05-30 05:22:00.502]    04    2øT   294øH</t>
  </si>
  <si>
    <t>[2023-05-30 05:08:23.077]  Event stop time:       05/15/22 00:00:29</t>
  </si>
  <si>
    <t>[2023-05-30 05:13:47.985]    04    0øT   293øH</t>
  </si>
  <si>
    <t>[2023-05-30 05:22:00.567]    04    2øT   298øH</t>
  </si>
  <si>
    <t>[2023-05-30 05:08:23.141]  Event duration:        27 seconds</t>
  </si>
  <si>
    <t>[2023-05-30 05:13:48.050]    04    0øT   320øH</t>
  </si>
  <si>
    <t>[2023-05-30 05:22:00.615]    04    2øT   288øH</t>
  </si>
  <si>
    <t xml:space="preserve">[2023-05-30 05:08:23.188] </t>
  </si>
  <si>
    <t>[2023-05-30 05:13:48.097]    04    0øT   247øH</t>
  </si>
  <si>
    <t>[2023-05-30 05:22:00.678]    04    2øT   298øH</t>
  </si>
  <si>
    <t>[2023-05-30 05:08:23.188]          Aligned  Battery  Temperature</t>
  </si>
  <si>
    <t>[2023-05-30 05:13:48.162]    04    1øT   326øH</t>
  </si>
  <si>
    <t>[2023-05-30 05:22:00.743]    04    2øT   329øH</t>
  </si>
  <si>
    <t>[2023-05-30 05:08:23.238]  Start:     Y       20.3      1.4 °C</t>
  </si>
  <si>
    <t>[2023-05-30 05:13:48.225]    04    1øT   312øH</t>
  </si>
  <si>
    <t>[2023-05-30 05:22:00.790]    04    2øT   322øH</t>
  </si>
  <si>
    <t>[2023-05-30 05:08:23.270]  Stop:      Y       19.9      1.5 °C</t>
  </si>
  <si>
    <t>[2023-05-30 05:13:48.273]    04    1øT   321øH</t>
  </si>
  <si>
    <t>[2023-05-30 05:22:00.856]    04    2øT   333øH</t>
  </si>
  <si>
    <t xml:space="preserve">[2023-05-30 05:08:23.317] </t>
  </si>
  <si>
    <t>[2023-05-30 05:13:48.337]    04    1øT   360øH</t>
  </si>
  <si>
    <t>[2023-05-30 05:22:00.919]    04    2øT   341øH</t>
  </si>
  <si>
    <t>[2023-05-30 05:08:23.317]  Event 02</t>
  </si>
  <si>
    <t>[2023-05-30 05:13:48.401]    04    0øT   309øH</t>
  </si>
  <si>
    <t>[2023-05-30 05:22:00.967]    04    2øT   356øH</t>
  </si>
  <si>
    <t xml:space="preserve">[2023-05-30 05:08:23.336] </t>
  </si>
  <si>
    <t>[2023-05-30 05:13:48.465]    04    1øT     4øH</t>
  </si>
  <si>
    <t>[2023-05-30 05:22:01.031]    05    2øT   351øH</t>
  </si>
  <si>
    <t>[2023-05-30 05:08:23.336]  Scheduled start time:  06/01/22 00:00:00</t>
  </si>
  <si>
    <t>[2023-05-30 05:13:48.529]    04    0øT     7øH</t>
  </si>
  <si>
    <t>[2023-05-30 05:22:01.094]    05    2øT   352øH</t>
  </si>
  <si>
    <t>[2023-05-30 05:08:23.397]  Event start time:      06/01/22 00:00:02</t>
  </si>
  <si>
    <t>[2023-05-30 05:13:48.576]    04    1øT    24øH</t>
  </si>
  <si>
    <t>[2023-05-30 05:22:01.159]    05    2øT     6øH</t>
  </si>
  <si>
    <t>[2023-05-30 05:08:23.463]  Event stop time:       06/01/22 00:00:29</t>
  </si>
  <si>
    <t>[2023-05-30 05:13:48.640]    05    0øT   354øH</t>
  </si>
  <si>
    <t>[2023-05-30 05:22:01.207]    05    2øT   346øH</t>
  </si>
  <si>
    <t>[2023-05-30 05:08:23.525]  Event duration:        27 seconds</t>
  </si>
  <si>
    <t>[2023-05-30 05:13:48.707]    05    1øT    31øH</t>
  </si>
  <si>
    <t>[2023-05-30 05:22:01.270]    05    2øT   332øH</t>
  </si>
  <si>
    <t xml:space="preserve">[2023-05-30 05:08:23.556] </t>
  </si>
  <si>
    <t>[2023-05-30 05:13:48.768]    05    1øT    48øH</t>
  </si>
  <si>
    <t>[2023-05-30 05:22:01.334]    05    2øT   347øH</t>
  </si>
  <si>
    <t>[2023-05-30 05:08:23.556]          Aligned  Battery  Temperature</t>
  </si>
  <si>
    <t>[2023-05-30 05:13:48.816]    05    1øT    32øH</t>
  </si>
  <si>
    <t>[2023-05-30 05:22:01.384]    05    2øT   350øH</t>
  </si>
  <si>
    <t>[2023-05-30 05:08:23.604]  Start:     Y       20.0      1.3 °C</t>
  </si>
  <si>
    <t>[2023-05-30 05:13:48.882]    05    0øT   336øH</t>
  </si>
  <si>
    <t>[2023-05-30 05:22:01.446]    05    2øT   358øH</t>
  </si>
  <si>
    <t>[2023-05-30 05:08:23.652]  Stop:      Y       19.7      1.5 °C</t>
  </si>
  <si>
    <t>[2023-05-30 05:13:48.945]    05    0øT    52øH</t>
  </si>
  <si>
    <t>[2023-05-30 05:22:01.511]    05    2øT   352øH</t>
  </si>
  <si>
    <t xml:space="preserve">[2023-05-30 05:08:23.700] </t>
  </si>
  <si>
    <t>[2023-05-30 05:13:49.012]    05    1øT    16øH</t>
  </si>
  <si>
    <t>[2023-05-30 05:22:01.557]    05    1øT   354øH</t>
  </si>
  <si>
    <t>[2023-05-30 05:08:23.700]  Event 03</t>
  </si>
  <si>
    <t>[2023-05-30 05:13:49.056]    05    1øT    52øH</t>
  </si>
  <si>
    <t>[2023-05-30 05:22:01.622]    05    2øT     5øH</t>
  </si>
  <si>
    <t xml:space="preserve">[2023-05-30 05:08:23.719] </t>
  </si>
  <si>
    <t>[2023-05-30 05:13:49.121]    05    2øT    47øH</t>
  </si>
  <si>
    <t>[2023-05-30 05:22:01.686]    05    3øT    11øH</t>
  </si>
  <si>
    <t>[2023-05-30 05:08:23.719]  Scheduled start time:  06/18/22 00:00:00</t>
  </si>
  <si>
    <t>[2023-05-30 05:13:49.185]    05    0øT    48øH</t>
  </si>
  <si>
    <t>[2023-05-30 05:22:01.751]    05    2øT   356øH</t>
  </si>
  <si>
    <t>[2023-05-30 05:08:23.781]  Event start time:      06/18/22 00:00:02</t>
  </si>
  <si>
    <t>[2023-05-30 05:13:49.248]    05    1øT    62øH</t>
  </si>
  <si>
    <t>[2023-05-30 05:22:01.814]    05    2øT     6øH</t>
  </si>
  <si>
    <t>[2023-05-30 05:08:23.845]  Event stop time:       06/18/22 00:00:29</t>
  </si>
  <si>
    <t>[2023-05-30 05:13:49.296]    05    1øT    18øH</t>
  </si>
  <si>
    <t>[2023-05-30 05:22:01.881]    05    2øT     0øH</t>
  </si>
  <si>
    <t>[2023-05-30 05:08:23.906]  Event duration:        27 seconds</t>
  </si>
  <si>
    <t>[2023-05-30 05:13:49.362]    05    0øT    43øH</t>
  </si>
  <si>
    <t>[2023-05-30 05:22:01.926]    05    2øT     4øH</t>
  </si>
  <si>
    <t xml:space="preserve">[2023-05-30 05:08:23.943] </t>
  </si>
  <si>
    <t>[2023-05-30 05:13:49.424]    05    1øT    33øH</t>
  </si>
  <si>
    <t>[2023-05-30 05:22:01.990]    06    2øT   335øH</t>
  </si>
  <si>
    <t>[2023-05-30 05:08:23.943]          Aligned  Battery  Temperature</t>
  </si>
  <si>
    <t>[2023-05-30 05:13:49.488]    05    1øT    22øH</t>
  </si>
  <si>
    <t>[2023-05-30 05:22:02.054]    06    2øT   323øH</t>
  </si>
  <si>
    <t>[2023-05-30 05:08:23.988]  Start:     Y       19.8      1.4 °C</t>
  </si>
  <si>
    <t>[2023-05-30 05:13:49.554]    05    1øT    55øH</t>
  </si>
  <si>
    <t>[2023-05-30 05:22:02.104]    06    2øT   325øH</t>
  </si>
  <si>
    <t>[2023-05-30 05:08:24.020]  Stop:      Y       19.4      1.5 °C</t>
  </si>
  <si>
    <t>[2023-05-30 05:13:49.601]    06    1øT    29øH</t>
  </si>
  <si>
    <t>[2023-05-30 05:22:02.167]    06    2øT   299øH</t>
  </si>
  <si>
    <t xml:space="preserve">[2023-05-30 05:08:24.086] </t>
  </si>
  <si>
    <t>[2023-05-30 05:13:49.664]    06    1øT   331øH</t>
  </si>
  <si>
    <t>[2023-05-30 05:22:02.230]    06    2øT   289øH</t>
  </si>
  <si>
    <t>[2023-05-30 05:08:24.086]  Event 04</t>
  </si>
  <si>
    <t>[2023-05-30 05:13:49.729]    06    1øT   320øH</t>
  </si>
  <si>
    <t>[2023-05-30 05:22:02.279]    06    2øT   306øH</t>
  </si>
  <si>
    <t xml:space="preserve">[2023-05-30 05:08:24.103] </t>
  </si>
  <si>
    <t>[2023-05-30 05:13:49.776]    06    1øT   294øH</t>
  </si>
  <si>
    <t>[2023-05-30 05:22:02.342]    06    1øT   315øH</t>
  </si>
  <si>
    <t>[2023-05-30 05:08:24.103]  Scheduled start time:  07/05/22 00:00:00</t>
  </si>
  <si>
    <t>[2023-05-30 05:13:49.840]    06    1øT   327øH</t>
  </si>
  <si>
    <t>[2023-05-30 05:22:02.406]    06    2øT   309øH</t>
  </si>
  <si>
    <t>[2023-05-30 05:08:24.162]  Event start time:      07/05/22 00:00:02</t>
  </si>
  <si>
    <t>[2023-05-30 05:13:49.904]    06    1øT   356øH</t>
  </si>
  <si>
    <t>[2023-05-30 05:22:02.453]    06    2øT   319øH</t>
  </si>
  <si>
    <t>[2023-05-30 05:08:24.212]  Event stop time:       07/05/22 00:00:29</t>
  </si>
  <si>
    <t>[2023-05-30 05:13:49.952]    06    1øT   335øH</t>
  </si>
  <si>
    <t>[2023-05-30 05:22:02.518]    06    2øT   326øH</t>
  </si>
  <si>
    <t>[2023-05-30 05:08:24.276]  Event duration:        27 seconds</t>
  </si>
  <si>
    <t>[2023-05-30 05:13:50.016]    06    1øT   337øH</t>
  </si>
  <si>
    <t>[2023-05-30 05:22:02.582]    06    2øT   310øH</t>
  </si>
  <si>
    <t xml:space="preserve">[2023-05-30 05:08:24.325] </t>
  </si>
  <si>
    <t>[2023-05-30 05:13:50.080]    06    1øT    11øH</t>
  </si>
  <si>
    <t>[2023-05-30 05:22:02.628]    06    2øT   311øH</t>
  </si>
  <si>
    <t>[2023-05-30 05:08:24.325]          Aligned  Battery  Temperature</t>
  </si>
  <si>
    <t>[2023-05-30 05:13:50.143]    06    1øT     7øH</t>
  </si>
  <si>
    <t>[2023-05-30 05:22:02.693]    06    2øT   314øH</t>
  </si>
  <si>
    <t>[2023-05-30 05:08:24.356]  Start:     Y       19.6      1.4 °C</t>
  </si>
  <si>
    <t>[2023-05-30 05:13:50.208]    06    1øT     0øH</t>
  </si>
  <si>
    <t>[2023-05-30 05:22:02.758]    06    2øT   303øH</t>
  </si>
  <si>
    <t>[2023-05-30 05:08:24.405]  Stop:      Y       19.2      1.5 °C</t>
  </si>
  <si>
    <t>[2023-05-30 05:13:50.257]    06    1øT   340øH</t>
  </si>
  <si>
    <t>[2023-05-30 05:22:02.805]    06    2øT   284øH</t>
  </si>
  <si>
    <t xml:space="preserve">[2023-05-30 05:08:24.454] </t>
  </si>
  <si>
    <t>[2023-05-30 05:13:50.319]    06    1øT    34øH</t>
  </si>
  <si>
    <t>[2023-05-30 05:22:02.869]    06    2øT   255øH</t>
  </si>
  <si>
    <t>[2023-05-30 05:08:24.471]  Event 05</t>
  </si>
  <si>
    <t>[2023-05-30 05:13:50.385]    06    0øT     7øH</t>
  </si>
  <si>
    <t>[2023-05-30 05:22:02.934]    07    2øT   204øH</t>
  </si>
  <si>
    <t xml:space="preserve">[2023-05-30 05:08:24.471] </t>
  </si>
  <si>
    <t>[2023-05-30 05:13:50.448]    06    1øT    50øH</t>
  </si>
  <si>
    <t>[2023-05-30 05:22:02.982]    07    2øT   248øH</t>
  </si>
  <si>
    <t>[2023-05-30 05:08:24.471]  Scheduled start time:  07/22/22 00:00:00</t>
  </si>
  <si>
    <t>[2023-05-30 05:13:50.497]    06    0øT   162øH</t>
  </si>
  <si>
    <t>[2023-05-30 05:22:03.048]    07    2øT   230øH</t>
  </si>
  <si>
    <t>[2023-05-30 05:08:24.532]  Event start time:      07/22/22 00:00:02</t>
  </si>
  <si>
    <t>[2023-05-30 05:13:50.559]    07    0øT    27øH</t>
  </si>
  <si>
    <t>[2023-05-30 05:22:03.110]    07    2øT   276øH</t>
  </si>
  <si>
    <t>[2023-05-30 05:08:24.595]  Event stop time:       07/22/22 00:00:29</t>
  </si>
  <si>
    <t>[2023-05-30 05:13:50.623]    07    0øT   306øH</t>
  </si>
  <si>
    <t>[2023-05-30 05:22:03.158]    07    2øT   270øH</t>
  </si>
  <si>
    <t>[2023-05-30 05:08:24.659]  Event duration:        27 seconds</t>
  </si>
  <si>
    <t>[2023-05-30 05:13:50.688]    07    0øT   208øH</t>
  </si>
  <si>
    <t>[2023-05-30 05:22:03.222]    07    2øT   312øH</t>
  </si>
  <si>
    <t xml:space="preserve">[2023-05-30 05:08:24.691] </t>
  </si>
  <si>
    <t>[2023-05-30 05:13:50.735]    07    1øT    16øH</t>
  </si>
  <si>
    <t>[2023-05-30 05:22:03.286]    07    2øT   307øH</t>
  </si>
  <si>
    <t>[2023-05-30 05:08:24.691]          Aligned  Battery  Temperature</t>
  </si>
  <si>
    <t>[2023-05-30 05:13:50.799]    07    0øT   262øH</t>
  </si>
  <si>
    <t>[2023-05-30 05:22:03.351]    07    2øT   329øH</t>
  </si>
  <si>
    <t>[2023-05-30 05:08:24.740]  Start:     Y       19.4      1.4 °C</t>
  </si>
  <si>
    <t>[2023-05-30 05:13:50.864]    07    0øT     8øH</t>
  </si>
  <si>
    <t>[2023-05-30 05:22:03.398]    07    2øT   310øH</t>
  </si>
  <si>
    <t>[2023-05-30 05:08:24.786]  Stop:      Y       19.0      1.5 °C</t>
  </si>
  <si>
    <t>[2023-05-30 05:13:50.927]    07    0øT   354øH</t>
  </si>
  <si>
    <t>[2023-05-30 05:22:03.461]    07    2øT   333øH</t>
  </si>
  <si>
    <t xml:space="preserve">[2023-05-30 05:08:24.834] </t>
  </si>
  <si>
    <t>[2023-05-30 05:13:50.975]    07    1øT    65øH</t>
  </si>
  <si>
    <t>[2023-05-30 05:22:03.525]    07    2øT   312øH</t>
  </si>
  <si>
    <t>[2023-05-30 05:08:24.834]  Event 06</t>
  </si>
  <si>
    <t>[2023-05-30 05:13:51.040]    07    1øT   352øH</t>
  </si>
  <si>
    <t>[2023-05-30 05:22:03.574]    07    2øT   332øH</t>
  </si>
  <si>
    <t xml:space="preserve">[2023-05-30 05:08:24.853] </t>
  </si>
  <si>
    <t>[2023-05-30 05:13:51.105]    07    1øT    60øH</t>
  </si>
  <si>
    <t>[2023-05-30 05:22:03.637]    07    2øT   302øH</t>
  </si>
  <si>
    <t>[2023-05-30 05:08:24.853]  Scheduled start time:  08/08/22 00:00:00</t>
  </si>
  <si>
    <t>[2023-05-30 05:13:51.150]    07    1øT   355øH</t>
  </si>
  <si>
    <t>[2023-05-30 05:22:03.702]    07    2øT   335øH</t>
  </si>
  <si>
    <t>[2023-05-30 05:08:24.914]  Event start time:      08/08/22 00:00:02</t>
  </si>
  <si>
    <t>[2023-05-30 05:13:51.215]    07    1øT    66øH</t>
  </si>
  <si>
    <t>[2023-05-30 05:22:03.751]    07    2øT   281øH</t>
  </si>
  <si>
    <t>[2023-05-30 05:08:24.977]  Event stop time:       08/08/22 00:00:29</t>
  </si>
  <si>
    <t>[2023-05-30 05:13:51.278]    07    1øT   352øH</t>
  </si>
  <si>
    <t>[2023-05-30 05:22:03.813]    07    2øT   236øH</t>
  </si>
  <si>
    <t>[2023-05-30 05:08:25.043]  Event duration:        27 seconds</t>
  </si>
  <si>
    <t>[2023-05-30 05:13:51.344]    07    1øT   131øH</t>
  </si>
  <si>
    <t>[2023-05-30 05:22:03.879]    08    2øT   292øH</t>
  </si>
  <si>
    <t xml:space="preserve">[2023-05-30 05:08:25.073] </t>
  </si>
  <si>
    <t>[2023-05-30 05:13:51.391]    07    0øT   326øH</t>
  </si>
  <si>
    <t>[2023-05-30 05:22:03.925]    08    2øT   297øH</t>
  </si>
  <si>
    <t>[2023-05-30 05:08:25.073]          Aligned  Battery  Temperature</t>
  </si>
  <si>
    <t>[2023-05-30 05:13:51.454]    07    0øT   188øH</t>
  </si>
  <si>
    <t>[2023-05-30 05:22:03.990]    08    2øT   312øH</t>
  </si>
  <si>
    <t>[2023-05-30 05:08:25.121]  Start:     Y       19.2      1.2 °C</t>
  </si>
  <si>
    <t>[2023-05-30 05:13:51.519]    08    0øT   263øH</t>
  </si>
  <si>
    <t>[2023-05-30 05:22:04.053]    08    2øT   324øH</t>
  </si>
  <si>
    <t>[2023-05-30 05:08:25.171]  Stop:      Y       18.8      1.4 °C</t>
  </si>
  <si>
    <t>[2023-05-30 05:13:51.566]    08    1øT   302øH</t>
  </si>
  <si>
    <t>[2023-05-30 05:22:04.101]    08    2øT   345øH</t>
  </si>
  <si>
    <t xml:space="preserve">[2023-05-30 05:08:25.218] </t>
  </si>
  <si>
    <t>[2023-05-30 05:13:51.632]    08    1øT   327øH</t>
  </si>
  <si>
    <t>[2023-05-30 05:22:04.165]    08    2øT   337øH</t>
  </si>
  <si>
    <t>[2023-05-30 05:08:25.218]  Event 07</t>
  </si>
  <si>
    <t>[2023-05-30 05:13:51.694]    08    1øT     8øH</t>
  </si>
  <si>
    <t>[2023-05-30 05:22:04.231]    08    2øT   346øH</t>
  </si>
  <si>
    <t xml:space="preserve">[2023-05-30 05:08:25.237] </t>
  </si>
  <si>
    <t>[2023-05-30 05:13:51.757]    08    1øT    27øH</t>
  </si>
  <si>
    <t>[2023-05-30 05:22:04.277]    08    2øT   335øH</t>
  </si>
  <si>
    <t>[2023-05-30 05:08:25.237]  Scheduled start time:  08/25/22 00:00:00</t>
  </si>
  <si>
    <t>[2023-05-30 05:13:51.807]    08    1øT    14øH</t>
  </si>
  <si>
    <t>[2023-05-30 05:22:04.341]    08    2øT   317øH</t>
  </si>
  <si>
    <t>[2023-05-30 05:08:25.298]  Event start time:      08/25/22 00:00:02</t>
  </si>
  <si>
    <t>[2023-05-30 05:13:51.871]    08    2øT    38øH</t>
  </si>
  <si>
    <t>[2023-05-30 05:22:04.405]    08    2øT   310øH</t>
  </si>
  <si>
    <t>[2023-05-30 05:08:25.360]  Event stop time:       08/25/22 00:00:29</t>
  </si>
  <si>
    <t>[2023-05-30 05:13:51.934]    08    1øT    25øH</t>
  </si>
  <si>
    <t>[2023-05-30 05:22:04.453]    08    2øT   291øH</t>
  </si>
  <si>
    <t>[2023-05-30 05:08:25.409]  Event duration:        27 seconds</t>
  </si>
  <si>
    <t>[2023-05-30 05:13:52.000]    08    1øT   344øH</t>
  </si>
  <si>
    <t>[2023-05-30 05:22:04.518]    08    2øT   290øH</t>
  </si>
  <si>
    <t xml:space="preserve">[2023-05-30 05:08:25.457] </t>
  </si>
  <si>
    <t>[2023-05-30 05:13:52.046]    08    1øT   356øH</t>
  </si>
  <si>
    <t>[2023-05-30 05:22:04.582]    08    2øT   292øH</t>
  </si>
  <si>
    <t>[2023-05-30 05:08:25.457]          Aligned  Battery  Temperature</t>
  </si>
  <si>
    <t>[2023-05-30 05:13:52.110]    08    0øT   303øH</t>
  </si>
  <si>
    <t>[2023-05-30 05:22:04.630]    08    2øT   301øH</t>
  </si>
  <si>
    <t>[2023-05-30 05:08:25.504]  Start:     Y       19.1      1.2 °C</t>
  </si>
  <si>
    <t>[2023-05-30 05:13:52.177]    08    1øT   323øH</t>
  </si>
  <si>
    <t>[2023-05-30 05:22:04.693]    08    2øT   298øH</t>
  </si>
  <si>
    <t>[2023-05-30 05:08:25.537]  Stop:      Y       18.6      1.3 °C</t>
  </si>
  <si>
    <t>[2023-05-30 05:13:52.222]    08    1øT   330øH</t>
  </si>
  <si>
    <t>[2023-05-30 05:22:04.761]    08    2øT   291øH</t>
  </si>
  <si>
    <t xml:space="preserve">[2023-05-30 05:08:25.602] </t>
  </si>
  <si>
    <t>[2023-05-30 05:13:52.286]    08    1øT   339øH</t>
  </si>
  <si>
    <t>[2023-05-30 05:22:04.805]    09    2øT   319øH</t>
  </si>
  <si>
    <t>[2023-05-30 05:08:25.602]  Event 08</t>
  </si>
  <si>
    <t>[2023-05-30 05:13:52.350]    08    1øT   324øH</t>
  </si>
  <si>
    <t>[2023-05-30 05:22:04.869]    09    2øT   332øH</t>
  </si>
  <si>
    <t xml:space="preserve">[2023-05-30 05:08:25.619] </t>
  </si>
  <si>
    <t>[2023-05-30 05:13:52.398]    08    0øT   334øH</t>
  </si>
  <si>
    <t>[2023-05-30 05:22:04.934]    09    2øT   338øH</t>
  </si>
  <si>
    <t>[2023-05-30 05:08:25.619]  Scheduled start time:  09/11/22 00:00:00</t>
  </si>
  <si>
    <t>[2023-05-30 05:13:52.462]    09    0øT    26øH</t>
  </si>
  <si>
    <t>[2023-05-30 05:22:04.981]    09    2øT   345øH</t>
  </si>
  <si>
    <t>[2023-05-30 05:08:25.681]  Event start time:      09/11/22 00:00:02</t>
  </si>
  <si>
    <t>[2023-05-30 05:13:52.526]    09    0øT    23øH</t>
  </si>
  <si>
    <t>[2023-05-30 05:22:05.046]    09    2øT   344øH</t>
  </si>
  <si>
    <t>[2023-05-30 05:08:25.729]  Event stop time:       09/11/22 00:00:29</t>
  </si>
  <si>
    <t>[2023-05-30 05:13:52.590]    09    1øT    16øH</t>
  </si>
  <si>
    <t>[2023-05-30 05:22:05.109]    09    2øT   333øH</t>
  </si>
  <si>
    <t>[2023-05-30 05:08:25.793]  Event duration:        27 seconds</t>
  </si>
  <si>
    <t>[2023-05-30 05:13:52.638]    09    1øT    43øH</t>
  </si>
  <si>
    <t>[2023-05-30 05:22:05.157]    09    2øT   311øH</t>
  </si>
  <si>
    <t xml:space="preserve">[2023-05-30 05:08:25.840] </t>
  </si>
  <si>
    <t>[2023-05-30 05:13:52.705]    09    1øT   355øH</t>
  </si>
  <si>
    <t>[2023-05-30 05:22:05.221]    09    2øT   320øH</t>
  </si>
  <si>
    <t>[2023-05-30 05:08:25.840]          Aligned  Battery  Temperature</t>
  </si>
  <si>
    <t>[2023-05-30 05:13:52.765]    09    1øT    51øH</t>
  </si>
  <si>
    <t>[2023-05-30 05:22:05.286]    09    2øT   314øH</t>
  </si>
  <si>
    <t>[2023-05-30 05:08:25.888]  Start:     Y       18.9      1.3 °C</t>
  </si>
  <si>
    <t>[2023-05-30 05:13:52.830]    09    0øT   338øH</t>
  </si>
  <si>
    <t>[2023-05-30 05:22:05.333]    09    2øT   317øH</t>
  </si>
  <si>
    <t>[2023-05-30 05:08:25.921]  Stop:      Y       18.5      1.4 °C</t>
  </si>
  <si>
    <t>[2023-05-30 05:13:52.878]    09    1øT    18øH</t>
  </si>
  <si>
    <t>[2023-05-30 05:22:05.397]    09    2øT   317øH</t>
  </si>
  <si>
    <t xml:space="preserve">[2023-05-30 05:08:25.986] </t>
  </si>
  <si>
    <t>[2023-05-30 05:13:52.941]    09    1øT   296øH</t>
  </si>
  <si>
    <t>[2023-05-30 05:22:05.461]    09    2øT   310øH</t>
  </si>
  <si>
    <t>[2023-05-30 05:08:25.986]  Event 09</t>
  </si>
  <si>
    <t>[2023-05-30 05:13:53.005]    09    0øT   267øH</t>
  </si>
  <si>
    <t>[2023-05-30 05:22:05.509]    09    2øT   327øH</t>
  </si>
  <si>
    <t xml:space="preserve">[2023-05-30 05:08:26.004] </t>
  </si>
  <si>
    <t>[2023-05-30 05:13:53.053]    09    0øT    32øH</t>
  </si>
  <si>
    <t>[2023-05-30 05:22:05.573]    09    2øT   303øH</t>
  </si>
  <si>
    <t>[2023-05-30 05:08:26.004]  Scheduled start time:  09/28/22 00:00:00</t>
  </si>
  <si>
    <t>[2023-05-30 05:13:53.118]    09    0øT   224øH</t>
  </si>
  <si>
    <t>[2023-05-30 05:22:05.636]    09    2øT   339øH</t>
  </si>
  <si>
    <t>[2023-05-30 05:08:26.049]  Event start time:      09/28/22 00:00:02</t>
  </si>
  <si>
    <t>[2023-05-30 05:13:53.181]    09    1øT    31øH</t>
  </si>
  <si>
    <t>[2023-05-30 05:22:05.685]    09    2øT   327øH</t>
  </si>
  <si>
    <t>[2023-05-30 05:08:26.112]  Event stop time:       09/28/22 00:00:29</t>
  </si>
  <si>
    <t>[2023-05-30 05:13:53.245]    09    1øT   353øH</t>
  </si>
  <si>
    <t>[2023-05-30 05:22:05.749]    10    2øT   293øH</t>
  </si>
  <si>
    <t>[2023-05-30 05:08:26.177]  Event duration:        27 seconds</t>
  </si>
  <si>
    <t>[2023-05-30 05:13:53.293]    09    2øT    39øH</t>
  </si>
  <si>
    <t>[2023-05-30 05:22:05.814]    10    2øT   295øH</t>
  </si>
  <si>
    <t xml:space="preserve">[2023-05-30 05:08:26.225] </t>
  </si>
  <si>
    <t>[2023-05-30 05:13:53.358]    09    1øT    12øH</t>
  </si>
  <si>
    <t>[2023-05-30 05:22:05.860]    10    2øT   285øH</t>
  </si>
  <si>
    <t>[2023-05-30 05:08:26.225]          Aligned  Battery  Temperature</t>
  </si>
  <si>
    <t>[2023-05-30 05:13:53.421]    10    1øT   332øH</t>
  </si>
  <si>
    <t>[2023-05-30 05:22:05.924]    10    3øT   328øH</t>
  </si>
  <si>
    <t>[2023-05-30 05:08:26.257]  Start:     Y       18.8      1.3 °C</t>
  </si>
  <si>
    <t>[2023-05-30 05:13:53.485]    10    1øT   356øH</t>
  </si>
  <si>
    <t>[2023-05-30 05:22:05.989]    10    2øT   267øH</t>
  </si>
  <si>
    <t>[2023-05-30 05:08:26.306]  Stop:      Y       18.4      1.4 °C</t>
  </si>
  <si>
    <t>[2023-05-30 05:13:53.535]    10    0øT   290øH</t>
  </si>
  <si>
    <t>[2023-05-30 05:22:06.051]    10    2øT   219øH</t>
  </si>
  <si>
    <t xml:space="preserve">[2023-05-30 05:08:26.372] </t>
  </si>
  <si>
    <t>[2023-05-30 05:13:53.598]    10    0øT   317øH</t>
  </si>
  <si>
    <t>[2023-05-30 05:22:06.101]    10    2øT   260øH</t>
  </si>
  <si>
    <t>[2023-05-30 05:08:26.372]  Event 10</t>
  </si>
  <si>
    <t>[2023-05-30 05:13:53.661]    10    0øT   330øH</t>
  </si>
  <si>
    <t>[2023-05-30 05:22:06.164]    10    2øT   217øH</t>
  </si>
  <si>
    <t>[2023-05-30 05:13:53.709]    10    0øT   119øH</t>
  </si>
  <si>
    <t>[2023-05-30 05:22:06.232]    10    2øT   261øH</t>
  </si>
  <si>
    <t>[2023-05-30 05:08:26.388]  Scheduled start time:  10/15/22 00:00:00</t>
  </si>
  <si>
    <t>[2023-05-30 05:13:53.773]    10    0øT   283øH</t>
  </si>
  <si>
    <t>[2023-05-30 05:22:06.276]    10    2øT   195øH</t>
  </si>
  <si>
    <t>[2023-05-30 05:08:26.434]  Event start time:      10/15/22 00:00:02</t>
  </si>
  <si>
    <t>[2023-05-30 05:13:53.837]    10    0øT   238øH</t>
  </si>
  <si>
    <t>[2023-05-30 05:22:06.340]    10    2øT   254øH</t>
  </si>
  <si>
    <t>[2023-05-30 05:08:26.499]  Event stop time:       10/15/22 00:00:29</t>
  </si>
  <si>
    <t>[2023-05-30 05:13:53.886]    10    1øT   308øH</t>
  </si>
  <si>
    <t>[2023-05-30 05:22:06.405]    10    2øT   216øH</t>
  </si>
  <si>
    <t>[2023-05-30 05:08:26.562]  Event duration:        27 seconds</t>
  </si>
  <si>
    <t>[2023-05-30 05:13:53.949]    10    1øT   229øH</t>
  </si>
  <si>
    <t>[2023-05-30 05:22:06.452]    10    2øT   265øH</t>
  </si>
  <si>
    <t xml:space="preserve">[2023-05-30 05:08:26.595] </t>
  </si>
  <si>
    <t>[2023-05-30 05:13:54.016]    10    0øT   306øH</t>
  </si>
  <si>
    <t>[2023-05-30 05:22:06.517]    10    2øT   259øH</t>
  </si>
  <si>
    <t>[2023-05-30 05:08:26.609]          Aligned  Battery  Temperature</t>
  </si>
  <si>
    <t>[2023-05-30 05:13:54.076]    10    0øT   232øH</t>
  </si>
  <si>
    <t>[2023-05-30 05:22:06.582]    10    2øT   295øH</t>
  </si>
  <si>
    <t>[2023-05-30 05:08:26.644]  Start:     Y       18.6      1.3 °C</t>
  </si>
  <si>
    <t>[2023-05-30 05:13:54.125]    10    0øT   307øH</t>
  </si>
  <si>
    <t>[2023-05-30 05:22:06.629]    10    2øT   276øH</t>
  </si>
  <si>
    <t>[2023-05-30 05:08:26.690]  Stop:      Y       18.2      1.4 °C</t>
  </si>
  <si>
    <t>[2023-05-30 05:13:54.189]    10    1øT   293øH</t>
  </si>
  <si>
    <t>[2023-05-30 05:22:06.692]    11    2øT   274øH</t>
  </si>
  <si>
    <t xml:space="preserve">[2023-05-30 05:08:26.755] </t>
  </si>
  <si>
    <t>[2023-05-30 05:13:54.253]    10    0øT     4øH</t>
  </si>
  <si>
    <t>[2023-05-30 05:22:06.755]    11    2øT   132øH</t>
  </si>
  <si>
    <t>[2023-05-30 05:08:26.755]  Event 11</t>
  </si>
  <si>
    <t>[2023-05-30 05:13:54.316]    10    0øT   309øH</t>
  </si>
  <si>
    <t>[2023-05-30 05:22:06.820]    11    2øT    96øH</t>
  </si>
  <si>
    <t>[2023-05-30 05:13:54.364]    11    0øT   297øH</t>
  </si>
  <si>
    <t>[2023-05-30 05:22:06.868]    11    2øT   112øH</t>
  </si>
  <si>
    <t>[2023-05-30 05:08:26.755]  Scheduled start time:  11/01/22 00:00:00</t>
  </si>
  <si>
    <t>[2023-05-30 05:13:54.428]    11    1øT   208øH</t>
  </si>
  <si>
    <t>[2023-05-30 05:22:06.931]    11    2øT   135øH</t>
  </si>
  <si>
    <t>[2023-05-30 05:08:26.819]  Event start time:      11/01/22 00:00:02</t>
  </si>
  <si>
    <t>[2023-05-30 05:13:54.494]    11    0øT   327øH</t>
  </si>
  <si>
    <t>[2023-05-30 05:22:06.996]    11    2øT    97øH</t>
  </si>
  <si>
    <t>[2023-05-30 05:08:26.882]  Event stop time:       11/01/22 00:00:29</t>
  </si>
  <si>
    <t>[2023-05-30 05:13:54.542]    11    0øT   172øH</t>
  </si>
  <si>
    <t>[2023-05-30 05:22:07.061]    11    2øT   164øH</t>
  </si>
  <si>
    <t>[2023-05-30 05:08:26.945]  Event duration:        27 seconds</t>
  </si>
  <si>
    <t>[2023-05-30 05:13:54.604]    11    1øT   240øH</t>
  </si>
  <si>
    <t>[2023-05-30 05:22:07.108]    11    2øT   206øH</t>
  </si>
  <si>
    <t xml:space="preserve">[2023-05-30 05:08:26.977] </t>
  </si>
  <si>
    <t>[2023-05-30 05:13:54.669]    11    0øT   172øH</t>
  </si>
  <si>
    <t>[2023-05-30 05:22:07.172]    11    2øT   139øH</t>
  </si>
  <si>
    <t>[2023-05-30 05:08:26.994]          Aligned  Battery  Temperature</t>
  </si>
  <si>
    <t>[2023-05-30 05:13:54.716]    11    0øT   237øH</t>
  </si>
  <si>
    <t>[2023-05-30 05:22:07.237]    11    2øT   188øH</t>
  </si>
  <si>
    <t>[2023-05-30 05:08:27.025]  Start:     Y       18.2      1.4 °C</t>
  </si>
  <si>
    <t>[2023-05-30 05:13:54.781]    11    0øT   203øH</t>
  </si>
  <si>
    <t>[2023-05-30 05:22:07.284]    11    2øT   236øH</t>
  </si>
  <si>
    <t>[2023-05-30 05:08:27.075]  Stop:      Y       17.7      1.5 °C</t>
  </si>
  <si>
    <t>[2023-05-30 05:13:54.845]    11    0øT   175øH</t>
  </si>
  <si>
    <t>[2023-05-30 05:22:07.348]    11    2øT   271øH</t>
  </si>
  <si>
    <t xml:space="preserve">[2023-05-30 05:08:27.137] </t>
  </si>
  <si>
    <t>[2023-05-30 05:13:54.908]    11    0øT   155øH</t>
  </si>
  <si>
    <t>[2023-05-30 05:22:07.415]    11    2øT   304øH</t>
  </si>
  <si>
    <t>[2023-05-30 05:08:27.137]  Event 12</t>
  </si>
  <si>
    <t>[2023-05-30 05:13:54.956]    11    1øT   255øH</t>
  </si>
  <si>
    <t>[2023-05-30 05:22:07.460]    11    2øT   283øH</t>
  </si>
  <si>
    <t>[2023-05-30 05:13:55.019]    11    0øT   238øH</t>
  </si>
  <si>
    <t>[2023-05-30 05:22:07.524]    11    2øT   249øH</t>
  </si>
  <si>
    <t>[2023-05-30 05:08:27.137]  Scheduled start time:  11/18/22 00:00:00</t>
  </si>
  <si>
    <t>[2023-05-30 05:13:55.085]    11    0øT   296øH</t>
  </si>
  <si>
    <t>[2023-05-30 05:22:07.587]    11    2øT   314øH</t>
  </si>
  <si>
    <t>[2023-05-30 05:08:27.202]  Event start time:      11/18/22 00:00:02</t>
  </si>
  <si>
    <t>[2023-05-30 05:13:55.132]    11    1øT   336øH</t>
  </si>
  <si>
    <t>[2023-05-30 05:22:07.653]    12    2øT   183øH</t>
  </si>
  <si>
    <t>[2023-05-30 05:08:27.266]  Event stop time:       11/18/22 00:00:29</t>
  </si>
  <si>
    <t>[2023-05-30 05:13:55.196]    11    0øT   246øH</t>
  </si>
  <si>
    <t>[2023-05-30 05:22:07.700]    12    2øT   197øH</t>
  </si>
  <si>
    <t>[2023-05-30 05:08:27.332]  Event duration:        27 seconds</t>
  </si>
  <si>
    <t>[2023-05-30 05:13:55.261]    11    0øT   318øH</t>
  </si>
  <si>
    <t>[2023-05-30 05:22:07.764]    12    2øT   188øH</t>
  </si>
  <si>
    <t xml:space="preserve">[2023-05-30 05:08:27.362] </t>
  </si>
  <si>
    <t>[2023-05-30 05:13:55.307]    12    0øT   192øH</t>
  </si>
  <si>
    <t>[2023-05-30 05:22:07.828]    12    2øT   178øH</t>
  </si>
  <si>
    <t>[2023-05-30 05:08:27.362]          Aligned  Battery  Temperature</t>
  </si>
  <si>
    <t>[2023-05-30 05:13:55.372]    12    0øT   158øH</t>
  </si>
  <si>
    <t>[2023-05-30 05:22:07.875]    12    2øT   166øH</t>
  </si>
  <si>
    <t>[2023-05-30 05:08:27.410]  Start:     Y       17.3      1.4 °C</t>
  </si>
  <si>
    <t>[2023-05-30 05:13:55.436]    12    0øT   216øH</t>
  </si>
  <si>
    <t>[2023-05-30 05:22:07.939]    12    2øT   187øH</t>
  </si>
  <si>
    <t>[2023-05-30 05:08:27.459]  Stop:      Y       16.6      1.5 °C</t>
  </si>
  <si>
    <t>[2023-05-30 05:13:55.484]    12    0øT   213øH</t>
  </si>
  <si>
    <t>[2023-05-30 05:22:08.003]    12    2øT   202øH</t>
  </si>
  <si>
    <t xml:space="preserve">[2023-05-30 05:08:27.521] </t>
  </si>
  <si>
    <t>[2023-05-30 05:13:55.549]    12    0øT   246øH</t>
  </si>
  <si>
    <t>[2023-05-30 05:22:08.052]    12    2øT   183øH</t>
  </si>
  <si>
    <t>[2023-05-30 05:08:27.521]  Event 13</t>
  </si>
  <si>
    <t>[2023-05-30 05:13:55.612]    12    0øT   222øH</t>
  </si>
  <si>
    <t>[2023-05-30 05:22:08.116]    12    2øT   225øH</t>
  </si>
  <si>
    <t>[2023-05-30 05:13:55.675]    12    1øT   257øH</t>
  </si>
  <si>
    <t>[2023-05-30 05:22:08.180]    12    2øT   249øH</t>
  </si>
  <si>
    <t>[2023-05-30 05:08:27.521]  Scheduled start time:  12/05/22 00:00:00</t>
  </si>
  <si>
    <t>[2023-05-30 05:13:55.724]    12    0øT   247øH</t>
  </si>
  <si>
    <t>[2023-05-30 05:22:08.228]    12    2øT   234øH</t>
  </si>
  <si>
    <t>[2023-05-30 05:08:27.586]  Event start time:      12/05/22 00:00:02</t>
  </si>
  <si>
    <t>[2023-05-30 05:13:55.787]    12    0øT   268øH</t>
  </si>
  <si>
    <t>[2023-05-30 05:22:08.292]    12    2øT   273øH</t>
  </si>
  <si>
    <t>[2023-05-30 05:08:27.652]  Event stop time:       12/05/22 00:00:29</t>
  </si>
  <si>
    <t>[2023-05-30 05:13:55.852]    12    0øT   239øH</t>
  </si>
  <si>
    <t>[2023-05-30 05:22:08.355]    12    2øT   254øH</t>
  </si>
  <si>
    <t>[2023-05-30 05:08:27.713]  Event duration:        27 seconds</t>
  </si>
  <si>
    <t>[2023-05-30 05:13:55.900]    12    1øT   270øH</t>
  </si>
  <si>
    <t>[2023-05-30 05:22:08.420]    12    2øT   254øH</t>
  </si>
  <si>
    <t xml:space="preserve">[2023-05-30 05:08:27.745] </t>
  </si>
  <si>
    <t>[2023-05-30 05:13:55.963]    12    0øT   280øH</t>
  </si>
  <si>
    <t>[2023-05-30 05:22:08.468]    12    2øT   216øH</t>
  </si>
  <si>
    <t>[2023-05-30 05:08:27.759]          Aligned  Battery  Temperature</t>
  </si>
  <si>
    <t>[2023-05-30 05:13:56.027]    12    1øT   275øH</t>
  </si>
  <si>
    <t>[2023-05-30 05:22:08.532]    12    2øT   191øH</t>
  </si>
  <si>
    <t>[2023-05-30 05:08:27.794]  Start:     Y       17.0      1.4 °C</t>
  </si>
  <si>
    <t>[2023-05-30 05:13:56.075]    12    0øT   328øH</t>
  </si>
  <si>
    <t>[2023-05-30 05:22:08.596]    13    2øT   173øH</t>
  </si>
  <si>
    <t>[2023-05-30 05:08:27.842]  Stop:      Y       16.1      1.5 °C</t>
  </si>
  <si>
    <t>[2023-05-30 05:13:56.139]    12    1øT   266øH</t>
  </si>
  <si>
    <t>[2023-05-30 05:22:08.643]    13    2øT   165øH</t>
  </si>
  <si>
    <t xml:space="preserve">[2023-05-30 05:08:27.904] </t>
  </si>
  <si>
    <t>[2023-05-30 05:13:56.203]    12    1øT   245øH</t>
  </si>
  <si>
    <t>[2023-05-30 05:22:08.706]    13    2øT   176øH</t>
  </si>
  <si>
    <t>[2023-05-30 05:08:27.904]  Event 14</t>
  </si>
  <si>
    <t>[2023-05-30 05:13:56.267]    13    1øT   192øH</t>
  </si>
  <si>
    <t>[2023-05-30 05:22:08.772]    13    2øT   152øH</t>
  </si>
  <si>
    <t>[2023-05-30 05:13:56.315]    13    0øT   240øH</t>
  </si>
  <si>
    <t>[2023-05-30 05:22:08.819]    13    2øT   159øH</t>
  </si>
  <si>
    <t>[2023-05-30 05:08:27.923]  Scheduled start time:  12/22/22 00:00:00</t>
  </si>
  <si>
    <t>[2023-05-30 05:13:56.379]    13    1øT   218øH</t>
  </si>
  <si>
    <t>[2023-05-30 05:22:08.885]    13    2øT   173øH</t>
  </si>
  <si>
    <t>[2023-05-30 05:08:27.972]  Event start time:      12/22/22 00:00:02</t>
  </si>
  <si>
    <t>[2023-05-30 05:13:56.443]    13    1øT   222øH</t>
  </si>
  <si>
    <t>[2023-05-30 05:22:08.948]    13    2øT   159øH</t>
  </si>
  <si>
    <t>[2023-05-30 05:08:28.035]  Event stop time:       12/22/22 00:00:29</t>
  </si>
  <si>
    <t>[2023-05-30 05:13:56.492]    13    1øT   237øH</t>
  </si>
  <si>
    <t>[2023-05-30 05:22:09.011]    13    2øT   197øH</t>
  </si>
  <si>
    <t>[2023-05-30 05:08:28.097]  Event duration:        27 seconds</t>
  </si>
  <si>
    <t>[2023-05-30 05:13:56.555]    13    0øT   227øH</t>
  </si>
  <si>
    <t>[2023-05-30 05:22:09.059]    13    2øT   164øH</t>
  </si>
  <si>
    <t xml:space="preserve">[2023-05-30 05:08:28.128] </t>
  </si>
  <si>
    <t>[2023-05-30 05:13:56.619]    13    0øT   159øH</t>
  </si>
  <si>
    <t>[2023-05-30 05:22:09.124]    13    2øT   190øH</t>
  </si>
  <si>
    <t>[2023-05-30 05:08:28.143]          Aligned  Battery  Temperature</t>
  </si>
  <si>
    <t>[2023-05-30 05:13:56.667]    13    0øT   233øH</t>
  </si>
  <si>
    <t>[2023-05-30 05:22:09.187]    13    2øT   137øH</t>
  </si>
  <si>
    <t>[2023-05-30 05:08:28.178]  Start:     Y       17.2      1.4 °C</t>
  </si>
  <si>
    <t>[2023-05-30 05:13:56.731]    13    0øT   213øH</t>
  </si>
  <si>
    <t>[2023-05-30 05:22:09.236]    13    2øT   156øH</t>
  </si>
  <si>
    <t>[2023-05-30 05:08:28.225]  Stop:      Y       16.5      1.5 °C</t>
  </si>
  <si>
    <t>[2023-05-30 05:13:56.795]    13    0øT   252øH</t>
  </si>
  <si>
    <t>[2023-05-30 05:22:09.299]    13    2øT   127øH</t>
  </si>
  <si>
    <t xml:space="preserve">[2023-05-30 05:08:28.289] </t>
  </si>
  <si>
    <t>[2023-05-30 05:13:56.844]    13    0øT   183øH</t>
  </si>
  <si>
    <t>[2023-05-30 05:22:09.363]    13    2øT   144øH</t>
  </si>
  <si>
    <t>[2023-05-30 05:08:28.289]  Event 15</t>
  </si>
  <si>
    <t>[2023-05-30 05:13:56.910]    13    1øT   222øH</t>
  </si>
  <si>
    <t>[2023-05-30 05:22:09.412]    13    2øT   125øH</t>
  </si>
  <si>
    <t xml:space="preserve">[2023-05-30 05:08:28.305] </t>
  </si>
  <si>
    <t>[2023-05-30 05:13:56.971]    13    0øT   170øH</t>
  </si>
  <si>
    <t>[2023-05-30 05:22:09.475]    13    2øT   193øH</t>
  </si>
  <si>
    <t>[2023-05-30 05:08:28.305]  Scheduled start time:  01/08/23 00:00:00</t>
  </si>
  <si>
    <t>[2023-05-30 05:13:57.035]    13    1øT   213øH</t>
  </si>
  <si>
    <t>[2023-05-30 05:22:09.538]    14    2øT   144øH</t>
  </si>
  <si>
    <t>[2023-05-30 05:08:28.355]  Event start time:      01/08/23 00:00:02</t>
  </si>
  <si>
    <t>[2023-05-30 05:13:57.083]    13    1øT   206øH</t>
  </si>
  <si>
    <t>[2023-05-30 05:22:09.587]    14    2øT   111øH</t>
  </si>
  <si>
    <t>[2023-05-30 05:08:28.417]  Event stop time:       01/08/23 00:00:29</t>
  </si>
  <si>
    <t>[2023-05-30 05:13:57.147]    13    1øT   238øH</t>
  </si>
  <si>
    <t>[2023-05-30 05:22:09.650]    14    2øT   139øH</t>
  </si>
  <si>
    <t>[2023-05-30 05:08:28.481]  Event duration:        27 seconds</t>
  </si>
  <si>
    <t>[2023-05-30 05:13:57.212]    14    1øT   216øH</t>
  </si>
  <si>
    <t>[2023-05-30 05:22:09.715]    14    2øT    81øH</t>
  </si>
  <si>
    <t xml:space="preserve">[2023-05-30 05:08:28.528] </t>
  </si>
  <si>
    <t>[2023-05-30 05:13:57.259]    14    1øT   218øH</t>
  </si>
  <si>
    <t>[2023-05-30 05:22:09.780]    14    2øT   121øH</t>
  </si>
  <si>
    <t>[2023-05-30 05:08:28.528]          Aligned  Battery  Temperature</t>
  </si>
  <si>
    <t>[2023-05-30 05:13:57.323]    14    1øT   213øH</t>
  </si>
  <si>
    <t>[2023-05-30 05:22:09.827]    14    2øT   101øH</t>
  </si>
  <si>
    <t>[2023-05-30 05:08:28.561]  Start:     Y       17.4      1.4 °C</t>
  </si>
  <si>
    <t>[2023-05-30 05:13:57.387]    14    0øT   187øH</t>
  </si>
  <si>
    <t>[2023-05-30 05:22:09.892]    14    2øT   100øH</t>
  </si>
  <si>
    <t>[2023-05-30 05:08:28.609]  Stop:      Y       16.9      1.5 °C</t>
  </si>
  <si>
    <t>[2023-05-30 05:13:57.434]    14    1øT   226øH</t>
  </si>
  <si>
    <t>[2023-05-30 05:22:09.954]    14    2øT   141øH</t>
  </si>
  <si>
    <t xml:space="preserve">[2023-05-30 05:08:28.675] </t>
  </si>
  <si>
    <t>[2023-05-30 05:13:57.498]    14    1øT   185øH</t>
  </si>
  <si>
    <t>[2023-05-30 05:22:10.002]    14    2øT   120øH</t>
  </si>
  <si>
    <t>[2023-05-30 05:08:28.675]  Event 16</t>
  </si>
  <si>
    <t>[2023-05-30 05:13:57.562]    14    1øT   177øH</t>
  </si>
  <si>
    <t>[2023-05-30 05:22:10.067]    14    2øT   126øH</t>
  </si>
  <si>
    <t xml:space="preserve">[2023-05-30 05:08:28.689] </t>
  </si>
  <si>
    <t>[2023-05-30 05:13:57.625]    14    0øT   220øH</t>
  </si>
  <si>
    <t>[2023-05-30 05:22:10.131]    14    2øT   144øH</t>
  </si>
  <si>
    <t>[2023-05-30 05:08:28.689]  Scheduled start time:  01/25/23 00:00:00</t>
  </si>
  <si>
    <t>[2023-05-30 05:13:57.676]    14    1øT   213øH</t>
  </si>
  <si>
    <t>[2023-05-30 05:22:10.195]    14    2øT   133øH</t>
  </si>
  <si>
    <t>[2023-05-30 05:08:28.756]  Event start time:      01/25/23 00:00:02</t>
  </si>
  <si>
    <t>[2023-05-30 05:13:57.739]    14    0øT   225øH</t>
  </si>
  <si>
    <t>[2023-05-30 05:22:10.243]    14    2øT   147øH</t>
  </si>
  <si>
    <t>[2023-05-30 05:08:28.801]  Event stop time:       01/25/23 00:00:29</t>
  </si>
  <si>
    <t>[2023-05-30 05:13:57.803]    14    1øT   228øH</t>
  </si>
  <si>
    <t>[2023-05-30 05:22:10.307]    14    2øT   131øH</t>
  </si>
  <si>
    <t>[2023-05-30 05:08:28.868]  Event duration:        27 seconds</t>
  </si>
  <si>
    <t>[2023-05-30 05:13:57.850]    14    0øT   227øH</t>
  </si>
  <si>
    <t>[2023-05-30 05:22:10.371]    14    2øT   127øH</t>
  </si>
  <si>
    <t xml:space="preserve">[2023-05-30 05:08:28.914] </t>
  </si>
  <si>
    <t>[2023-05-30 05:13:57.915]    14    1øT   241øH</t>
  </si>
  <si>
    <t>[2023-05-30 05:22:10.419]    14    2øT   147øH</t>
  </si>
  <si>
    <t>[2023-05-30 05:08:28.914]          Aligned  Battery  Temperature</t>
  </si>
  <si>
    <t>[2023-05-30 05:13:57.978]    14    0øT   220øH</t>
  </si>
  <si>
    <t>[2023-05-30 05:22:10.483]    15    2øT   151øH</t>
  </si>
  <si>
    <t>[2023-05-30 05:08:28.960]  Start:     Y       17.6      1.4 °C</t>
  </si>
  <si>
    <t>[2023-05-30 05:13:58.025]    14    1øT   220øH</t>
  </si>
  <si>
    <t>[2023-05-30 05:22:10.547]    15    2øT   127øH</t>
  </si>
  <si>
    <t>[2023-05-30 05:08:28.992]  Stop:      Y       17.0      1.5 °C</t>
  </si>
  <si>
    <t>[2023-05-30 05:13:58.089]    14    1øT   228øH</t>
  </si>
  <si>
    <t>[2023-05-30 05:22:10.595]    15    2øT   187øH</t>
  </si>
  <si>
    <t xml:space="preserve">[2023-05-30 05:08:29.056] </t>
  </si>
  <si>
    <t>[2023-05-30 05:13:58.156]    15    1øT   249øH</t>
  </si>
  <si>
    <t>[2023-05-30 05:22:10.659]    15    2øT   159øH</t>
  </si>
  <si>
    <t>[2023-05-30 05:08:29.056]  Event 17</t>
  </si>
  <si>
    <t>[2023-05-30 05:13:58.218]    15    1øT   221øH</t>
  </si>
  <si>
    <t>[2023-05-30 05:22:10.722]    15    2øT   204øH</t>
  </si>
  <si>
    <t xml:space="preserve">[2023-05-30 05:08:29.072] </t>
  </si>
  <si>
    <t>[2023-05-30 05:13:58.266]    15    1øT   269øH</t>
  </si>
  <si>
    <t>[2023-05-30 05:22:10.787]    15    2øT   157øH</t>
  </si>
  <si>
    <t>[2023-05-30 05:08:29.072]  Scheduled start time:  02/11/23 00:00:00</t>
  </si>
  <si>
    <t>[2023-05-30 05:13:58.330]    15    1øT   252øH</t>
  </si>
  <si>
    <t>[2023-05-30 05:22:10.835]    15    2øT   197øH</t>
  </si>
  <si>
    <t>[2023-05-30 05:08:29.136]  Event start time:      02/11/23 00:00:02</t>
  </si>
  <si>
    <t>[2023-05-30 05:13:58.394]    15    1øT   300øH</t>
  </si>
  <si>
    <t>[2023-05-30 05:22:10.899]    15    2øT   165øH</t>
  </si>
  <si>
    <t>[2023-05-30 05:08:29.203]  Event stop time:       02/11/23 00:00:29</t>
  </si>
  <si>
    <t>[2023-05-30 05:13:58.442]    15    0øT   254øH</t>
  </si>
  <si>
    <t>[2023-05-30 05:22:10.963]    15    2øT   145øH</t>
  </si>
  <si>
    <t>[2023-05-30 05:08:29.249]  Event duration:        27 seconds</t>
  </si>
  <si>
    <t>[2023-05-30 05:13:58.508]    15    0øT   250øH</t>
  </si>
  <si>
    <t>[2023-05-30 05:22:11.011]    15    2øT   129øH</t>
  </si>
  <si>
    <t xml:space="preserve">[2023-05-30 05:08:29.298] </t>
  </si>
  <si>
    <t>[2023-05-30 05:13:58.570]    15    1øT   249øH</t>
  </si>
  <si>
    <t>[2023-05-30 05:22:11.074]    15    2øT   118øH</t>
  </si>
  <si>
    <t>[2023-05-30 05:08:29.298]          Aligned  Battery  Temperature</t>
  </si>
  <si>
    <t>[2023-05-30 05:13:58.620]    15    0øT   200øH</t>
  </si>
  <si>
    <t>[2023-05-30 05:22:11.139]    15    2øT   100øH</t>
  </si>
  <si>
    <t>[2023-05-30 05:08:29.342]  Start:     Y       17.6      1.5 °C</t>
  </si>
  <si>
    <t>[2023-05-30 05:13:58.682]    15    1øT   239øH</t>
  </si>
  <si>
    <t>[2023-05-30 05:22:11.186]    15    2øT   106øH</t>
  </si>
  <si>
    <t>[2023-05-30 05:08:29.378]  Stop:      Y       17.1      1.6 °C</t>
  </si>
  <si>
    <t>[2023-05-30 05:13:58.746]    15    1øT   206øH</t>
  </si>
  <si>
    <t>[2023-05-30 05:22:11.251]    15    2øT   100øH</t>
  </si>
  <si>
    <t xml:space="preserve">[2023-05-30 05:08:29.440] </t>
  </si>
  <si>
    <t>[2023-05-30 05:13:58.793]    15    1øT   204øH</t>
  </si>
  <si>
    <t>[2023-05-30 05:22:11.314]    15    2øT    84øH</t>
  </si>
  <si>
    <t>[2023-05-30 05:08:29.440]  Event 18</t>
  </si>
  <si>
    <t>[2023-05-30 05:13:58.858]    15    1øT   203øH</t>
  </si>
  <si>
    <t>[2023-05-30 05:22:11.379]    15    2øT    99øH</t>
  </si>
  <si>
    <t xml:space="preserve">[2023-05-30 05:08:29.455] </t>
  </si>
  <si>
    <t>[2023-05-30 05:13:58.921]    15    1øT   210øH</t>
  </si>
  <si>
    <t>[2023-05-30 05:22:11.426]    16    2øT   103øH</t>
  </si>
  <si>
    <t>[2023-05-30 05:08:29.455]  Scheduled start time:  02/28/23 00:00:00</t>
  </si>
  <si>
    <t>[2023-05-30 05:13:58.987]    15    1øT   225øH</t>
  </si>
  <si>
    <t>[2023-05-30 05:22:11.490]    16    2øT   123øH</t>
  </si>
  <si>
    <t>[2023-05-30 05:08:29.520]  Event start time:      02/28/23 00:00:02</t>
  </si>
  <si>
    <t>[2023-05-30 05:13:59.036]    15    0øT   252øH</t>
  </si>
  <si>
    <t>[2023-05-30 05:22:11.554]    16    2øT    73øH</t>
  </si>
  <si>
    <t>[2023-05-30 05:08:29.585]  Event stop time:       02/28/23 00:00:30</t>
  </si>
  <si>
    <t>[2023-05-30 05:13:59.097]    16    1øT   231øH</t>
  </si>
  <si>
    <t>[2023-05-30 05:22:11.618]    16    2øT   127øH</t>
  </si>
  <si>
    <t>[2023-05-30 05:08:29.649]  Event duration:        28 seconds</t>
  </si>
  <si>
    <t>[2023-05-30 05:13:59.162]    16    1øT   262øH</t>
  </si>
  <si>
    <t>[2023-05-30 05:22:11.666]    16    2øT    50øH</t>
  </si>
  <si>
    <t xml:space="preserve">[2023-05-30 05:08:29.680] </t>
  </si>
  <si>
    <t>[2023-05-30 05:13:59.209]    16    1øT   240øH</t>
  </si>
  <si>
    <t>[2023-05-30 05:22:11.730]    16    2øT   102øH</t>
  </si>
  <si>
    <t>[2023-05-30 05:08:29.680]          Aligned  Battery  Temperature</t>
  </si>
  <si>
    <t>[2023-05-30 05:13:59.273]    16    1øT   257øH</t>
  </si>
  <si>
    <t>[2023-05-30 05:22:11.795]    16    2øT    56øH</t>
  </si>
  <si>
    <t>[2023-05-30 05:08:29.729]  Start:     Y       17.6      1.4 °C</t>
  </si>
  <si>
    <t>[2023-05-30 05:13:59.337]    16    1øT   180øH</t>
  </si>
  <si>
    <t>[2023-05-30 05:22:11.858]    16    2øT    71øH</t>
  </si>
  <si>
    <t>[2023-05-30 05:08:29.760]  Stop:      Y       17.2      1.5 °C</t>
  </si>
  <si>
    <t>[2023-05-30 05:13:59.385]    16    1øT   255øH</t>
  </si>
  <si>
    <t>[2023-05-30 05:22:11.906]    16    2øT    75øH</t>
  </si>
  <si>
    <t xml:space="preserve">[2023-05-30 05:08:29.824] </t>
  </si>
  <si>
    <t>[2023-05-30 05:13:59.450]    16    0øT   191øH</t>
  </si>
  <si>
    <t>[2023-05-30 05:22:11.971]    16    2øT   147øH</t>
  </si>
  <si>
    <t>[2023-05-30 05:08:29.824]  Event 19</t>
  </si>
  <si>
    <t>[2023-05-30 05:13:59.513]    16    1øT   216øH</t>
  </si>
  <si>
    <t>[2023-05-30 05:22:12.036]    16    2øT   114øH</t>
  </si>
  <si>
    <t xml:space="preserve">[2023-05-30 05:08:29.841] </t>
  </si>
  <si>
    <t>[2023-05-30 05:13:59.577]    16    1øT   203øH</t>
  </si>
  <si>
    <t>[2023-05-30 05:22:12.097]    16    2øT   153øH</t>
  </si>
  <si>
    <t>[2023-05-30 05:08:29.841]  Scheduled start time:  03/17/23 00:00:00</t>
  </si>
  <si>
    <t>[2023-05-30 05:13:59.625]    16    1øT   256øH</t>
  </si>
  <si>
    <t>[2023-05-30 05:22:12.147]    16    2øT   142øH</t>
  </si>
  <si>
    <t>[2023-05-30 05:08:29.904]  Event start time:      03/17/23 00:00:02</t>
  </si>
  <si>
    <t>[2023-05-30 05:13:59.689]    16    1øT   237øH</t>
  </si>
  <si>
    <t>[2023-05-30 05:22:12.210]    16    2øT   169øH</t>
  </si>
  <si>
    <t>[2023-05-30 05:08:29.969]  Event stop time:       03/17/23 00:00:29</t>
  </si>
  <si>
    <t>[2023-05-30 05:13:59.753]    16    1øT   280øH</t>
  </si>
  <si>
    <t>[2023-05-30 05:22:12.274]    16    3øT   342øH</t>
  </si>
  <si>
    <t>[2023-05-30 05:08:30.033]  Event duration:        27 seconds</t>
  </si>
  <si>
    <t>[2023-05-30 05:13:59.802]    16    1øT   263øH</t>
  </si>
  <si>
    <t>[2023-05-30 05:22:12.322]    16    2øT   121øH</t>
  </si>
  <si>
    <t xml:space="preserve">[2023-05-30 05:08:30.065] </t>
  </si>
  <si>
    <t>[2023-05-30 05:13:59.865]    16    0øT   268øH</t>
  </si>
  <si>
    <t>[2023-05-30 05:22:12.386]    17    2øT   159øH</t>
  </si>
  <si>
    <t>[2023-05-30 05:08:30.065]          Aligned  Battery  Temperature</t>
  </si>
  <si>
    <t>[2023-05-30 05:13:59.930]    16    1øT   245øH</t>
  </si>
  <si>
    <t>[2023-05-30 05:22:12.451]    17    2øT   106øH</t>
  </si>
  <si>
    <t>[2023-05-30 05:08:30.112]  Start:     Y       17.6      1.4 °C</t>
  </si>
  <si>
    <t>[2023-05-30 05:13:59.976]    16    1øT   255øH</t>
  </si>
  <si>
    <t>[2023-05-30 05:22:12.498]    17    2øT   181øH</t>
  </si>
  <si>
    <t>[2023-05-30 05:08:30.158]  Stop:      Y       17.1      1.5 °C</t>
  </si>
  <si>
    <t>[2023-05-30 05:14:00.041]    17    1øT   246øH</t>
  </si>
  <si>
    <t>[2023-05-30 05:22:12.563]    17    2øT   161øH</t>
  </si>
  <si>
    <t xml:space="preserve">[2023-05-30 05:08:30.224] </t>
  </si>
  <si>
    <t>[2023-05-30 05:14:00.105]    17    1øT   242øH</t>
  </si>
  <si>
    <t>[2023-05-30 05:22:12.626]    17    2øT   189øH</t>
  </si>
  <si>
    <t>[2023-05-30 05:08:30.224]  Event 20</t>
  </si>
  <si>
    <t>[2023-05-30 05:14:00.168]    17    1øT   282øH</t>
  </si>
  <si>
    <t>[2023-05-30 05:22:12.689]    17    2øT   201øH</t>
  </si>
  <si>
    <t>[2023-05-30 05:14:00.217]    17    1øT   242øH</t>
  </si>
  <si>
    <t>[2023-05-30 05:22:12.737]    17    2øT   217øH</t>
  </si>
  <si>
    <t>[2023-05-30 05:08:30.238]  Scheduled start time:  04/03/23 00:00:00</t>
  </si>
  <si>
    <t>[2023-05-30 05:14:00.281]    17    1øT   281øH</t>
  </si>
  <si>
    <t>[2023-05-30 05:22:12.802]    17    2øT   137øH</t>
  </si>
  <si>
    <t>[2023-05-30 05:08:30.288]  Event start time:      04/03/23 00:00:02</t>
  </si>
  <si>
    <t>[2023-05-30 05:14:00.345]    17    1øT   265øH</t>
  </si>
  <si>
    <t>[2023-05-30 05:22:12.866]    17    2øT   194øH</t>
  </si>
  <si>
    <t>[2023-05-30 05:08:30.352]  Event stop time:       04/03/23 00:00:29</t>
  </si>
  <si>
    <t>[2023-05-30 05:14:00.393]    17    1øT   280øH</t>
  </si>
  <si>
    <t>[2023-05-30 05:22:12.914]    17    2øT   165øH</t>
  </si>
  <si>
    <t>[2023-05-30 05:08:30.417]  Event duration:        27 seconds</t>
  </si>
  <si>
    <t>[2023-05-30 05:14:00.456]    17    1øT   233øH</t>
  </si>
  <si>
    <t>[2023-05-30 05:22:12.978]    17    2øT   163øH</t>
  </si>
  <si>
    <t xml:space="preserve">[2023-05-30 05:08:30.447] </t>
  </si>
  <si>
    <t>[2023-05-30 05:14:00.521]    17    1øT   278øH</t>
  </si>
  <si>
    <t>[2023-05-30 05:22:13.042]    17    2øT   150øH</t>
  </si>
  <si>
    <t>[2023-05-30 05:08:30.462]          Aligned  Battery  Temperature</t>
  </si>
  <si>
    <t>[2023-05-30 05:14:00.569]    17    1øT   250øH</t>
  </si>
  <si>
    <t>[2023-05-30 05:22:13.090]    17    2øT   157øH</t>
  </si>
  <si>
    <t>[2023-05-30 05:08:30.494]  Start:     Y       17.5      1.4 °C</t>
  </si>
  <si>
    <t>[2023-05-30 05:14:00.634]    17    1øT   241øH</t>
  </si>
  <si>
    <t>[2023-05-30 05:22:13.153]    17    2øT   141øH</t>
  </si>
  <si>
    <t>[2023-05-30 05:08:30.540]  Stop:      Y       17.0      1.5 °C</t>
  </si>
  <si>
    <t>[2023-05-30 05:14:00.697]    17    1øT   226øH</t>
  </si>
  <si>
    <t>[2023-05-30 05:22:13.217]    17    2øT   178øH</t>
  </si>
  <si>
    <t xml:space="preserve">[2023-05-30 05:08:30.605] </t>
  </si>
  <si>
    <t>[2023-05-30 05:14:00.744]    17    1øT   263øH</t>
  </si>
  <si>
    <t>[2023-05-30 05:22:13.266]    17    2øT   184øH</t>
  </si>
  <si>
    <t>[2023-05-30 05:08:30.605]  Event 21</t>
  </si>
  <si>
    <t>[2023-05-30 05:14:00.808]    17    1øT   231øH</t>
  </si>
  <si>
    <t>[2023-05-30 05:22:13.330]    18    2øT   167øH</t>
  </si>
  <si>
    <t xml:space="preserve">[2023-05-30 05:08:30.621] </t>
  </si>
  <si>
    <t>[2023-05-30 05:14:00.871]    17    1øT   252øH</t>
  </si>
  <si>
    <t>[2023-05-30 05:22:13.394]    18    2øT   158øH</t>
  </si>
  <si>
    <t>[2023-05-30 05:08:30.621]  Scheduled start time:  04/20/23 00:00:00</t>
  </si>
  <si>
    <t>[2023-05-30 05:14:00.936]    17    2øT   261øH</t>
  </si>
  <si>
    <t>[2023-05-30 05:22:13.457]    18    2øT   192øH</t>
  </si>
  <si>
    <t>[2023-05-30 05:08:30.687]  Event start time:      04/20/23 00:00:02</t>
  </si>
  <si>
    <t>[2023-05-30 05:14:00.984]    18    1øT   244øH</t>
  </si>
  <si>
    <t>[2023-05-30 05:22:13.505]    18    2øT   162øH</t>
  </si>
  <si>
    <t>[2023-05-30 05:08:30.750]  Event stop time:       04/20/23 00:00:30</t>
  </si>
  <si>
    <t>[2023-05-30 05:14:01.048]    18    1øT   250øH</t>
  </si>
  <si>
    <t>[2023-05-30 05:22:13.570]    18    2øT   179øH</t>
  </si>
  <si>
    <t>[2023-05-30 05:08:30.801]  Event duration:        28 seconds</t>
  </si>
  <si>
    <t>[2023-05-30 05:14:01.112]    18    2øT   266øH</t>
  </si>
  <si>
    <t>[2023-05-30 05:22:13.634]    18    2øT   172øH</t>
  </si>
  <si>
    <t xml:space="preserve">[2023-05-30 05:08:30.850] </t>
  </si>
  <si>
    <t>[2023-05-30 05:14:01.159]    18    2øT   250øH</t>
  </si>
  <si>
    <t>[2023-05-30 05:22:13.682]    18    2øT   174øH</t>
  </si>
  <si>
    <t>[2023-05-30 05:08:30.850]          Aligned  Battery  Temperature</t>
  </si>
  <si>
    <t>[2023-05-30 05:14:01.227]    18    2øT   260øH</t>
  </si>
  <si>
    <t>[2023-05-30 05:22:13.747]    18    2øT   165øH</t>
  </si>
  <si>
    <t>[2023-05-30 05:08:30.894]  Start:     Y       17.5      1.4 °C</t>
  </si>
  <si>
    <t>[2023-05-30 05:14:01.288]    18    2øT   251øH</t>
  </si>
  <si>
    <t>[2023-05-30 05:22:13.810]    18    2øT   139øH</t>
  </si>
  <si>
    <t>[2023-05-30 05:08:30.928]  Stop:      Y       17.0      1.5 °C</t>
  </si>
  <si>
    <t>[2023-05-30 05:14:01.336]    18    1øT   258øH</t>
  </si>
  <si>
    <t>[2023-05-30 05:22:13.858]    18    2øT   154øH</t>
  </si>
  <si>
    <t xml:space="preserve">[2023-05-30 05:08:30.991] </t>
  </si>
  <si>
    <t>[2023-05-30 05:14:01.401]    18    1øT   270øH</t>
  </si>
  <si>
    <t>[2023-05-30 05:22:13.922]    18    2øT   146øH</t>
  </si>
  <si>
    <t>[2023-05-30 05:08:30.991]  Event 22</t>
  </si>
  <si>
    <t>[2023-05-30 05:14:01.464]    18    1øT   236øH</t>
  </si>
  <si>
    <t>[2023-05-30 05:22:13.986]    18    2øT   109øH</t>
  </si>
  <si>
    <t xml:space="preserve">[2023-05-30 05:08:31.013] </t>
  </si>
  <si>
    <t>[2023-05-30 05:14:01.528]    18    1øT   247øH</t>
  </si>
  <si>
    <t>[2023-05-30 05:22:14.049]    18    2øT   118øH</t>
  </si>
  <si>
    <t>[2023-05-30 05:08:31.013]  Scheduled start time:  05/07/23 00:00:00</t>
  </si>
  <si>
    <t>[2023-05-30 05:14:01.576]    18    1øT   243øH</t>
  </si>
  <si>
    <t>[2023-05-30 05:22:14.098]    18    2øT    68øH</t>
  </si>
  <si>
    <t>[2023-05-30 05:08:31.071]  Event start time:      05/07/23 00:00:02</t>
  </si>
  <si>
    <t>[2023-05-30 05:14:01.640]    18    1øT   224øH</t>
  </si>
  <si>
    <t>[2023-05-30 05:22:14.162]    18    2øT   106øH</t>
  </si>
  <si>
    <t>[2023-05-30 05:08:31.136]  Event stop time:       05/07/23 00:00:29</t>
  </si>
  <si>
    <t>[2023-05-30 05:14:01.704]    18    1øT   249øH</t>
  </si>
  <si>
    <t>[2023-05-30 05:22:14.227]    18    2øT    86øH</t>
  </si>
  <si>
    <t>[2023-05-30 05:08:31.204]  Event duration:        27 seconds</t>
  </si>
  <si>
    <t>[2023-05-30 05:14:01.753]    18    0øT   193øH</t>
  </si>
  <si>
    <t>[2023-05-30 05:22:14.289]    19    2øT   107øH</t>
  </si>
  <si>
    <t xml:space="preserve">[2023-05-30 05:08:31.232] </t>
  </si>
  <si>
    <t>[2023-05-30 05:14:01.817]    18    0øT   217øH</t>
  </si>
  <si>
    <t>[2023-05-30 05:22:14.337]    19    2øT    72øH</t>
  </si>
  <si>
    <t>[2023-05-30 05:08:31.232]          Aligned  Battery  Temperature</t>
  </si>
  <si>
    <t>[2023-05-30 05:14:01.879]    18    0øT   199øH</t>
  </si>
  <si>
    <t>[2023-05-30 05:22:14.399]    19    2øT    60øH</t>
  </si>
  <si>
    <t>[2023-05-30 05:08:31.280]  Start:     Y       17.4      1.3 °C</t>
  </si>
  <si>
    <t>[2023-05-30 05:14:01.928]    19    1øT   185øH</t>
  </si>
  <si>
    <t>[2023-05-30 05:22:14.464]    19    2øT    69øH</t>
  </si>
  <si>
    <t>[2023-05-30 05:08:31.325]  Stop:      Y       16.9      1.4 °C</t>
  </si>
  <si>
    <t>[2023-05-30 05:14:01.992]    19    0øT   165øH</t>
  </si>
  <si>
    <t>[2023-05-30 05:22:14.528]    19    2øT     8øH</t>
  </si>
  <si>
    <t xml:space="preserve">[2023-05-30 05:08:31.363] </t>
  </si>
  <si>
    <t>[2023-05-30 05:14:02.056]    19    1øT   199øH</t>
  </si>
  <si>
    <t>[2023-05-30 05:22:14.593]    19    2øT   356øH</t>
  </si>
  <si>
    <t>[2023-05-30 05:08:31.363] End of EEPROM event backup cache.</t>
  </si>
  <si>
    <t>[2023-05-30 05:14:02.119]    19    1øT   218øH</t>
  </si>
  <si>
    <t>[2023-05-30 05:22:14.641]    19    2øT   343øH</t>
  </si>
  <si>
    <t xml:space="preserve">[2023-05-30 05:08:31.407] </t>
  </si>
  <si>
    <t>[2023-05-30 05:14:02.167]    19    1øT   172øH</t>
  </si>
  <si>
    <t>[2023-05-30 05:22:14.706]    19    2øT    19øH</t>
  </si>
  <si>
    <t>[2023-05-30 05:08:31.407] Terminate file logging operation now</t>
  </si>
  <si>
    <t>[2023-05-30 05:14:02.232]    19    0øT   211øH</t>
  </si>
  <si>
    <t>[2023-05-30 05:22:14.770]    19    2øT   359øH</t>
  </si>
  <si>
    <t>[2023-05-30 05:08:31.439] and press any key to continue.</t>
  </si>
  <si>
    <t>[2023-05-30 05:14:02.294]    19    1øT   127øH</t>
  </si>
  <si>
    <t>[2023-05-30 05:22:14.817]    19    2øT   138øH</t>
  </si>
  <si>
    <t xml:space="preserve">[2023-05-30 05:08:34.668] </t>
  </si>
  <si>
    <t>[2023-05-30 05:14:02.342]    19    1øT   197øH</t>
  </si>
  <si>
    <t>[2023-05-30 05:22:14.883]    19    2øT   174øH</t>
  </si>
  <si>
    <t>[2023-05-30 05:14:02.406]    19    0øT   150øH</t>
  </si>
  <si>
    <t>[2023-05-30 05:22:14.944]    19    2øT    41øH</t>
  </si>
  <si>
    <t>[2023-05-30 05:08:34.668] ________________________________________________________________</t>
  </si>
  <si>
    <t>[2023-05-30 05:14:02.469]    19    1øT   179øH</t>
  </si>
  <si>
    <t>[2023-05-30 05:22:15.009]    19    2øT    57øH</t>
  </si>
  <si>
    <t>[2023-05-30 05:08:34.763] Configuration: PST-21                   CF2 V3_09 of May 16 2014</t>
  </si>
  <si>
    <t>[2023-05-30 05:14:02.518]    19    0øT   100øH</t>
  </si>
  <si>
    <t>[2023-05-30 05:22:15.073]    19    2øT    49øH</t>
  </si>
  <si>
    <t xml:space="preserve">[2023-05-30 05:08:34.829] </t>
  </si>
  <si>
    <t>[2023-05-30 05:14:02.581]    19    1øT    94øH</t>
  </si>
  <si>
    <t>[2023-05-30 05:22:15.120]    19    2øT    78øH</t>
  </si>
  <si>
    <t>[2023-05-30 05:08:34.829]                _________________________________</t>
  </si>
  <si>
    <t>[2023-05-30 05:14:02.645]    19    1øT   143øH</t>
  </si>
  <si>
    <t>[2023-05-30 05:22:15.185]    19    2øT    44øH</t>
  </si>
  <si>
    <t>[2023-05-30 05:08:34.877]                    Offload/Display Data File</t>
  </si>
  <si>
    <t>[2023-05-30 05:14:02.710]    19    1øT    98øH</t>
  </si>
  <si>
    <t>[2023-05-30 05:22:15.249]    20    2øT   183øH</t>
  </si>
  <si>
    <t>[2023-05-30 05:08:34.925]                _________________________________</t>
  </si>
  <si>
    <t>[2023-05-30 05:14:02.758]    19    1øT   119øH</t>
  </si>
  <si>
    <t>[2023-05-30 05:22:15.313]    20    2øT    43øH</t>
  </si>
  <si>
    <t>[2023-05-30 05:08:35.101]                    Tue May 30 05:07:04 2023</t>
  </si>
  <si>
    <t>[2023-05-30 05:14:02.821]    19    1øT   121øH</t>
  </si>
  <si>
    <t>[2023-05-30 05:22:15.361]    20    2øT    56øH</t>
  </si>
  <si>
    <t xml:space="preserve">[2023-05-30 05:08:35.149] </t>
  </si>
  <si>
    <t>[2023-05-30 05:14:02.886]    20    0øT   140øH</t>
  </si>
  <si>
    <t>[2023-05-30 05:22:15.425]    20    2øT    24øH</t>
  </si>
  <si>
    <t xml:space="preserve">[2023-05-30 05:08:35.149]                 &lt;1&gt; Display all data     </t>
  </si>
  <si>
    <t>[2023-05-30 05:14:02.950]    20    1øT    74øH</t>
  </si>
  <si>
    <t>[2023-05-30 05:22:15.488]    20    2øT   117øH</t>
  </si>
  <si>
    <t>[2023-05-30 05:08:35.196]                 &lt;2&gt; Display backup EEPROM</t>
  </si>
  <si>
    <t>[2023-05-30 05:14:02.999]    20    0øT   172øH</t>
  </si>
  <si>
    <t>[2023-05-30 05:22:15.554]    20    2øT    42øH</t>
  </si>
  <si>
    <t xml:space="preserve">[2023-05-30 05:08:35.229]                 &lt;M&gt; Main Menu            </t>
  </si>
  <si>
    <t>[2023-05-30 05:14:03.062]    20    0øT   216øH</t>
  </si>
  <si>
    <t>[2023-05-30 05:22:15.601]    20    2øT   196øH</t>
  </si>
  <si>
    <t xml:space="preserve">[2023-05-30 05:08:35.276] </t>
  </si>
  <si>
    <t>[2023-05-30 05:14:03.126]    20    0øT   178øH</t>
  </si>
  <si>
    <t>[2023-05-30 05:22:15.664]    20    2øT    59øH</t>
  </si>
  <si>
    <t>[2023-05-30 05:08:35.291]                 Selection [1] ? m</t>
  </si>
  <si>
    <t>[2023-05-30 05:14:03.175]    20    0øT    96øH</t>
  </si>
  <si>
    <t>[2023-05-30 05:22:15.729]    20    2øT   335øH</t>
  </si>
  <si>
    <t xml:space="preserve">[2023-05-30 05:08:38.811] </t>
  </si>
  <si>
    <t>[2023-05-30 05:14:03.238]    20    0øT   179øH</t>
  </si>
  <si>
    <t>[2023-05-30 05:22:15.794]    20    2øT   118øH</t>
  </si>
  <si>
    <t>[2023-05-30 05:08:38.811] ________________________________________________________________</t>
  </si>
  <si>
    <t>[2023-05-30 05:14:03.302]    20    1øT   182øH</t>
  </si>
  <si>
    <t>[2023-05-30 05:22:15.841]    20    2øT   308øH</t>
  </si>
  <si>
    <t>[2023-05-30 05:08:38.888] Configuration: PST-21                   CF2 V3_09 of May 16 2014</t>
  </si>
  <si>
    <t>[2023-05-30 05:14:03.367]    20    0øT    40øH</t>
  </si>
  <si>
    <t>[2023-05-30 05:22:15.904]    20    2øT   100øH</t>
  </si>
  <si>
    <t xml:space="preserve">[2023-05-30 05:08:38.954] </t>
  </si>
  <si>
    <t>[2023-05-30 05:14:03.414]    20    0øT   109øH</t>
  </si>
  <si>
    <t>[2023-05-30 05:22:15.970]    20    2øT   330øH</t>
  </si>
  <si>
    <t>[2023-05-30 05:08:38.955]                McLane Research Laboratories, Inc.</t>
  </si>
  <si>
    <t>[2023-05-30 05:14:03.478]    20    0øT   309øH</t>
  </si>
  <si>
    <t>[2023-05-30 05:22:16.016]    20    2øT   208øH</t>
  </si>
  <si>
    <t>[2023-05-30 05:08:39.002]                      ParFlux Sediment Trap</t>
  </si>
  <si>
    <t>[2023-05-30 05:14:03.543]    20    0øT   134øH</t>
  </si>
  <si>
    <t>[2023-05-30 05:22:16.081]    20    2øT   123øH</t>
  </si>
  <si>
    <t>[2023-05-30 05:08:39.050]                            ML12993-01</t>
  </si>
  <si>
    <t>[2023-05-30 05:14:03.590]    20    0øT   331øH</t>
  </si>
  <si>
    <t>[2023-05-30 05:22:16.144]    20    2øT   284øH</t>
  </si>
  <si>
    <t>[2023-05-30 05:08:39.099]                _________________________________</t>
  </si>
  <si>
    <t>[2023-05-30 05:14:03.654]    20    0øT   181øH</t>
  </si>
  <si>
    <t>[2023-05-30 05:22:16.193]    21    2øT   287øH</t>
  </si>
  <si>
    <t>[2023-05-30 05:08:39.145]                            Main Menu</t>
  </si>
  <si>
    <t>[2023-05-30 05:14:03.718]    20    0øT   143øH</t>
  </si>
  <si>
    <t>[2023-05-30 05:22:16.256]    21    2øT   357øH</t>
  </si>
  <si>
    <t>[2023-05-30 05:08:39.177]                _________________________________</t>
  </si>
  <si>
    <t>[2023-05-30 05:14:03.781]    20    0øT    42øH</t>
  </si>
  <si>
    <t>[2023-05-30 05:22:16.320]    21    2øT    23øH</t>
  </si>
  <si>
    <t>[2023-05-30 05:08:39.242]                    Tue May 30 05:07:08 2023</t>
  </si>
  <si>
    <t>[2023-05-30 05:14:03.830]    21    0øT    95øH</t>
  </si>
  <si>
    <t>[2023-05-30 05:22:16.387]    21    2øT    37øH</t>
  </si>
  <si>
    <t xml:space="preserve">[2023-05-30 05:08:39.289] </t>
  </si>
  <si>
    <t>[2023-05-30 05:14:03.895]    21    0øT   326øH</t>
  </si>
  <si>
    <t>[2023-05-30 05:22:16.432]    21    2øT   181øH</t>
  </si>
  <si>
    <t>[2023-05-30 05:08:39.289]            &lt;1&gt; Set Time          &lt;5&gt; Create Schedule</t>
  </si>
  <si>
    <t>[2023-05-30 05:14:03.959]    21    0øT    58øH</t>
  </si>
  <si>
    <t>[2023-05-30 05:22:16.495]    21    2øT    55øH</t>
  </si>
  <si>
    <t xml:space="preserve">[2023-05-30 05:08:39.355]            &lt;2&gt; Diagnostics       &lt;6&gt; Deploy System  </t>
  </si>
  <si>
    <t>[2023-05-30 05:14:04.021]    21    1øT     7øH</t>
  </si>
  <si>
    <t>[2023-05-30 05:22:16.561]    21    2øT   338øH</t>
  </si>
  <si>
    <t xml:space="preserve">[2023-05-30 05:08:39.402]            &lt;3&gt; Fill Containers   &lt;7&gt; Offload Data   </t>
  </si>
  <si>
    <t>[2023-05-30 05:14:04.085]    21    0øT   345øH</t>
  </si>
  <si>
    <t>[2023-05-30 05:22:16.624]    21    2øT    17øH</t>
  </si>
  <si>
    <t xml:space="preserve">[2023-05-30 05:08:39.465]            &lt;4&gt; Sleep             &lt;8&gt; Contact McLane </t>
  </si>
  <si>
    <t>[2023-05-30 05:14:04.134]    21    1øT   108øH</t>
  </si>
  <si>
    <t>[2023-05-30 05:22:16.672]    21    2øT   342øH</t>
  </si>
  <si>
    <t xml:space="preserve">[2023-05-30 05:08:39.609] </t>
  </si>
  <si>
    <t>[2023-05-30 05:14:04.198]    21    0øT    24øH</t>
  </si>
  <si>
    <t>[2023-05-30 05:22:16.737]    21    2øT    23øH</t>
  </si>
  <si>
    <t>[2023-05-30 05:08:39.609]                 Selection [] ? 4</t>
  </si>
  <si>
    <t>[2023-05-30 05:14:04.261]    21    0øT   347øH</t>
  </si>
  <si>
    <t>[2023-05-30 05:22:16.800]    21    2øT    15øH</t>
  </si>
  <si>
    <t xml:space="preserve">[2023-05-30 05:08:43.387] </t>
  </si>
  <si>
    <t>[2023-05-30 05:14:04.310]    21    0øT   352øH</t>
  </si>
  <si>
    <t>[2023-05-30 05:22:16.866]    21    2øT    71øH</t>
  </si>
  <si>
    <t xml:space="preserve">[2023-05-30 05:08:43.573] 05/30/23 05:07:12 Suspended ... </t>
  </si>
  <si>
    <t>[2023-05-30 05:14:04.373]    21    0øT    43øH</t>
  </si>
  <si>
    <t>[2023-05-30 05:22:16.928]    21    2øT    10øH</t>
  </si>
  <si>
    <t>[2023-05-30 05:14:04.437]    21    1øT    19øH</t>
  </si>
  <si>
    <t>[2023-05-30 05:22:16.976]    21    2øT   278øH</t>
  </si>
  <si>
    <t>[2023-05-30 05:14:04.501]    21    0øT   295øH</t>
  </si>
  <si>
    <t>[2023-05-30 05:22:17.041]    21    2øT    27øH</t>
  </si>
  <si>
    <t>[2023-05-30 05:14:04.549]    21    0øT   170øH</t>
  </si>
  <si>
    <t>[2023-05-30 05:22:17.104]    21    2øT   331øH</t>
  </si>
  <si>
    <t>[2023-05-30 05:14:04.613]    21    0øT   273øH</t>
  </si>
  <si>
    <t xml:space="preserve">[2023-05-30 05:22:17.123] </t>
  </si>
  <si>
    <t>[2023-05-30 05:14:04.677]    21    0øT    98øH</t>
  </si>
  <si>
    <t>[2023-05-30 05:22:17.139]  Normal shutdown.</t>
  </si>
  <si>
    <t>[2023-05-30 05:14:04.744]    21    0øT   333øH</t>
  </si>
  <si>
    <t xml:space="preserve">[2023-05-30 05:22:17.171] </t>
  </si>
  <si>
    <t xml:space="preserve">[2023-05-30 05:14:04.759] </t>
  </si>
  <si>
    <t xml:space="preserve">[2023-05-30 05:22:17.201]  End of instrument data file.        </t>
  </si>
  <si>
    <t>[2023-05-30 05:14:04.772]  Normal shutdown.</t>
  </si>
  <si>
    <t xml:space="preserve">[2023-05-30 05:22:17.236] </t>
  </si>
  <si>
    <t xml:space="preserve">[2023-05-30 05:14:04.806] </t>
  </si>
  <si>
    <t xml:space="preserve">[2023-05-30 05:22:17.280]  Terminate file logging operation now          </t>
  </si>
  <si>
    <t xml:space="preserve">[2023-05-30 05:14:04.821]  End of instrument data file.        </t>
  </si>
  <si>
    <t>[2023-05-30 05:22:17.360]  and press any key to continue.</t>
  </si>
  <si>
    <t xml:space="preserve">[2023-05-30 05:14:04.870] </t>
  </si>
  <si>
    <t xml:space="preserve">[2023-05-30 05:22:26.507] </t>
  </si>
  <si>
    <t xml:space="preserve">[2023-05-30 05:14:04.918]  Terminate file logging operation now          </t>
  </si>
  <si>
    <t xml:space="preserve">[2023-05-30 05:22:26.525] </t>
  </si>
  <si>
    <t>[2023-05-30 05:14:04.997]  and press any key to continue.</t>
  </si>
  <si>
    <t>[2023-05-30 05:22:26.525] _______________________________________________________</t>
  </si>
  <si>
    <t xml:space="preserve">[2023-05-30 05:14:10.226] </t>
  </si>
  <si>
    <t xml:space="preserve">[2023-05-30 05:22:26.588] </t>
  </si>
  <si>
    <t xml:space="preserve">[2023-05-30 05:14:10.227] </t>
  </si>
  <si>
    <t xml:space="preserve">[2023-05-30 05:22:26.588]               </t>
  </si>
  <si>
    <t>[2023-05-30 05:14:10.227] _______________________________________________________</t>
  </si>
  <si>
    <t xml:space="preserve">[2023-05-30 05:22:26.604] </t>
  </si>
  <si>
    <t xml:space="preserve">[2023-05-30 05:14:10.293] </t>
  </si>
  <si>
    <t xml:space="preserve">[2023-05-30 05:22:26.652] </t>
  </si>
  <si>
    <t xml:space="preserve">[2023-05-30 05:14:10.293]               </t>
  </si>
  <si>
    <t xml:space="preserve">[2023-05-30 05:22:26.716] </t>
  </si>
  <si>
    <t xml:space="preserve">[2023-05-30 05:14:10.309] </t>
  </si>
  <si>
    <t xml:space="preserve">[2023-05-30 05:22:26.778] </t>
  </si>
  <si>
    <t xml:space="preserve">[2023-05-30 05:14:10.371] </t>
  </si>
  <si>
    <t xml:space="preserve">[2023-05-30 05:22:26.843] </t>
  </si>
  <si>
    <t xml:space="preserve">[2023-05-30 05:14:10.418] </t>
  </si>
  <si>
    <t xml:space="preserve">[2023-05-30 05:22:26.859] </t>
  </si>
  <si>
    <t xml:space="preserve">[2023-05-30 05:14:10.481] </t>
  </si>
  <si>
    <t xml:space="preserve">[2023-05-30 05:22:26.925] </t>
  </si>
  <si>
    <t xml:space="preserve">[2023-05-30 05:14:10.547] </t>
  </si>
  <si>
    <t xml:space="preserve">[2023-05-30 05:22:27.002] </t>
  </si>
  <si>
    <t xml:space="preserve">[2023-05-30 05:14:10.561] </t>
  </si>
  <si>
    <t xml:space="preserve">[2023-05-30 05:22:27.259] </t>
  </si>
  <si>
    <t xml:space="preserve">      Tue May 30 04:50:42 2023</t>
  </si>
  <si>
    <t xml:space="preserve">[2023-05-30 05:14:10.643] </t>
  </si>
  <si>
    <t xml:space="preserve">[2023-05-30 05:22:27.292] </t>
  </si>
  <si>
    <t xml:space="preserve">[2023-05-30 05:14:10.708] </t>
  </si>
  <si>
    <t xml:space="preserve">[2023-05-30 05:22:27.339] </t>
  </si>
  <si>
    <t xml:space="preserve">[2023-05-30 05:14:10.964] </t>
  </si>
  <si>
    <t xml:space="preserve">      Tue May 30 04:40:57 2023</t>
  </si>
  <si>
    <t xml:space="preserve">[2023-05-30 05:22:27.435] </t>
  </si>
  <si>
    <t xml:space="preserve">[2023-05-30 05:14:11.011] </t>
  </si>
  <si>
    <t xml:space="preserve">[2023-05-30 05:22:27.549] </t>
  </si>
  <si>
    <t xml:space="preserve">[2023-05-30 05:14:11.057] </t>
  </si>
  <si>
    <t xml:space="preserve">[2023-05-30 05:22:27.644] </t>
  </si>
  <si>
    <t xml:space="preserve">[2023-05-30 05:14:11.152] </t>
  </si>
  <si>
    <t xml:space="preserve">[2023-05-30 05:22:27.693] </t>
  </si>
  <si>
    <t xml:space="preserve">[2023-05-30 05:14:11.248] </t>
  </si>
  <si>
    <t xml:space="preserve">[2023-05-30 05:22:27.708] </t>
  </si>
  <si>
    <t xml:space="preserve">  Selection  ? 4</t>
  </si>
  <si>
    <t xml:space="preserve">[2023-05-30 05:14:11.344] </t>
  </si>
  <si>
    <t xml:space="preserve">[2023-05-30 05:22:30.109] </t>
  </si>
  <si>
    <t xml:space="preserve">[2023-05-30 05:14:11.410] </t>
  </si>
  <si>
    <t>[2023-05-30 05:22:30.206]  05/30/2023 04:50:46 Sleeping . . .</t>
  </si>
  <si>
    <t xml:space="preserve">[2023-05-30 05:14:11.424] </t>
  </si>
  <si>
    <t xml:space="preserve">[2023-05-30 05:14:16.190] </t>
  </si>
  <si>
    <t xml:space="preserve">[2023-05-30 05:14:16.220] </t>
  </si>
  <si>
    <t xml:space="preserve">[2023-05-30 05:14:16.269] </t>
  </si>
  <si>
    <t xml:space="preserve">[2023-05-30 05:14:16.333] </t>
  </si>
  <si>
    <t xml:space="preserve">[2023-05-30 05:14:16.576] </t>
  </si>
  <si>
    <t xml:space="preserve">     Tue May 30 04:41:03 2023</t>
  </si>
  <si>
    <t xml:space="preserve">[2023-05-30 05:14:16.607] </t>
  </si>
  <si>
    <t xml:space="preserve">[2023-05-30 05:14:16.621] </t>
  </si>
  <si>
    <t xml:space="preserve">[2023-05-30 05:14:16.685] </t>
  </si>
  <si>
    <t xml:space="preserve">[2023-05-30 05:14:16.749] </t>
  </si>
  <si>
    <t xml:space="preserve">[2023-05-30 05:14:16.812] </t>
  </si>
  <si>
    <t xml:space="preserve">[2023-05-30 05:14:16.864] </t>
  </si>
  <si>
    <t xml:space="preserve">[2023-05-30 05:14:16.878] </t>
  </si>
  <si>
    <t xml:space="preserve">[2023-05-30 05:14:16.893] </t>
  </si>
  <si>
    <t xml:space="preserve">  Selection  ? 3</t>
  </si>
  <si>
    <t xml:space="preserve">[2023-05-30 05:14:19.900] </t>
  </si>
  <si>
    <t xml:space="preserve">[2023-05-30 05:14:19.963]  To copy the instrument data file to a disk file, initiate          </t>
  </si>
  <si>
    <t xml:space="preserve">[2023-05-30 05:14:20.091]  your communication program's file logging command now and          </t>
  </si>
  <si>
    <t xml:space="preserve">[2023-05-30 05:14:20.219]  then press any key to start the transfer.  The instrument          </t>
  </si>
  <si>
    <t xml:space="preserve">[2023-05-30 05:14:20.346]  data file will remain resident and is not erased by this          </t>
  </si>
  <si>
    <t>[2023-05-30 05:14:20.442]  offload procedure.</t>
  </si>
  <si>
    <t xml:space="preserve">[2023-05-30 05:14:20.460] </t>
  </si>
  <si>
    <t xml:space="preserve">[2023-05-30 05:14:21.753] </t>
  </si>
  <si>
    <t xml:space="preserve">[2023-05-30 05:14:21.768]  Software version:  PST-21C5.c          </t>
  </si>
  <si>
    <t>[2023-05-30 05:14:21.833]  Compiled:          Mar 13 2007 14:22:06</t>
  </si>
  <si>
    <t>[2023-05-30 05:14:21.884]  Electronics S/N:   ML12419-01</t>
  </si>
  <si>
    <t xml:space="preserve">[2023-05-30 05:14:21.931] </t>
  </si>
  <si>
    <t>[2023-05-30 05:14:22.219]  Data recording start time = 04/20/2022 03:40:26</t>
  </si>
  <si>
    <t>[2023-05-30 05:14:22.570]  Data recording stop time  = 05/07/2023 00:00:31</t>
  </si>
  <si>
    <t xml:space="preserve">[2023-05-30 05:14:22.620] </t>
  </si>
  <si>
    <t>[2023-05-30 05:14:22.634]  HEADER</t>
  </si>
  <si>
    <t>[2023-05-30 05:14:22.650]  ______</t>
  </si>
  <si>
    <t xml:space="preserve">[2023-05-30 05:14:22.650] </t>
  </si>
  <si>
    <t>[2023-05-30 05:14:22.664]  SAZ24_2022_1000m_12419_01_TILT</t>
  </si>
  <si>
    <t xml:space="preserve">[2023-05-30 05:14:22.697] </t>
  </si>
  <si>
    <t>[2023-05-30 05:14:22.711]  TILT DATA</t>
  </si>
  <si>
    <t>[2023-05-30 05:14:22.732]  _________</t>
  </si>
  <si>
    <t xml:space="preserve">[2023-05-30 05:14:22.749]   </t>
  </si>
  <si>
    <t xml:space="preserve">[2023-05-30 05:14:22.776]  Tilt sample interval:  1440 minutes            </t>
  </si>
  <si>
    <t xml:space="preserve">[2023-05-30 05:14:22.827] </t>
  </si>
  <si>
    <t>[2023-05-30 05:14:22.827]  Event  Tilt  Heading</t>
  </si>
  <si>
    <t xml:space="preserve">[2023-05-30 05:14:22.858] </t>
  </si>
  <si>
    <t>[2023-05-30 05:14:22.890]    01    1øT   326øH</t>
  </si>
  <si>
    <t>[2023-05-30 05:14:22.953]    01    1øT   327øH</t>
  </si>
  <si>
    <t>[2023-05-30 05:14:23.016]    01    1øT   313øH</t>
  </si>
  <si>
    <t>[2023-05-30 05:14:23.065]    01    1øT   325øH</t>
  </si>
  <si>
    <t>[2023-05-30 05:14:23.129]    01    2øT   348øH</t>
  </si>
  <si>
    <t>[2023-05-30 05:14:23.192]    01    1øT   354øH</t>
  </si>
  <si>
    <t>[2023-05-30 05:14:23.240]    01    1øT    13øH</t>
  </si>
  <si>
    <t>[2023-05-30 05:14:23.305]    01    1øT   326øH</t>
  </si>
  <si>
    <t>[2023-05-30 05:14:23.368]    01    1øT   359øH</t>
  </si>
  <si>
    <t>[2023-05-30 05:14:23.416]    01    1øT    18øH</t>
  </si>
  <si>
    <t>[2023-05-30 05:14:23.481]    01    1øT   355øH</t>
  </si>
  <si>
    <t>[2023-05-30 05:14:23.544]    01    1øT   337øH</t>
  </si>
  <si>
    <t>[2023-05-30 05:14:23.592]    01    1øT   348øH</t>
  </si>
  <si>
    <t>[2023-05-30 05:14:23.656]    01    1øT   328øH</t>
  </si>
  <si>
    <t>[2023-05-30 05:14:23.719]    01    1øT   336øH</t>
  </si>
  <si>
    <t>[2023-05-30 05:14:23.785]    01    1øT   351øH</t>
  </si>
  <si>
    <t>[2023-05-30 05:14:23.832]    02    1øT     3øH</t>
  </si>
  <si>
    <t>[2023-05-30 05:14:23.896]    02    1øT   324øH</t>
  </si>
  <si>
    <t>[2023-05-30 05:14:23.959]    02    1øT   351øH</t>
  </si>
  <si>
    <t>[2023-05-30 05:14:24.023]    02    1øT     4øH</t>
  </si>
  <si>
    <t>[2023-05-30 05:14:24.071]    02    1øT   341øH</t>
  </si>
  <si>
    <t>[2023-05-30 05:14:24.136]    02    1øT     0øH</t>
  </si>
  <si>
    <t>[2023-05-30 05:14:24.200]    02    2øT     7øH</t>
  </si>
  <si>
    <t>[2023-05-30 05:14:24.265]    02    1øT    17øH</t>
  </si>
  <si>
    <t>[2023-05-30 05:14:24.327]    02    1øT   358øH</t>
  </si>
  <si>
    <t>[2023-05-30 05:14:24.375]    02    1øT    11øH</t>
  </si>
  <si>
    <t>[2023-05-30 05:14:24.441]    02    1øT   343øH</t>
  </si>
  <si>
    <t>[2023-05-30 05:14:24.505]    02    1øT    35øH</t>
  </si>
  <si>
    <t>[2023-05-30 05:14:24.551]    02    1øT   357øH</t>
  </si>
  <si>
    <t>[2023-05-30 05:14:24.617]    02    1øT    30øH</t>
  </si>
  <si>
    <t>[2023-05-30 05:14:24.679]    02    0øT   326øH</t>
  </si>
  <si>
    <t>[2023-05-30 05:14:24.744]    02    1øT    31øH</t>
  </si>
  <si>
    <t>[2023-05-30 05:14:24.791]    03    1øT    22øH</t>
  </si>
  <si>
    <t>[2023-05-30 05:14:24.855]    03    2øT    33øH</t>
  </si>
  <si>
    <t>[2023-05-30 05:14:24.920]    03    1øT   357øH</t>
  </si>
  <si>
    <t>[2023-05-30 05:14:24.984]    03    1øT    22øH</t>
  </si>
  <si>
    <t>[2023-05-30 05:14:25.031]    03    1øT    10øH</t>
  </si>
  <si>
    <t>[2023-05-30 05:14:25.096]    03    1øT    12øH</t>
  </si>
  <si>
    <t>[2023-05-30 05:14:25.160]    03    1øT   357øH</t>
  </si>
  <si>
    <t>[2023-05-30 05:14:25.224]    03    1øT    41øH</t>
  </si>
  <si>
    <t>[2023-05-30 05:14:25.289]    03    1øT     6øH</t>
  </si>
  <si>
    <t>[2023-05-30 05:14:25.335]    03    1øT     2øH</t>
  </si>
  <si>
    <t>[2023-05-30 05:14:25.399]    03    1øT    10øH</t>
  </si>
  <si>
    <t>[2023-05-30 05:14:25.464]    03    1øT   322øH</t>
  </si>
  <si>
    <t>[2023-05-30 05:14:25.527]    03    1øT   343øH</t>
  </si>
  <si>
    <t>[2023-05-30 05:14:25.575]    03    0øT     3øH</t>
  </si>
  <si>
    <t>[2023-05-30 05:14:25.639]    03    1øT   345øH</t>
  </si>
  <si>
    <t>[2023-05-30 05:14:25.703]    03    0øT   359øH</t>
  </si>
  <si>
    <t>[2023-05-30 05:14:25.768]    04    1øT     5øH</t>
  </si>
  <si>
    <t>[2023-05-30 05:14:25.815]    04    0øT   332øH</t>
  </si>
  <si>
    <t>[2023-05-30 05:14:25.879]    04    0øT    33øH</t>
  </si>
  <si>
    <t>[2023-05-30 05:14:25.943]    04    1øT    22øH</t>
  </si>
  <si>
    <t>[2023-05-30 05:14:26.007]    04    0øT    10øH</t>
  </si>
  <si>
    <t>[2023-05-30 05:14:26.055]    04    0øT   293øH</t>
  </si>
  <si>
    <t>[2023-05-30 05:14:26.119]    04    0øT   320øH</t>
  </si>
  <si>
    <t>[2023-05-30 05:14:26.183]    04    0øT   247øH</t>
  </si>
  <si>
    <t>[2023-05-30 05:14:26.231]    04    1øT   326øH</t>
  </si>
  <si>
    <t>[2023-05-30 05:14:26.296]    04    1øT   312øH</t>
  </si>
  <si>
    <t>[2023-05-30 05:14:26.358]    04    1øT   321øH</t>
  </si>
  <si>
    <t>[2023-05-30 05:14:26.406]    04    1øT   360øH</t>
  </si>
  <si>
    <t>[2023-05-30 05:14:26.471]    04    0øT   309øH</t>
  </si>
  <si>
    <t>[2023-05-30 05:14:26.535]    04    1øT     4øH</t>
  </si>
  <si>
    <t>[2023-05-30 05:14:26.598]    04    0øT     7øH</t>
  </si>
  <si>
    <t>[2023-05-30 05:14:26.662]    04    1øT    24øH</t>
  </si>
  <si>
    <t>[2023-05-30 05:14:26.710]    05    0øT   354øH</t>
  </si>
  <si>
    <t>[2023-05-30 05:14:26.774]    05    1øT    31øH</t>
  </si>
  <si>
    <t>[2023-05-30 05:14:26.839]    05    1øT    48øH</t>
  </si>
  <si>
    <t>[2023-05-30 05:14:26.904]    05    1øT    32øH</t>
  </si>
  <si>
    <t>[2023-05-30 05:14:26.950]    05    0øT   336øH</t>
  </si>
  <si>
    <t>[2023-05-30 05:14:27.014]    05    0øT    52øH</t>
  </si>
  <si>
    <t>[2023-05-30 05:14:27.078]    05    1øT    16øH</t>
  </si>
  <si>
    <t>[2023-05-30 05:14:27.142]    05    1øT    52øH</t>
  </si>
  <si>
    <t>[2023-05-30 05:14:27.189]    05    2øT    47øH</t>
  </si>
  <si>
    <t>[2023-05-30 05:14:27.255]    05    0øT    48øH</t>
  </si>
  <si>
    <t>[2023-05-30 05:14:27.318]    05    1øT    62øH</t>
  </si>
  <si>
    <t>[2023-05-30 05:14:27.383]    05    1øT    18øH</t>
  </si>
  <si>
    <t>[2023-05-30 05:14:27.446]    05    0øT    43øH</t>
  </si>
  <si>
    <t>[2023-05-30 05:14:27.494]    05    1øT    33øH</t>
  </si>
  <si>
    <t>[2023-05-30 05:14:27.557]    05    1øT    22øH</t>
  </si>
  <si>
    <t>[2023-05-30 05:14:27.622]    05    1øT    55øH</t>
  </si>
  <si>
    <t>[2023-05-30 05:14:27.686]    06    1øT    29øH</t>
  </si>
  <si>
    <t>[2023-05-30 05:14:27.735]    06    1øT   331øH</t>
  </si>
  <si>
    <t>[2023-05-30 05:14:27.798]    06    1øT   320øH</t>
  </si>
  <si>
    <t>[2023-05-30 05:14:27.861]    06    1øT   294øH</t>
  </si>
  <si>
    <t>[2023-05-30 05:14:27.910]    06    1øT   327øH</t>
  </si>
  <si>
    <t>[2023-05-30 05:14:27.973]    06    1øT   356øH</t>
  </si>
  <si>
    <t>[2023-05-30 05:14:28.039]    06    1øT   335øH</t>
  </si>
  <si>
    <t>[2023-05-30 05:14:28.086]    06    1øT   337øH</t>
  </si>
  <si>
    <t>[2023-05-30 05:14:28.149]    06    1øT    11øH</t>
  </si>
  <si>
    <t>[2023-05-30 05:14:28.215]    06    1øT     7øH</t>
  </si>
  <si>
    <t>[2023-05-30 05:14:28.277]    06    1øT     0øH</t>
  </si>
  <si>
    <t>[2023-05-30 05:14:28.341]    06    1øT   340øH</t>
  </si>
  <si>
    <t>[2023-05-30 05:14:28.391]    06    1øT    34øH</t>
  </si>
  <si>
    <t>[2023-05-30 05:14:28.453]    06    0øT     7øH</t>
  </si>
  <si>
    <t>[2023-05-30 05:14:28.517]    06    1øT    50øH</t>
  </si>
  <si>
    <t>[2023-05-30 05:14:28.582]    06    0øT   162øH</t>
  </si>
  <si>
    <t>[2023-05-30 05:14:28.645]    07    0øT    27øH</t>
  </si>
  <si>
    <t>[2023-05-30 05:14:28.693]    07    0øT   306øH</t>
  </si>
  <si>
    <t>[2023-05-30 05:14:28.757]    07    0øT   208øH</t>
  </si>
  <si>
    <t>[2023-05-30 05:14:28.821]    07    1øT    16øH</t>
  </si>
  <si>
    <t>[2023-05-30 05:14:28.869]    07    0øT   262øH</t>
  </si>
  <si>
    <t>[2023-05-30 05:14:28.933]    07    0øT     8øH</t>
  </si>
  <si>
    <t>[2023-05-30 05:14:28.997]    07    0øT   354øH</t>
  </si>
  <si>
    <t>[2023-05-30 05:14:29.064]    07    1øT    65øH</t>
  </si>
  <si>
    <t>[2023-05-30 05:14:29.110]    07    1øT   352øH</t>
  </si>
  <si>
    <t>[2023-05-30 05:14:29.173]    07    1øT    60øH</t>
  </si>
  <si>
    <t>[2023-05-30 05:14:29.237]    07    1øT   355øH</t>
  </si>
  <si>
    <t>[2023-05-30 05:14:29.301]    07    1øT    66øH</t>
  </si>
  <si>
    <t>[2023-05-30 05:14:29.348]    07    1øT   352øH</t>
  </si>
  <si>
    <t>[2023-05-30 05:14:29.413]    07    1øT   131øH</t>
  </si>
  <si>
    <t>[2023-05-30 05:14:29.477]    07    0øT   326øH</t>
  </si>
  <si>
    <t>[2023-05-30 05:14:29.524]    07    0øT   188øH</t>
  </si>
  <si>
    <t>[2023-05-30 05:14:29.589]    08    0øT   263øH</t>
  </si>
  <si>
    <t>[2023-05-30 05:14:29.654]    08    1øT   302øH</t>
  </si>
  <si>
    <t>[2023-05-30 05:14:29.701]    08    1øT   327øH</t>
  </si>
  <si>
    <t>[2023-05-30 05:14:29.765]    08    1øT     8øH</t>
  </si>
  <si>
    <t>[2023-05-30 05:14:29.827]    08    1øT    27øH</t>
  </si>
  <si>
    <t>[2023-05-30 05:14:29.892]    08    1øT    14øH</t>
  </si>
  <si>
    <t>[2023-05-30 05:14:29.940]    08    2øT    38øH</t>
  </si>
  <si>
    <t>[2023-05-30 05:14:30.005]    08    1øT    25øH</t>
  </si>
  <si>
    <t>[2023-05-30 05:14:30.068]    08    1øT   344øH</t>
  </si>
  <si>
    <t>[2023-05-30 05:14:30.132]    08    1øT   356øH</t>
  </si>
  <si>
    <t>[2023-05-30 05:14:30.180]    08    0øT   303øH</t>
  </si>
  <si>
    <t>[2023-05-30 05:14:30.244]    08    1øT   323øH</t>
  </si>
  <si>
    <t>[2023-05-30 05:14:30.308]    08    1øT   330øH</t>
  </si>
  <si>
    <t>[2023-05-30 05:14:30.356]    08    1øT   339øH</t>
  </si>
  <si>
    <t>[2023-05-30 05:14:30.421]    08    1øT   324øH</t>
  </si>
  <si>
    <t>[2023-05-30 05:14:30.483]    08    0øT   334øH</t>
  </si>
  <si>
    <t>[2023-05-30 05:14:30.533]    09    0øT    26øH</t>
  </si>
  <si>
    <t>[2023-05-30 05:14:30.596]    09    0øT    23øH</t>
  </si>
  <si>
    <t>[2023-05-30 05:14:30.660]    09    1øT    16øH</t>
  </si>
  <si>
    <t>[2023-05-30 05:14:30.724]    09    1øT    43øH</t>
  </si>
  <si>
    <t>[2023-05-30 05:14:30.772]    09    1øT   355øH</t>
  </si>
  <si>
    <t>[2023-05-30 05:14:30.835]    09    1øT    51øH</t>
  </si>
  <si>
    <t>[2023-05-30 05:14:30.899]    09    0øT   338øH</t>
  </si>
  <si>
    <t>[2023-05-30 05:14:30.963]    09    1øT    18øH</t>
  </si>
  <si>
    <t>[2023-05-30 05:14:31.012]    09    1øT   296øH</t>
  </si>
  <si>
    <t>[2023-05-30 05:14:31.075]    09    0øT   267øH</t>
  </si>
  <si>
    <t>[2023-05-30 05:14:31.140]    09    0øT    32øH</t>
  </si>
  <si>
    <t>[2023-05-30 05:14:31.189]    09    0øT   224øH</t>
  </si>
  <si>
    <t>[2023-05-30 05:14:31.252]    09    1øT    31øH</t>
  </si>
  <si>
    <t>[2023-05-30 05:14:31.317]    09    1øT   353øH</t>
  </si>
  <si>
    <t>[2023-05-30 05:14:31.379]    09    2øT    39øH</t>
  </si>
  <si>
    <t>[2023-05-30 05:14:31.427]    09    1øT    12øH</t>
  </si>
  <si>
    <t>[2023-05-30 05:14:31.491]    10    1øT   332øH</t>
  </si>
  <si>
    <t>[2023-05-30 05:14:31.555]    10    1øT   356øH</t>
  </si>
  <si>
    <t>[2023-05-30 05:14:31.619]    10    0øT   290øH</t>
  </si>
  <si>
    <t>[2023-05-30 05:14:31.667]    10    0øT   317øH</t>
  </si>
  <si>
    <t>[2023-05-30 05:14:31.731]    10    0øT   330øH</t>
  </si>
  <si>
    <t>[2023-05-30 05:14:31.795]    10    0øT   119øH</t>
  </si>
  <si>
    <t>[2023-05-30 05:14:31.846]    10    0øT   283øH</t>
  </si>
  <si>
    <t>[2023-05-30 05:14:31.906]    10    0øT   238øH</t>
  </si>
  <si>
    <t>[2023-05-30 05:14:31.970]    10    1øT   308øH</t>
  </si>
  <si>
    <t>[2023-05-30 05:14:32.019]    10    1øT   229øH</t>
  </si>
  <si>
    <t>[2023-05-30 05:14:32.083]    10    0øT   306øH</t>
  </si>
  <si>
    <t>[2023-05-30 05:14:32.148]    10    0øT   232øH</t>
  </si>
  <si>
    <t>[2023-05-30 05:14:32.211]    10    0øT   307øH</t>
  </si>
  <si>
    <t>[2023-05-30 05:14:32.258]    10    1øT   293øH</t>
  </si>
  <si>
    <t>[2023-05-30 05:14:32.324]    10    0øT     4øH</t>
  </si>
  <si>
    <t>[2023-05-30 05:14:32.387]    10    0øT   309øH</t>
  </si>
  <si>
    <t>[2023-05-30 05:14:32.451]    11    0øT   297øH</t>
  </si>
  <si>
    <t>[2023-05-30 05:14:32.499]    11    1øT   208øH</t>
  </si>
  <si>
    <t>[2023-05-30 05:14:32.563]    11    0øT   327øH</t>
  </si>
  <si>
    <t>[2023-05-30 05:14:32.626]    11    0øT   172øH</t>
  </si>
  <si>
    <t>[2023-05-30 05:14:32.675]    11    1øT   240øH</t>
  </si>
  <si>
    <t>[2023-05-30 05:14:32.738]    11    0øT   172øH</t>
  </si>
  <si>
    <t>[2023-05-30 05:14:32.802]    11    0øT   237øH</t>
  </si>
  <si>
    <t>[2023-05-30 05:14:32.852]    11    0øT   203øH</t>
  </si>
  <si>
    <t>[2023-05-30 05:14:32.914]    11    0øT   175øH</t>
  </si>
  <si>
    <t>[2023-05-30 05:14:32.978]    11    0øT   155øH</t>
  </si>
  <si>
    <t>[2023-05-30 05:14:33.027]    11    1øT   255øH</t>
  </si>
  <si>
    <t>[2023-05-30 05:14:33.091]    11    0øT   238øH</t>
  </si>
  <si>
    <t>[2023-05-30 05:14:33.156]    11    0øT   296øH</t>
  </si>
  <si>
    <t>[2023-05-30 05:14:33.218]    11    1øT   336øH</t>
  </si>
  <si>
    <t>[2023-05-30 05:14:33.266]    11    0øT   246øH</t>
  </si>
  <si>
    <t>[2023-05-30 05:14:33.330]    11    0øT   318øH</t>
  </si>
  <si>
    <t>[2023-05-30 05:14:33.394]    12    0øT   192øH</t>
  </si>
  <si>
    <t>[2023-05-30 05:14:33.441]    12    0øT   158øH</t>
  </si>
  <si>
    <t>[2023-05-30 05:14:33.507]    12    0øT   216øH</t>
  </si>
  <si>
    <t>[2023-05-30 05:14:33.570]    12    0øT   213øH</t>
  </si>
  <si>
    <t>[2023-05-30 05:14:33.618]    12    0øT   246øH</t>
  </si>
  <si>
    <t>[2023-05-30 05:14:33.682]    12    0øT   222øH</t>
  </si>
  <si>
    <t>[2023-05-30 05:14:33.745]    12    1øT   257øH</t>
  </si>
  <si>
    <t>[2023-05-30 05:14:33.809]    12    0øT   247øH</t>
  </si>
  <si>
    <t>[2023-05-30 05:14:33.857]    12    0øT   268øH</t>
  </si>
  <si>
    <t>[2023-05-30 05:14:33.921]    12    0øT   239øH</t>
  </si>
  <si>
    <t>[2023-05-30 05:14:33.988]    12    1øT   270øH</t>
  </si>
  <si>
    <t>[2023-05-30 05:14:34.033]    12    0øT   280øH</t>
  </si>
  <si>
    <t>[2023-05-30 05:14:34.097]    12    1øT   275øH</t>
  </si>
  <si>
    <t>[2023-05-30 05:14:34.162]    12    0øT   328øH</t>
  </si>
  <si>
    <t>[2023-05-30 05:14:34.209]    12    1øT   266øH</t>
  </si>
  <si>
    <t>[2023-05-30 05:14:34.274]    12    1øT   245øH</t>
  </si>
  <si>
    <t>[2023-05-30 05:14:34.338]    13    1øT   192øH</t>
  </si>
  <si>
    <t>[2023-05-30 05:14:34.402]    13    0øT   240øH</t>
  </si>
  <si>
    <t>[2023-05-30 05:14:34.449]    13    1øT   218øH</t>
  </si>
  <si>
    <t>[2023-05-30 05:14:34.516]    13    1øT   222øH</t>
  </si>
  <si>
    <t>[2023-05-30 05:14:34.576]    13    1øT   237øH</t>
  </si>
  <si>
    <t>[2023-05-30 05:14:34.624]    13    0øT   227øH</t>
  </si>
  <si>
    <t>[2023-05-30 05:14:34.690]    13    0øT   159øH</t>
  </si>
  <si>
    <t>[2023-05-30 05:14:34.753]    13    0øT   233øH</t>
  </si>
  <si>
    <t>[2023-05-30 05:14:34.801]    13    0øT   213øH</t>
  </si>
  <si>
    <t>[2023-05-30 05:14:34.865]    13    0øT   252øH</t>
  </si>
  <si>
    <t>[2023-05-30 05:14:34.929]    13    0øT   183øH</t>
  </si>
  <si>
    <t>[2023-05-30 05:14:34.976]    13    1øT   222øH</t>
  </si>
  <si>
    <t>[2023-05-30 05:14:35.041]    13    0øT   170øH</t>
  </si>
  <si>
    <t>[2023-05-30 05:14:35.104]    13    1øT   213øH</t>
  </si>
  <si>
    <t>[2023-05-30 05:14:35.171]    13    1øT   206øH</t>
  </si>
  <si>
    <t>[2023-05-30 05:14:35.216]    13    1øT   238øH</t>
  </si>
  <si>
    <t>[2023-05-30 05:14:35.281]    14    1øT   216øH</t>
  </si>
  <si>
    <t>[2023-05-30 05:14:35.345]    14    1øT   218øH</t>
  </si>
  <si>
    <t>[2023-05-30 05:14:35.392]    14    1øT   213øH</t>
  </si>
  <si>
    <t>[2023-05-30 05:14:35.456]    14    0øT   187øH</t>
  </si>
  <si>
    <t>[2023-05-30 05:14:35.522]    14    1øT   226øH</t>
  </si>
  <si>
    <t>[2023-05-30 05:14:35.569]    14    1øT   185øH</t>
  </si>
  <si>
    <t>[2023-05-30 05:14:35.632]    14    1øT   177øH</t>
  </si>
  <si>
    <t>[2023-05-30 05:14:35.696]    14    0øT   220øH</t>
  </si>
  <si>
    <t>[2023-05-30 05:14:35.760]    14    1øT   213øH</t>
  </si>
  <si>
    <t>[2023-05-30 05:14:35.808]    14    0øT   225øH</t>
  </si>
  <si>
    <t>[2023-05-30 05:14:35.872]    14    1øT   228øH</t>
  </si>
  <si>
    <t>[2023-05-30 05:14:35.936]    14    0øT   227øH</t>
  </si>
  <si>
    <t>[2023-05-30 05:14:35.984]    14    1øT   241øH</t>
  </si>
  <si>
    <t>[2023-05-30 05:14:36.048]    14    0øT   220øH</t>
  </si>
  <si>
    <t>[2023-05-30 05:14:36.112]    14    1øT   220øH</t>
  </si>
  <si>
    <t>[2023-05-30 05:14:36.159]    14    1øT   228øH</t>
  </si>
  <si>
    <t>[2023-05-30 05:14:36.225]    15    1øT   249øH</t>
  </si>
  <si>
    <t>[2023-05-30 05:14:36.287]    15    1øT   221øH</t>
  </si>
  <si>
    <t>[2023-05-30 05:14:36.335]    15    1øT   269øH</t>
  </si>
  <si>
    <t>[2023-05-30 05:14:36.400]    15    1øT   252øH</t>
  </si>
  <si>
    <t>[2023-05-30 05:14:36.464]    15    1øT   300øH</t>
  </si>
  <si>
    <t>[2023-05-30 05:14:36.529]    15    0øT   254øH</t>
  </si>
  <si>
    <t>[2023-05-30 05:14:36.575]    15    0øT   250øH</t>
  </si>
  <si>
    <t>[2023-05-30 05:14:36.639]    15    1øT   249øH</t>
  </si>
  <si>
    <t>[2023-05-30 05:14:36.704]    15    0øT   200øH</t>
  </si>
  <si>
    <t>[2023-05-30 05:14:36.751]    15    1øT   239øH</t>
  </si>
  <si>
    <t>[2023-05-30 05:14:36.815]    15    1øT   206øH</t>
  </si>
  <si>
    <t>[2023-05-30 05:14:36.879]    15    1øT   204øH</t>
  </si>
  <si>
    <t>[2023-05-30 05:14:36.927]    15    1øT   203øH</t>
  </si>
  <si>
    <t>[2023-05-30 05:14:36.993]    15    1øT   210øH</t>
  </si>
  <si>
    <t>[2023-05-30 05:14:37.056]    15    1øT   225øH</t>
  </si>
  <si>
    <t>[2023-05-30 05:14:37.119]    15    0øT   252øH</t>
  </si>
  <si>
    <t>[2023-05-30 05:14:37.167]    16    1øT   231øH</t>
  </si>
  <si>
    <t>[2023-05-30 05:14:37.232]    16    1øT   262øH</t>
  </si>
  <si>
    <t>[2023-05-30 05:14:37.295]    16    1øT   240øH</t>
  </si>
  <si>
    <t>[2023-05-30 05:14:37.342]    16    1øT   257øH</t>
  </si>
  <si>
    <t>[2023-05-30 05:14:37.407]    16    1øT   180øH</t>
  </si>
  <si>
    <t>[2023-05-30 05:14:37.471]    16    1øT   255øH</t>
  </si>
  <si>
    <t>[2023-05-30 05:14:37.519]    16    0øT   191øH</t>
  </si>
  <si>
    <t>[2023-05-30 05:14:37.583]    16    1øT   216øH</t>
  </si>
  <si>
    <t>[2023-05-30 05:14:37.647]    16    1øT   203øH</t>
  </si>
  <si>
    <t>[2023-05-30 05:14:37.711]    16    1øT   256øH</t>
  </si>
  <si>
    <t>[2023-05-30 05:14:37.759]    16    1øT   237øH</t>
  </si>
  <si>
    <t>[2023-05-30 05:14:37.823]    16    1øT   280øH</t>
  </si>
  <si>
    <t>[2023-05-30 05:14:37.886]    16    1øT   263øH</t>
  </si>
  <si>
    <t>[2023-05-30 05:14:37.935]    16    0øT   268øH</t>
  </si>
  <si>
    <t>[2023-05-30 05:14:38.000]    16    1øT   245øH</t>
  </si>
  <si>
    <t>[2023-05-30 05:14:38.062]    16    1øT   255øH</t>
  </si>
  <si>
    <t>[2023-05-30 05:14:38.110]    17    1øT   246øH</t>
  </si>
  <si>
    <t>[2023-05-30 05:14:38.175]    17    1øT   242øH</t>
  </si>
  <si>
    <t>[2023-05-30 05:14:38.238]    17    1øT   282øH</t>
  </si>
  <si>
    <t>[2023-05-30 05:14:38.286]    17    1øT   242øH</t>
  </si>
  <si>
    <t>[2023-05-30 05:14:38.350]    17    1øT   281øH</t>
  </si>
  <si>
    <t>[2023-05-30 05:14:38.415]    17    1øT   265øH</t>
  </si>
  <si>
    <t>[2023-05-30 05:14:38.479]    17    1øT   280øH</t>
  </si>
  <si>
    <t>[2023-05-30 05:14:38.526]    17    1øT   233øH</t>
  </si>
  <si>
    <t>[2023-05-30 05:14:38.591]    17    1øT   278øH</t>
  </si>
  <si>
    <t>[2023-05-30 05:14:38.655]    17    1øT   250øH</t>
  </si>
  <si>
    <t>[2023-05-30 05:14:38.703]    17    1øT   241øH</t>
  </si>
  <si>
    <t>[2023-05-30 05:14:38.766]    17    1øT   226øH</t>
  </si>
  <si>
    <t>[2023-05-30 05:14:38.830]    17    1øT   263øH</t>
  </si>
  <si>
    <t>[2023-05-30 05:14:38.877]    17    1øT   231øH</t>
  </si>
  <si>
    <t>[2023-05-30 05:14:38.941]    17    1øT   252øH</t>
  </si>
  <si>
    <t>[2023-05-30 05:14:39.007]    17    2øT   261øH</t>
  </si>
  <si>
    <t>[2023-05-30 05:14:39.070]    18    1øT   244øH</t>
  </si>
  <si>
    <t>[2023-05-30 05:14:39.117]    18    1øT   250øH</t>
  </si>
  <si>
    <t>[2023-05-30 05:14:39.183]    18    2øT   266øH</t>
  </si>
  <si>
    <t>[2023-05-30 05:14:39.246]    18    2øT   250øH</t>
  </si>
  <si>
    <t>[2023-05-30 05:14:39.293]    18    2øT   260øH</t>
  </si>
  <si>
    <t>[2023-05-30 05:14:39.358]    18    2øT   251øH</t>
  </si>
  <si>
    <t>[2023-05-30 05:14:39.422]    18    1øT   258øH</t>
  </si>
  <si>
    <t>[2023-05-30 05:14:39.469]    18    1øT   270øH</t>
  </si>
  <si>
    <t>[2023-05-30 05:14:39.533]    18    1øT   236øH</t>
  </si>
  <si>
    <t>[2023-05-30 05:14:39.598]    18    1øT   247øH</t>
  </si>
  <si>
    <t>[2023-05-30 05:14:39.662]    18    1øT   243øH</t>
  </si>
  <si>
    <t>[2023-05-30 05:14:39.708]    18    1øT   224øH</t>
  </si>
  <si>
    <t>[2023-05-30 05:14:39.774]    18    1øT   249øH</t>
  </si>
  <si>
    <t>[2023-05-30 05:14:39.839]    18    0øT   193øH</t>
  </si>
  <si>
    <t>[2023-05-30 05:14:39.885]    18    0øT   217øH</t>
  </si>
  <si>
    <t>[2023-05-30 05:14:39.949]    18    0øT   199øH</t>
  </si>
  <si>
    <t>[2023-05-30 05:14:40.013]    19    1øT   185øH</t>
  </si>
  <si>
    <t>[2023-05-30 05:14:40.060]    19    0øT   165øH</t>
  </si>
  <si>
    <t>[2023-05-30 05:14:40.125]    19    1øT   199øH</t>
  </si>
  <si>
    <t>[2023-05-30 05:14:40.189]    19    1øT   218øH</t>
  </si>
  <si>
    <t>[2023-05-30 05:14:40.236]    19    1øT   172øH</t>
  </si>
  <si>
    <t>[2023-05-30 05:14:40.301]    19    0øT   211øH</t>
  </si>
  <si>
    <t>[2023-05-30 05:14:40.366]    19    1øT   127øH</t>
  </si>
  <si>
    <t>[2023-05-30 05:14:40.429]    19    1øT   197øH</t>
  </si>
  <si>
    <t>[2023-05-30 05:14:40.477]    19    0øT   150øH</t>
  </si>
  <si>
    <t>[2023-05-30 05:14:40.542]    19    1øT   179øH</t>
  </si>
  <si>
    <t>[2023-05-30 05:14:40.605]    19    0øT   100øH</t>
  </si>
  <si>
    <t>[2023-05-30 05:14:40.653]    19    1øT    94øH</t>
  </si>
  <si>
    <t>[2023-05-30 05:14:40.717]    19    1øT   143øH</t>
  </si>
  <si>
    <t>[2023-05-30 05:14:40.781]    19    1øT    98øH</t>
  </si>
  <si>
    <t>[2023-05-30 05:14:40.844]    19    1øT   119øH</t>
  </si>
  <si>
    <t>[2023-05-30 05:14:40.892]    19    1øT   121øH</t>
  </si>
  <si>
    <t>[2023-05-30 05:14:40.958]    20    0øT   140øH</t>
  </si>
  <si>
    <t>[2023-05-30 05:14:41.021]    20    1øT    74øH</t>
  </si>
  <si>
    <t>[2023-05-30 05:14:41.084]    20    0øT   172øH</t>
  </si>
  <si>
    <t>[2023-05-30 05:14:41.135]    20    0øT   216øH</t>
  </si>
  <si>
    <t>[2023-05-30 05:14:41.196]    20    0øT   178øH</t>
  </si>
  <si>
    <t>[2023-05-30 05:14:41.260]    20    0øT    96øH</t>
  </si>
  <si>
    <t>[2023-05-30 05:14:41.309]    20    0øT   179øH</t>
  </si>
  <si>
    <t>[2023-05-30 05:14:41.372]    20    1øT   182øH</t>
  </si>
  <si>
    <t>[2023-05-30 05:14:41.436]    20    0øT    40øH</t>
  </si>
  <si>
    <t>[2023-05-30 05:14:41.500]    20    0øT   109øH</t>
  </si>
  <si>
    <t>[2023-05-30 05:14:41.548]    20    0øT   309øH</t>
  </si>
  <si>
    <t>[2023-05-30 05:14:41.614]    20    0øT   134øH</t>
  </si>
  <si>
    <t>[2023-05-30 05:14:41.676]    20    0øT   331øH</t>
  </si>
  <si>
    <t>[2023-05-30 05:14:41.724]    20    0øT   181øH</t>
  </si>
  <si>
    <t>[2023-05-30 05:14:41.789]    20    0øT   143øH</t>
  </si>
  <si>
    <t>[2023-05-30 05:14:41.853]    20    0øT    42øH</t>
  </si>
  <si>
    <t>[2023-05-30 05:14:41.916]    21    0øT    95øH</t>
  </si>
  <si>
    <t>[2023-05-30 05:14:41.964]    21    0øT   326øH</t>
  </si>
  <si>
    <t>[2023-05-30 05:14:42.027]    21    0øT    58øH</t>
  </si>
  <si>
    <t>[2023-05-30 05:14:42.092]    21    1øT     7øH</t>
  </si>
  <si>
    <t>[2023-05-30 05:14:42.155]    21    0øT   345øH</t>
  </si>
  <si>
    <t>[2023-05-30 05:14:42.220]    21    1øT   108øH</t>
  </si>
  <si>
    <t>[2023-05-30 05:14:42.268]    21    0øT    24øH</t>
  </si>
  <si>
    <t>[2023-05-30 05:14:42.332]    21    0øT   347øH</t>
  </si>
  <si>
    <t>[2023-05-30 05:14:42.395]    21    0øT   352øH</t>
  </si>
  <si>
    <t>[2023-05-30 05:14:42.460]    21    0øT    43øH</t>
  </si>
  <si>
    <t>[2023-05-30 05:14:42.509]    21    1øT    19øH</t>
  </si>
  <si>
    <t>[2023-05-30 05:14:42.572]    21    0øT   295øH</t>
  </si>
  <si>
    <t>[2023-05-30 05:14:42.639]    21    0øT   170øH</t>
  </si>
  <si>
    <t>[2023-05-30 05:14:42.684]    21    0øT   273øH</t>
  </si>
  <si>
    <t>[2023-05-30 05:14:42.747]    21    0øT    98øH</t>
  </si>
  <si>
    <t>[2023-05-30 05:14:42.811]    21    0øT   333øH</t>
  </si>
  <si>
    <t xml:space="preserve">[2023-05-30 05:14:42.830] </t>
  </si>
  <si>
    <t>[2023-05-30 05:14:42.846]  Normal shutdown.</t>
  </si>
  <si>
    <t xml:space="preserve">[2023-05-30 05:14:42.875] </t>
  </si>
  <si>
    <t xml:space="preserve">[2023-05-30 05:14:42.907]  End of instrument data file.        </t>
  </si>
  <si>
    <t xml:space="preserve">[2023-05-30 05:14:42.961] </t>
  </si>
  <si>
    <t xml:space="preserve">[2023-05-30 05:14:42.987]  Terminate file logging operation now          </t>
  </si>
  <si>
    <t>[2023-05-30 05:14:43.068]  and press any key to continue.</t>
  </si>
  <si>
    <t xml:space="preserve">[2023-05-30 05:14:49.925] </t>
  </si>
  <si>
    <t>[2023-05-30 05:14:49.925] _______________________________________________________</t>
  </si>
  <si>
    <t xml:space="preserve">[2023-05-30 05:14:49.990] </t>
  </si>
  <si>
    <t xml:space="preserve">[2023-05-30 05:14:49.990]               </t>
  </si>
  <si>
    <t xml:space="preserve">[2023-05-30 05:14:50.006] </t>
  </si>
  <si>
    <t xml:space="preserve">[2023-05-30 05:14:50.068] </t>
  </si>
  <si>
    <t xml:space="preserve">[2023-05-30 05:14:50.121] </t>
  </si>
  <si>
    <t xml:space="preserve">[2023-05-30 05:14:50.181] </t>
  </si>
  <si>
    <t xml:space="preserve">[2023-05-30 05:14:50.247] </t>
  </si>
  <si>
    <t xml:space="preserve">[2023-05-30 05:14:50.265] </t>
  </si>
  <si>
    <t xml:space="preserve">[2023-05-30 05:14:50.325] </t>
  </si>
  <si>
    <t xml:space="preserve">[2023-05-30 05:14:50.405] </t>
  </si>
  <si>
    <t xml:space="preserve">[2023-05-30 05:14:50.661] </t>
  </si>
  <si>
    <t xml:space="preserve">      Tue May 30 04:41:37 2023</t>
  </si>
  <si>
    <t xml:space="preserve">[2023-05-30 05:14:50.696] </t>
  </si>
  <si>
    <t xml:space="preserve">[2023-05-30 05:14:50.741] </t>
  </si>
  <si>
    <t xml:space="preserve">[2023-05-30 05:14:50.853] </t>
  </si>
  <si>
    <t xml:space="preserve">[2023-05-30 05:14:50.950] </t>
  </si>
  <si>
    <t xml:space="preserve">[2023-05-30 05:14:51.046] </t>
  </si>
  <si>
    <t xml:space="preserve">[2023-05-30 05:14:51.094] </t>
  </si>
  <si>
    <t xml:space="preserve">[2023-05-30 05:14:51.125] </t>
  </si>
  <si>
    <t xml:space="preserve">[2023-05-30 05:14:53.896] </t>
  </si>
  <si>
    <t>[2023-05-30 05:14:53.988]  05/30/2023 04:41:41 Sleeping . . .</t>
  </si>
  <si>
    <t>Position</t>
  </si>
  <si>
    <t>Cup</t>
  </si>
  <si>
    <t>Height</t>
  </si>
  <si>
    <t>sed mass</t>
  </si>
  <si>
    <t>Processing date</t>
  </si>
  <si>
    <t>Processing comments at sieving stage</t>
  </si>
  <si>
    <t>FSW used for processing</t>
  </si>
  <si>
    <t>Cup exist</t>
  </si>
  <si>
    <t>cup</t>
  </si>
  <si>
    <t>10/10</t>
  </si>
  <si>
    <t>for IN2021_V02 FSW</t>
  </si>
  <si>
    <t>recovery IN2023_V03</t>
  </si>
  <si>
    <t>mm</t>
  </si>
  <si>
    <t>mg/cup</t>
  </si>
  <si>
    <t>Borax used: Sigma-Aldrich S9640-500G, Source# BCCB7491 P.Code 102434898, purchased and opened April 2022 CWE</t>
  </si>
  <si>
    <t>for IN2022_V03 FSW</t>
  </si>
  <si>
    <t>Deployment 8/5/2022 IN2022_V03</t>
  </si>
  <si>
    <t>McLane-PARFLUX-Mark78H-21 ; frame# 12419-01, controller# 12419-01 and Motor # 12419-01 Cup set AAx21</t>
  </si>
  <si>
    <t>all 21 cups collected (250ml cups)</t>
  </si>
  <si>
    <t>AA1</t>
  </si>
  <si>
    <r>
      <t>IN2022_V03 carboy 8 12/5/22 04:35 46</t>
    </r>
    <r>
      <rPr>
        <sz val="11"/>
        <color theme="1"/>
        <rFont val="Calibri"/>
        <family val="2"/>
      </rPr>
      <t>˚ 46.723, 141˚</t>
    </r>
    <r>
      <rPr>
        <sz val="11"/>
        <color theme="1"/>
        <rFont val="Calibri"/>
        <family val="2"/>
        <scheme val="minor"/>
      </rPr>
      <t xml:space="preserve"> 141.228</t>
    </r>
  </si>
  <si>
    <t>AA2</t>
  </si>
  <si>
    <t>AA3</t>
  </si>
  <si>
    <t>AA4</t>
  </si>
  <si>
    <r>
      <t>large fish (~13cm), added</t>
    </r>
    <r>
      <rPr>
        <sz val="11"/>
        <color rgb="FFFF0000"/>
        <rFont val="Calibri"/>
        <family val="2"/>
        <scheme val="minor"/>
      </rPr>
      <t xml:space="preserve"> 100</t>
    </r>
    <r>
      <rPr>
        <sz val="11"/>
        <color theme="1"/>
        <rFont val="Calibri"/>
        <family val="2"/>
        <scheme val="minor"/>
      </rPr>
      <t>ul HgCl, couldn't clear all &lt;1mm from underneath</t>
    </r>
  </si>
  <si>
    <t>AA5</t>
  </si>
  <si>
    <t>AA6</t>
  </si>
  <si>
    <t>AA7</t>
  </si>
  <si>
    <t>AA8</t>
  </si>
  <si>
    <t>AA9</t>
  </si>
  <si>
    <t>AA10</t>
  </si>
  <si>
    <t>AA11</t>
  </si>
  <si>
    <t>AA12</t>
  </si>
  <si>
    <t>AA13</t>
  </si>
  <si>
    <t>AA14</t>
  </si>
  <si>
    <t>AA15</t>
  </si>
  <si>
    <t>AA16</t>
  </si>
  <si>
    <t>&lt;1</t>
  </si>
  <si>
    <t>AA17</t>
  </si>
  <si>
    <t>no &gt;1mm fraction</t>
  </si>
  <si>
    <t>AA18</t>
  </si>
  <si>
    <t>AA19</t>
  </si>
  <si>
    <t>AA20</t>
  </si>
  <si>
    <t>AA21</t>
  </si>
  <si>
    <t>Pick up 20/05/2022 IN2023_V03</t>
  </si>
  <si>
    <t>McLane-PARFLUX-Mark78H-21 ; frame# 12419-02, controller# 12419-02 and Motor # 12419-02 Cup set ABx21</t>
  </si>
  <si>
    <t>20/21 cups collected (250ml cups)</t>
  </si>
  <si>
    <t>AB1</t>
  </si>
  <si>
    <t>AB2</t>
  </si>
  <si>
    <t>AB3</t>
  </si>
  <si>
    <t>AB4</t>
  </si>
  <si>
    <t>AB5</t>
  </si>
  <si>
    <t>AB6</t>
  </si>
  <si>
    <t>AB7</t>
  </si>
  <si>
    <t>AB8</t>
  </si>
  <si>
    <t>AB9</t>
  </si>
  <si>
    <t>AB10</t>
  </si>
  <si>
    <r>
      <t>IN2022_V03 carboy 6 12/5/22 03:43 46</t>
    </r>
    <r>
      <rPr>
        <sz val="11"/>
        <color theme="1"/>
        <rFont val="Calibri"/>
        <family val="2"/>
      </rPr>
      <t>˚ 46.711, 141˚</t>
    </r>
    <r>
      <rPr>
        <sz val="11"/>
        <color theme="1"/>
        <rFont val="Calibri"/>
        <family val="2"/>
        <scheme val="minor"/>
      </rPr>
      <t xml:space="preserve"> 141.645</t>
    </r>
  </si>
  <si>
    <t>AB11</t>
  </si>
  <si>
    <t>AB12</t>
  </si>
  <si>
    <t>AB13</t>
  </si>
  <si>
    <t>AB14</t>
  </si>
  <si>
    <t>AB15</t>
  </si>
  <si>
    <t>AB16</t>
  </si>
  <si>
    <t>AB17</t>
  </si>
  <si>
    <t>AB18</t>
  </si>
  <si>
    <t>AB19</t>
  </si>
  <si>
    <t>no&gt;1mm fraction</t>
  </si>
  <si>
    <t>AB20</t>
  </si>
  <si>
    <t>AB21</t>
  </si>
  <si>
    <t>McLane-PARFLUX-Mark78H-21 ; frame# 12993-01, controller# 12993-01 and Motor # 12993-01 Cup set ACx21</t>
  </si>
  <si>
    <t>AC1</t>
  </si>
  <si>
    <t>AC2</t>
  </si>
  <si>
    <t>AC3</t>
  </si>
  <si>
    <t>AC4</t>
  </si>
  <si>
    <t>AC5</t>
  </si>
  <si>
    <t>AC6</t>
  </si>
  <si>
    <t>AC7</t>
  </si>
  <si>
    <t>AC8</t>
  </si>
  <si>
    <t>AC9</t>
  </si>
  <si>
    <t>AC10</t>
  </si>
  <si>
    <t>AC11</t>
  </si>
  <si>
    <t>AC12</t>
  </si>
  <si>
    <t>AC13</t>
  </si>
  <si>
    <t>AC14</t>
  </si>
  <si>
    <t>AC15</t>
  </si>
  <si>
    <t>2 jars (A &amp; B), small leak in sieve</t>
  </si>
  <si>
    <t>AC16</t>
  </si>
  <si>
    <t>large prawn, couldn't clear all &lt;1mm fraction underneath it</t>
  </si>
  <si>
    <t>AC17</t>
  </si>
  <si>
    <t>AC18</t>
  </si>
  <si>
    <t>AC19</t>
  </si>
  <si>
    <t>AC20</t>
  </si>
  <si>
    <t>AC21</t>
  </si>
  <si>
    <t>frac</t>
  </si>
  <si>
    <t>mass</t>
  </si>
  <si>
    <t>date</t>
  </si>
  <si>
    <t xml:space="preserve">date </t>
  </si>
  <si>
    <t>RH</t>
  </si>
  <si>
    <t>temp</t>
  </si>
  <si>
    <t>Filter</t>
  </si>
  <si>
    <t>Filter used</t>
  </si>
  <si>
    <t>Who</t>
  </si>
  <si>
    <t>difference</t>
  </si>
  <si>
    <t>2022 saz24</t>
  </si>
  <si>
    <t>#</t>
  </si>
  <si>
    <t>start</t>
  </si>
  <si>
    <t>end</t>
  </si>
  <si>
    <t>filt</t>
  </si>
  <si>
    <t>filt+sed</t>
  </si>
  <si>
    <t>dry</t>
  </si>
  <si>
    <t>weigh</t>
  </si>
  <si>
    <t>%</t>
  </si>
  <si>
    <t>dC</t>
  </si>
  <si>
    <t>sn</t>
  </si>
  <si>
    <t>sed</t>
  </si>
  <si>
    <t>sed 10/10</t>
  </si>
  <si>
    <t>sed 1/10</t>
  </si>
  <si>
    <t>diff between splits</t>
  </si>
  <si>
    <t>scintillation vial</t>
  </si>
  <si>
    <t>filter after second drying</t>
  </si>
  <si>
    <t>mg</t>
  </si>
  <si>
    <t>filt after scraping sediment off</t>
  </si>
  <si>
    <t>loss</t>
  </si>
  <si>
    <t>filter+sed</t>
  </si>
  <si>
    <t>filter</t>
  </si>
  <si>
    <t>4_A</t>
  </si>
  <si>
    <t>4_B</t>
  </si>
  <si>
    <t>8_C</t>
  </si>
  <si>
    <t>Noticed small leak halfway through filtering, in trying to fix the leak the filter ripped. Transferred it to glass petri dish and put new filter on</t>
  </si>
  <si>
    <t>leak noticed while filtering, filter ripped while fixing</t>
  </si>
  <si>
    <t>3_D</t>
  </si>
  <si>
    <t>merged with 17, 18, &amp;19</t>
  </si>
  <si>
    <t>20_E</t>
  </si>
  <si>
    <t>14_H</t>
  </si>
  <si>
    <t>15_F</t>
  </si>
  <si>
    <t>15_G</t>
  </si>
  <si>
    <t>16_I</t>
  </si>
  <si>
    <t>Sal</t>
  </si>
  <si>
    <t>Date</t>
  </si>
  <si>
    <t>Sal Rep</t>
  </si>
  <si>
    <t>Temp</t>
  </si>
  <si>
    <t>pH</t>
  </si>
  <si>
    <t>Analyst</t>
  </si>
  <si>
    <t>Comment</t>
  </si>
  <si>
    <t>Calibrations</t>
  </si>
  <si>
    <t>Seven Compact conductivity meter</t>
  </si>
  <si>
    <t>Depth</t>
  </si>
  <si>
    <t>mS/cm</t>
  </si>
  <si>
    <t>PSU</t>
  </si>
  <si>
    <r>
      <t>[</t>
    </r>
    <r>
      <rPr>
        <sz val="10"/>
        <rFont val="Calibri"/>
        <family val="2"/>
      </rPr>
      <t>°</t>
    </r>
    <r>
      <rPr>
        <sz val="12"/>
        <rFont val="Calibri"/>
        <family val="2"/>
        <charset val="204"/>
        <scheme val="minor"/>
      </rPr>
      <t>C]</t>
    </r>
  </si>
  <si>
    <t>replicate</t>
  </si>
  <si>
    <t>diff</t>
  </si>
  <si>
    <t>Hannah pH meter</t>
  </si>
  <si>
    <t>Salinity</t>
  </si>
  <si>
    <r>
      <t>Calibrated with 12.8m</t>
    </r>
    <r>
      <rPr>
        <sz val="12"/>
        <rFont val="Calibri"/>
        <family val="2"/>
        <charset val="204"/>
        <scheme val="minor"/>
      </rPr>
      <t>S/cm standard</t>
    </r>
  </si>
  <si>
    <t>HI 1230B, SN 09075B5N</t>
  </si>
  <si>
    <t>cc = 0.547715/cm</t>
  </si>
  <si>
    <t>reading</t>
  </si>
  <si>
    <t>temperature</t>
  </si>
  <si>
    <t>RSE</t>
  </si>
  <si>
    <t>53mS/cm</t>
  </si>
  <si>
    <t>12.8mS/cm</t>
  </si>
  <si>
    <t>Salinity check at the end of all measurements</t>
  </si>
  <si>
    <r>
      <t xml:space="preserve">Prob condition: </t>
    </r>
    <r>
      <rPr>
        <sz val="10"/>
        <color rgb="FFFF0000"/>
        <rFont val="Arial"/>
        <family val="2"/>
      </rPr>
      <t>60%</t>
    </r>
  </si>
  <si>
    <t>average slope: 92.8%</t>
  </si>
  <si>
    <t>pH check at the start of all measurements</t>
  </si>
  <si>
    <t>pH check at the end of all measurements</t>
  </si>
  <si>
    <t>cc = 0.533966/cm</t>
  </si>
  <si>
    <t>Prob condition: 100%</t>
  </si>
  <si>
    <t>average slope: 97.5%</t>
  </si>
  <si>
    <r>
      <t>copied from C:\Users\cawynn\OneDrive - University of Tasmania\sediment trap lab proc\RAW data\PIC, file name</t>
    </r>
    <r>
      <rPr>
        <b/>
        <sz val="12"/>
        <rFont val="Calibri"/>
        <family val="2"/>
        <scheme val="minor"/>
      </rPr>
      <t xml:space="preserve"> "PIC_SEDIMENT_TRAP_RESULTS_GW_2023_CWE_QC.xls"</t>
    </r>
  </si>
  <si>
    <t>CWE updated these 6/9/24</t>
  </si>
  <si>
    <t>Cell got to ~ 137mA during initial titration</t>
  </si>
  <si>
    <t>purged and acidified 22/08/2023 overnight, analysed 23/08/2023</t>
  </si>
  <si>
    <t>CaCO3 Std.1  248.7</t>
  </si>
  <si>
    <t>FISH!</t>
  </si>
  <si>
    <t>CaCO3 Std.2  1019.6</t>
  </si>
  <si>
    <t>CaCO3 Std.3  2083.5</t>
  </si>
  <si>
    <t>CaCO3 Std.4  2960.8</t>
  </si>
  <si>
    <t>CaCO3 Std.5  3765.7</t>
  </si>
  <si>
    <t>4 replicates</t>
  </si>
  <si>
    <t>checked against hand written notes</t>
  </si>
  <si>
    <t>too little material in the cup</t>
  </si>
  <si>
    <t>47_3800_06a</t>
  </si>
  <si>
    <t>47_3800_06b</t>
  </si>
  <si>
    <t>CaCO3 Std.3  2074.1</t>
  </si>
  <si>
    <t>Cell got to ~ 133mA during initial titration</t>
  </si>
  <si>
    <t>purged and acidified 23/08/2023 overnight, analysed 24/08/2023</t>
  </si>
  <si>
    <t>lost on recovery</t>
  </si>
  <si>
    <t>lost during processing</t>
  </si>
  <si>
    <t>CaCO3 Std.1  266.6</t>
  </si>
  <si>
    <t>merged with 16</t>
  </si>
  <si>
    <t>CaCO3 Std.2  1014.9</t>
  </si>
  <si>
    <t>CaCO3 Std.3  2033.6</t>
  </si>
  <si>
    <t>CaCO3 Std.4  2921.7</t>
  </si>
  <si>
    <t>CaCO3 Std.5  3732</t>
  </si>
  <si>
    <t>47_3800_15a</t>
  </si>
  <si>
    <t>47_3800_15b</t>
  </si>
  <si>
    <t>3 replicates</t>
  </si>
  <si>
    <t>47_1000_04</t>
  </si>
  <si>
    <t>CaCO3 Std.3  2069.9</t>
  </si>
  <si>
    <t>purged and acidified 24/08/2023 overnight, analysed 25/08/2023</t>
  </si>
  <si>
    <t>CaCO3 Std.1  268.3</t>
  </si>
  <si>
    <t>CaCO3 Std.2  1005</t>
  </si>
  <si>
    <t>CaCO3 Std.3  2100.9</t>
  </si>
  <si>
    <t>CaCO3 Std.4  2896.2</t>
  </si>
  <si>
    <t>CaCO3 Std.5  3785.2</t>
  </si>
  <si>
    <t>weights checked, calibration ok</t>
  </si>
  <si>
    <t>cannot verify weights, but calibration ok</t>
  </si>
  <si>
    <t>these weights were the same as the previous run</t>
  </si>
  <si>
    <t>23/082023</t>
  </si>
  <si>
    <t>47_1000_9</t>
  </si>
  <si>
    <t>CaCO3 Std.3  2103.4</t>
  </si>
  <si>
    <t>sample weights checked but calibration poor and weights not available</t>
  </si>
  <si>
    <t>CaCO3 Std.1  273.6</t>
  </si>
  <si>
    <t>CaCO3 Std.2  1026.3</t>
  </si>
  <si>
    <t>CaCO3 Std.3  1977.8</t>
  </si>
  <si>
    <t>CaCO3 Std.4  3033.1</t>
  </si>
  <si>
    <t>cannot verify weights, calibration poor</t>
  </si>
  <si>
    <t>CaCO3 Std.5  3888.2</t>
  </si>
  <si>
    <t>47_1000_11A</t>
  </si>
  <si>
    <t>Cannot verify these weights</t>
  </si>
  <si>
    <t>47_1000_11B</t>
  </si>
  <si>
    <t>47_1000_4A</t>
  </si>
  <si>
    <t>47_1000_4b</t>
  </si>
  <si>
    <t>47_1000_8A</t>
  </si>
  <si>
    <t>47_1000_8b</t>
  </si>
  <si>
    <t>47_1000_15A</t>
  </si>
  <si>
    <t>47_1000_15b</t>
  </si>
  <si>
    <t>CaCO3 Std.3  2073.5</t>
  </si>
  <si>
    <t>Cell got to ~ 141mA during initial titration</t>
  </si>
  <si>
    <t>coulometer trace looks strange</t>
  </si>
  <si>
    <t>purged and acidified 27/08/2023 overnight, analysed 28/08/2023</t>
  </si>
  <si>
    <t>CaCO3 Std.1  302.4</t>
  </si>
  <si>
    <t>CaCO3 Std.2  1013.1</t>
  </si>
  <si>
    <t>CaCO3 Std.3  2026.3</t>
  </si>
  <si>
    <t>CaCO3 Std.4  3068.8</t>
  </si>
  <si>
    <t>CaCO3 Std.5  3654.5</t>
  </si>
  <si>
    <t>CaCO3 Std.3  2109.6</t>
  </si>
  <si>
    <t>Cell got to ~ 145mA during initial titration</t>
  </si>
  <si>
    <t>purged and acidified 01/12/2023, analysed 01/12/2023</t>
  </si>
  <si>
    <t>CaCO3 Std.1  274.4</t>
  </si>
  <si>
    <t>CaCO3 Std.2  1091.5</t>
  </si>
  <si>
    <t>CaCO3 Std.3  2011.6</t>
  </si>
  <si>
    <t>CaCO3 Std.4  2945.1</t>
  </si>
  <si>
    <t>CaCO3 Std.5  3757.8</t>
  </si>
  <si>
    <t>CaCO3 Std.3  1978.3</t>
  </si>
  <si>
    <t>Cell got to ~ 139mA during initial titration</t>
  </si>
  <si>
    <t>purged and acidified 22/02/2024, analysed 23/02/2024</t>
  </si>
  <si>
    <t>CaCO3 Std.1  318.3</t>
  </si>
  <si>
    <t>CaCO3 Std.2  1105.4</t>
  </si>
  <si>
    <t>CaCO3 Std.3  2216.9</t>
  </si>
  <si>
    <t>CaCO3 Std.4  2853.2</t>
  </si>
  <si>
    <t>CaCO3 Std.5  3725.3</t>
  </si>
  <si>
    <t>47_3800_03A</t>
  </si>
  <si>
    <t>47_3800_06</t>
  </si>
  <si>
    <t>47_3800_03B</t>
  </si>
  <si>
    <t>CaCO3 Std.3  2130.4</t>
  </si>
  <si>
    <t>(mg</t>
  </si>
  <si>
    <t>Time</t>
  </si>
  <si>
    <t>N%</t>
  </si>
  <si>
    <t>C%</t>
  </si>
  <si>
    <t>H%</t>
  </si>
  <si>
    <t>C/N</t>
  </si>
  <si>
    <t>QC comments</t>
  </si>
  <si>
    <t>%difference between duplicates</t>
  </si>
  <si>
    <t>SAZ24-A1</t>
  </si>
  <si>
    <t>17/08/2023</t>
  </si>
  <si>
    <t>12:56</t>
  </si>
  <si>
    <t>NA</t>
  </si>
  <si>
    <t>empty capsule only</t>
  </si>
  <si>
    <t>SAZ24-A2</t>
  </si>
  <si>
    <t>13:08</t>
  </si>
  <si>
    <t>2022_47_1000_01</t>
  </si>
  <si>
    <t>%N</t>
  </si>
  <si>
    <t>%C</t>
  </si>
  <si>
    <t>SAZ24-A3</t>
  </si>
  <si>
    <t>13:20</t>
  </si>
  <si>
    <t>2022_47_1000_02</t>
  </si>
  <si>
    <t>SAZ24-A4</t>
  </si>
  <si>
    <t>13:32</t>
  </si>
  <si>
    <t>2022_47_1000_03</t>
  </si>
  <si>
    <t>SAZ24-A5</t>
  </si>
  <si>
    <t>13:45</t>
  </si>
  <si>
    <t>2022_47_1000_04</t>
  </si>
  <si>
    <t>fishy</t>
  </si>
  <si>
    <t>SAZ24-A6</t>
  </si>
  <si>
    <t>13:57</t>
  </si>
  <si>
    <t>2022_47_1000_05</t>
  </si>
  <si>
    <t>maybe fishy</t>
  </si>
  <si>
    <t>SAZ24-A7</t>
  </si>
  <si>
    <t>14:09</t>
  </si>
  <si>
    <t>2022_47_1000_06</t>
  </si>
  <si>
    <t>SAZ24-A8</t>
  </si>
  <si>
    <t>14:21</t>
  </si>
  <si>
    <t>2022_47_1000_07</t>
  </si>
  <si>
    <t>SAZ24-A9</t>
  </si>
  <si>
    <t>14:33</t>
  </si>
  <si>
    <t>2022_47_1000_08A</t>
  </si>
  <si>
    <t>SAZ24-A10</t>
  </si>
  <si>
    <t>14:45</t>
  </si>
  <si>
    <t>2022_47_1000_09</t>
  </si>
  <si>
    <t>SAZ24-A11</t>
  </si>
  <si>
    <t>14:57</t>
  </si>
  <si>
    <t>2022_47_1000_10</t>
  </si>
  <si>
    <t>SAZ24-A12</t>
  </si>
  <si>
    <t>15:09</t>
  </si>
  <si>
    <t>2022_47_1000_11</t>
  </si>
  <si>
    <t>STD113</t>
  </si>
  <si>
    <t>15:21</t>
  </si>
  <si>
    <t>SAZ24-B1</t>
  </si>
  <si>
    <t>15:33</t>
  </si>
  <si>
    <t>2022_47_1000_08B</t>
  </si>
  <si>
    <t>SAZ24-B2</t>
  </si>
  <si>
    <t>15:45</t>
  </si>
  <si>
    <t>2022_47_1000_12A</t>
  </si>
  <si>
    <t>SAZ24-B3</t>
  </si>
  <si>
    <t>15:57</t>
  </si>
  <si>
    <t>2022_47_1000_12B</t>
  </si>
  <si>
    <t>SAZ24-B4</t>
  </si>
  <si>
    <t>16:09</t>
  </si>
  <si>
    <t>2022_47_1000_13</t>
  </si>
  <si>
    <t>SAZ24-B5</t>
  </si>
  <si>
    <t>16:21</t>
  </si>
  <si>
    <t>2022_47_1000_14</t>
  </si>
  <si>
    <t>SAZ24-B6</t>
  </si>
  <si>
    <t>16:34</t>
  </si>
  <si>
    <t>2022_47_1000_15</t>
  </si>
  <si>
    <t>SAZ24-B7</t>
  </si>
  <si>
    <t>16:46</t>
  </si>
  <si>
    <t>PACS-2</t>
  </si>
  <si>
    <t>SAZ24-B8</t>
  </si>
  <si>
    <t>16:58</t>
  </si>
  <si>
    <t>2022_47_1000_18</t>
  </si>
  <si>
    <t>SAZ24-B9</t>
  </si>
  <si>
    <t>17:10</t>
  </si>
  <si>
    <t>2022_47_1000_19</t>
  </si>
  <si>
    <t>SAZ24-B10</t>
  </si>
  <si>
    <t>17:22</t>
  </si>
  <si>
    <t>2022_47_1000_20</t>
  </si>
  <si>
    <t>SAZ24-B11</t>
  </si>
  <si>
    <t>17:34</t>
  </si>
  <si>
    <t>2022_47_1000_21</t>
  </si>
  <si>
    <t>SAZ24-B12</t>
  </si>
  <si>
    <t>17:46</t>
  </si>
  <si>
    <t>2022_47_2000_01</t>
  </si>
  <si>
    <t>SAZ24-C1</t>
  </si>
  <si>
    <t>24/08/2023</t>
  </si>
  <si>
    <t>10:08</t>
  </si>
  <si>
    <t>2022_47_2000_02</t>
  </si>
  <si>
    <t>new run, probably new column!</t>
  </si>
  <si>
    <t>SAZ24-C2</t>
  </si>
  <si>
    <t>10:20</t>
  </si>
  <si>
    <t>2022_47_2000_03A</t>
  </si>
  <si>
    <t>SAZ24-C3</t>
  </si>
  <si>
    <t>10:32</t>
  </si>
  <si>
    <t>SAZ24-C4</t>
  </si>
  <si>
    <t>10:44</t>
  </si>
  <si>
    <t>2022_47_2000_04</t>
  </si>
  <si>
    <t>SAZ24-C5</t>
  </si>
  <si>
    <t>10:56</t>
  </si>
  <si>
    <t>2022_47_2000_05</t>
  </si>
  <si>
    <t>SAZ24-C6</t>
  </si>
  <si>
    <t>11:08</t>
  </si>
  <si>
    <t>2022_47_2000_06</t>
  </si>
  <si>
    <t>SAZ24-C7</t>
  </si>
  <si>
    <t>11:20</t>
  </si>
  <si>
    <t>2022_47_2000_07</t>
  </si>
  <si>
    <t>SAZ24-C8</t>
  </si>
  <si>
    <t>11:33</t>
  </si>
  <si>
    <t>2022_47_2000_08</t>
  </si>
  <si>
    <t>SAZ24-C9</t>
  </si>
  <si>
    <t>11:45</t>
  </si>
  <si>
    <t>2022_47_2000_09</t>
  </si>
  <si>
    <t>SAZ24-C10</t>
  </si>
  <si>
    <t>11:57</t>
  </si>
  <si>
    <t>2022_47_2000_10</t>
  </si>
  <si>
    <t>SAZ24-C11</t>
  </si>
  <si>
    <t>12:09</t>
  </si>
  <si>
    <t>2022_47_2000_11</t>
  </si>
  <si>
    <t>SAZ24-C12</t>
  </si>
  <si>
    <t>12:21</t>
  </si>
  <si>
    <t>2022_47_2000_12</t>
  </si>
  <si>
    <t>STD127</t>
  </si>
  <si>
    <t>12:33</t>
  </si>
  <si>
    <t>SAZ24-D1</t>
  </si>
  <si>
    <t>12:45</t>
  </si>
  <si>
    <t>2022_47_2000_13A</t>
  </si>
  <si>
    <t>SAZ24-D2</t>
  </si>
  <si>
    <t>12:57</t>
  </si>
  <si>
    <t>2022_47_2000_13B</t>
  </si>
  <si>
    <t>SAZ24-D3</t>
  </si>
  <si>
    <t>13:09</t>
  </si>
  <si>
    <t>Acetanilide</t>
  </si>
  <si>
    <t>SAZ24-D4</t>
  </si>
  <si>
    <t>13:21</t>
  </si>
  <si>
    <t>2022_47_2000_16</t>
  </si>
  <si>
    <t>SAZ24-D5</t>
  </si>
  <si>
    <t>13:33</t>
  </si>
  <si>
    <t>2022_47_2000_03B</t>
  </si>
  <si>
    <t>SAZ24-D6</t>
  </si>
  <si>
    <t>2022_47_2000_20</t>
  </si>
  <si>
    <t>n=9</t>
  </si>
  <si>
    <t>SAZ24-D7</t>
  </si>
  <si>
    <t>2022_47_2000_21</t>
  </si>
  <si>
    <t>SAZ24-D8</t>
  </si>
  <si>
    <t>2022_47_3800_01</t>
  </si>
  <si>
    <t>% difference from mean</t>
  </si>
  <si>
    <t>SAZ24-D9</t>
  </si>
  <si>
    <t>14:22</t>
  </si>
  <si>
    <t>2022_47_3800_02</t>
  </si>
  <si>
    <t>PACS-2 #1</t>
  </si>
  <si>
    <t>Acetanilide #1</t>
  </si>
  <si>
    <t>SAZ24-D10</t>
  </si>
  <si>
    <t>14:34</t>
  </si>
  <si>
    <t>2022_47_3800_03</t>
  </si>
  <si>
    <t>PACS-2 #2</t>
  </si>
  <si>
    <t>Acetanilide #2</t>
  </si>
  <si>
    <t>SAZ24-D11</t>
  </si>
  <si>
    <t>14:46</t>
  </si>
  <si>
    <t>2022_47_3800_04</t>
  </si>
  <si>
    <t>PACS-2 #3</t>
  </si>
  <si>
    <t>Acetanilide #3</t>
  </si>
  <si>
    <t>SAZ24-D12</t>
  </si>
  <si>
    <t>14:58</t>
  </si>
  <si>
    <t>2022_47_3800_05</t>
  </si>
  <si>
    <t>PACS-2 #4</t>
  </si>
  <si>
    <t>Acetanilide #4</t>
  </si>
  <si>
    <t>STD128</t>
  </si>
  <si>
    <t>15:10</t>
  </si>
  <si>
    <t>PACS-2 rerun 1 #1</t>
  </si>
  <si>
    <t>Acetanilide rerun 1 #1</t>
  </si>
  <si>
    <t>SAZ24-E1</t>
  </si>
  <si>
    <t>15:22</t>
  </si>
  <si>
    <t>2022_47_3800_06</t>
  </si>
  <si>
    <t>PACS-2 rerun 1 #2</t>
  </si>
  <si>
    <t>Acetanilide rerun 1 #2</t>
  </si>
  <si>
    <t>SAZ24-E2</t>
  </si>
  <si>
    <t>15:34</t>
  </si>
  <si>
    <t>2022_47_3800_07</t>
  </si>
  <si>
    <t>PACS-2 rerun 2 #1</t>
  </si>
  <si>
    <t>Acetanilide rerun 2 #1</t>
  </si>
  <si>
    <t>SAZ24-E3</t>
  </si>
  <si>
    <t>15:46</t>
  </si>
  <si>
    <t>2022_47_3800_08</t>
  </si>
  <si>
    <t>PACS-2 rerun 2 #2</t>
  </si>
  <si>
    <t>Acetanilide rerun 2 #2</t>
  </si>
  <si>
    <t>SAZ24-E4</t>
  </si>
  <si>
    <t>15:58</t>
  </si>
  <si>
    <t>2022_47_3800_09</t>
  </si>
  <si>
    <t>PACS-2 rerun 2 #3</t>
  </si>
  <si>
    <t>Acetanilide rerun 2 #3</t>
  </si>
  <si>
    <t>SAZ24-E5</t>
  </si>
  <si>
    <t>16:10</t>
  </si>
  <si>
    <t>Acetenalide</t>
  </si>
  <si>
    <t>SAZ24-E6</t>
  </si>
  <si>
    <t>16:22</t>
  </si>
  <si>
    <t>2022_47_3800_10</t>
  </si>
  <si>
    <t>SAZ24-E7</t>
  </si>
  <si>
    <t>2022_47_3800_11</t>
  </si>
  <si>
    <t>SAZ24-E8</t>
  </si>
  <si>
    <t>16:47</t>
  </si>
  <si>
    <t>2022_47_3800_12</t>
  </si>
  <si>
    <t>SAZ24-E9</t>
  </si>
  <si>
    <t>16:59</t>
  </si>
  <si>
    <t>2022_47_3800_13</t>
  </si>
  <si>
    <t>SAZ24-E10</t>
  </si>
  <si>
    <t>17:11</t>
  </si>
  <si>
    <t>2022_47_3800_14</t>
  </si>
  <si>
    <t>SAZ24-E11</t>
  </si>
  <si>
    <t>17:23</t>
  </si>
  <si>
    <t>2022_47_3800_15A</t>
  </si>
  <si>
    <t>SAZ24-E12</t>
  </si>
  <si>
    <t>17:35</t>
  </si>
  <si>
    <t>STD129</t>
  </si>
  <si>
    <t>17:47</t>
  </si>
  <si>
    <t>SAZ24-F1</t>
  </si>
  <si>
    <t>17:59</t>
  </si>
  <si>
    <t>SAZ24-F2</t>
  </si>
  <si>
    <t>18:11</t>
  </si>
  <si>
    <t>2022_47_3800_16</t>
  </si>
  <si>
    <t>SAZ24-F3</t>
  </si>
  <si>
    <t>18:23</t>
  </si>
  <si>
    <t>2022_47_3800_15B</t>
  </si>
  <si>
    <t>SAZ24-F4</t>
  </si>
  <si>
    <t>18:35</t>
  </si>
  <si>
    <t>2022_47_3800_17A</t>
  </si>
  <si>
    <t>recalculated with corrected weights</t>
  </si>
  <si>
    <t>SAZ24-F5</t>
  </si>
  <si>
    <t>18:47</t>
  </si>
  <si>
    <t>2022_47_3800_18</t>
  </si>
  <si>
    <t>SAZ24-F6</t>
  </si>
  <si>
    <t>18:59</t>
  </si>
  <si>
    <t>2022_47_3800_17B</t>
  </si>
  <si>
    <t>SAZ24-F7</t>
  </si>
  <si>
    <t>19:11</t>
  </si>
  <si>
    <t>2022_47_3800_19</t>
  </si>
  <si>
    <t>SAZ24-F8</t>
  </si>
  <si>
    <t>19:23</t>
  </si>
  <si>
    <t>2022_47_3800_20</t>
  </si>
  <si>
    <t>SAZ24-F9</t>
  </si>
  <si>
    <t>19:36</t>
  </si>
  <si>
    <t>2022_47_3800_21</t>
  </si>
  <si>
    <t>SAZ24-F10</t>
  </si>
  <si>
    <t>19:48</t>
  </si>
  <si>
    <t>SAZ24-F11</t>
  </si>
  <si>
    <t>20:00</t>
  </si>
  <si>
    <t xml:space="preserve">The analysis for total nitrogen, carbon, hydrogen and sulfur was determined by Dr Thomas Rodemann </t>
  </si>
  <si>
    <t>at the Central Science Laboratory, University of Tasmania, using a Thermo FlashSmart Elemental Analyser.</t>
  </si>
  <si>
    <t>Rerun</t>
  </si>
  <si>
    <t>18/10/2023</t>
  </si>
  <si>
    <t>PACS 2</t>
  </si>
  <si>
    <t>STD148</t>
  </si>
  <si>
    <t>15:59</t>
  </si>
  <si>
    <t>16:11</t>
  </si>
  <si>
    <t>16:23</t>
  </si>
  <si>
    <t>16:35</t>
  </si>
  <si>
    <t>GW-A1</t>
  </si>
  <si>
    <t>23/08/2024</t>
  </si>
  <si>
    <t>13:25</t>
  </si>
  <si>
    <t>GW-A2</t>
  </si>
  <si>
    <t>13:37</t>
  </si>
  <si>
    <t>GW-A3</t>
  </si>
  <si>
    <t>13:49</t>
  </si>
  <si>
    <t>2_a</t>
  </si>
  <si>
    <t>GW-A4</t>
  </si>
  <si>
    <t>14:01</t>
  </si>
  <si>
    <t>GW-A5</t>
  </si>
  <si>
    <t>14:13</t>
  </si>
  <si>
    <t>GW-A6</t>
  </si>
  <si>
    <t>14:25</t>
  </si>
  <si>
    <t>STD273</t>
  </si>
  <si>
    <t>14:37</t>
  </si>
  <si>
    <t>GW-A7</t>
  </si>
  <si>
    <t>14:49</t>
  </si>
  <si>
    <t>GW-A8</t>
  </si>
  <si>
    <t>15:01</t>
  </si>
  <si>
    <t>GW-A9</t>
  </si>
  <si>
    <t>15:13</t>
  </si>
  <si>
    <t>2_b</t>
  </si>
  <si>
    <t>GW-A10</t>
  </si>
  <si>
    <t>15:25</t>
  </si>
  <si>
    <t>6_a</t>
  </si>
  <si>
    <t>GW-A11</t>
  </si>
  <si>
    <t>15:37</t>
  </si>
  <si>
    <t>GW-A12</t>
  </si>
  <si>
    <t>15:49</t>
  </si>
  <si>
    <t>STD274</t>
  </si>
  <si>
    <t>16:02</t>
  </si>
  <si>
    <t>GW-B1</t>
  </si>
  <si>
    <t>16:14</t>
  </si>
  <si>
    <t>GW-B2</t>
  </si>
  <si>
    <t>16:26</t>
  </si>
  <si>
    <t>GW-B3</t>
  </si>
  <si>
    <t>16:38</t>
  </si>
  <si>
    <t>GW-B4</t>
  </si>
  <si>
    <t>16:50</t>
  </si>
  <si>
    <t>6_b</t>
  </si>
  <si>
    <t>GW-B5</t>
  </si>
  <si>
    <t>17:02</t>
  </si>
  <si>
    <t>raw / weight *100 = %</t>
  </si>
  <si>
    <t>GW-B6</t>
  </si>
  <si>
    <t>17:14</t>
  </si>
  <si>
    <t>N</t>
  </si>
  <si>
    <t>C</t>
  </si>
  <si>
    <t>H</t>
  </si>
  <si>
    <t>STD275</t>
  </si>
  <si>
    <t>17:26</t>
  </si>
  <si>
    <t>GW-B7</t>
  </si>
  <si>
    <t>17:38</t>
  </si>
  <si>
    <t>GW-B8</t>
  </si>
  <si>
    <t>17:50</t>
  </si>
  <si>
    <t>GW-B9</t>
  </si>
  <si>
    <t>18:02</t>
  </si>
  <si>
    <t>GW-B10</t>
  </si>
  <si>
    <t>18:14</t>
  </si>
  <si>
    <t xml:space="preserve">The analysis for total nitrogen, carbon and hydrogen was determined by A/Prof Thomas Rodemann </t>
  </si>
  <si>
    <t>Extraction Blank average (uM):</t>
  </si>
  <si>
    <t>Lab No.</t>
  </si>
  <si>
    <t>Site ID</t>
  </si>
  <si>
    <t>cup number</t>
  </si>
  <si>
    <t>Nutrient ID</t>
  </si>
  <si>
    <t>Nutrient Bottle QC</t>
  </si>
  <si>
    <t>SilicatePROC_VALUE (µM)</t>
  </si>
  <si>
    <t>sample mass [mg]</t>
  </si>
  <si>
    <t>sample mass [ug]</t>
  </si>
  <si>
    <t>Blank corrected results [uM]</t>
  </si>
  <si>
    <t>SiO2-Si (Convert to umol/L and 10ml sample)</t>
  </si>
  <si>
    <t>SiO2-Si (dilution factor)</t>
  </si>
  <si>
    <t>Bsi [ug]</t>
  </si>
  <si>
    <t>BSiO2 [ug]</t>
  </si>
  <si>
    <t>Bsi %</t>
  </si>
  <si>
    <t>BsiO2 %</t>
  </si>
  <si>
    <t>% difference between duplicates Bsi</t>
  </si>
  <si>
    <t>% difference between average PACS</t>
  </si>
  <si>
    <t>Good</t>
  </si>
  <si>
    <t>3a</t>
  </si>
  <si>
    <t>3b</t>
  </si>
  <si>
    <t>11a</t>
  </si>
  <si>
    <t>11b</t>
  </si>
  <si>
    <t>results from 2nd run only!</t>
  </si>
  <si>
    <t>difference between samples from the two runs</t>
  </si>
  <si>
    <t>BSiO2 %</t>
  </si>
  <si>
    <t>4 replicates!</t>
  </si>
  <si>
    <t>6a</t>
  </si>
  <si>
    <t>6b</t>
  </si>
  <si>
    <t>12a</t>
  </si>
  <si>
    <t>12b</t>
  </si>
  <si>
    <t>1 result only from 1st run!</t>
  </si>
  <si>
    <t>15a</t>
  </si>
  <si>
    <t>15b</t>
  </si>
  <si>
    <t>#4</t>
  </si>
  <si>
    <t>#5</t>
  </si>
  <si>
    <t>rerun</t>
  </si>
  <si>
    <t>blank average</t>
  </si>
  <si>
    <t>Blank 1</t>
  </si>
  <si>
    <t>Blank 2</t>
  </si>
  <si>
    <t>Blank 3</t>
  </si>
  <si>
    <t>Blank 4</t>
  </si>
  <si>
    <t>PACS average</t>
  </si>
  <si>
    <t>PAS std.p</t>
  </si>
  <si>
    <t>PACS-2 #5</t>
  </si>
  <si>
    <t>2000_11</t>
  </si>
  <si>
    <t>bsi</t>
  </si>
  <si>
    <t>bsio2</t>
  </si>
  <si>
    <t>area</t>
  </si>
  <si>
    <t>comments</t>
  </si>
  <si>
    <t>Mass flux</t>
  </si>
  <si>
    <t>Mass QC</t>
  </si>
  <si>
    <t>jar of</t>
  </si>
  <si>
    <t>CHN qc</t>
  </si>
  <si>
    <t>comments2</t>
  </si>
  <si>
    <t>Dates</t>
  </si>
  <si>
    <t>proportion</t>
  </si>
  <si>
    <t>PN/PSiO2</t>
  </si>
  <si>
    <t>TPC/PSiO2</t>
  </si>
  <si>
    <t>CaCO3</t>
  </si>
  <si>
    <t>PIC</t>
  </si>
  <si>
    <t>POC</t>
  </si>
  <si>
    <t>sum</t>
  </si>
  <si>
    <t>QC</t>
  </si>
  <si>
    <t>POC/PN</t>
  </si>
  <si>
    <t>SAZ 24</t>
  </si>
  <si>
    <t>eg FSW batch</t>
  </si>
  <si>
    <t>open</t>
  </si>
  <si>
    <t>= cup_mass/area/time_open</t>
  </si>
  <si>
    <t>powder</t>
  </si>
  <si>
    <t>PC</t>
  </si>
  <si>
    <t>PN</t>
  </si>
  <si>
    <t>netcdf flag</t>
  </si>
  <si>
    <t>UTC</t>
  </si>
  <si>
    <t>normalised</t>
  </si>
  <si>
    <t>BSi</t>
  </si>
  <si>
    <t>BSiO2</t>
  </si>
  <si>
    <t>mass ratio</t>
  </si>
  <si>
    <t>CaCO3+opal + (POM=2.2*POC) + litho 3.7%</t>
  </si>
  <si>
    <t>Mol/mol</t>
  </si>
  <si>
    <t>&lt;1mm</t>
  </si>
  <si>
    <t/>
  </si>
  <si>
    <t>Cup open</t>
  </si>
  <si>
    <t>Cup close</t>
  </si>
  <si>
    <t>midpoint</t>
  </si>
  <si>
    <t>cumulative</t>
  </si>
  <si>
    <t>=height / 0.5m2 / open_time</t>
  </si>
  <si>
    <t>Redfield 2.79 POM opal is BSiO2*1.11</t>
  </si>
  <si>
    <t>m2</t>
  </si>
  <si>
    <t>days</t>
  </si>
  <si>
    <t>mg/m2/day</t>
  </si>
  <si>
    <t>g/m2/yr</t>
  </si>
  <si>
    <t>% w/w</t>
  </si>
  <si>
    <t>psu</t>
  </si>
  <si>
    <t>mm/m2/day</t>
  </si>
  <si>
    <t>w/w</t>
  </si>
  <si>
    <t>at END event</t>
  </si>
  <si>
    <t>at open event</t>
  </si>
  <si>
    <t>QC threshold 10%</t>
  </si>
  <si>
    <t>FISH!. 3</t>
  </si>
  <si>
    <t xml:space="preserve">large fish </t>
  </si>
  <si>
    <t>cannot verify weight</t>
  </si>
  <si>
    <t>NaN</t>
  </si>
  <si>
    <t>split3 given to Lev Bodrossy (6/10/23)</t>
  </si>
  <si>
    <t>Cup missing on recovery</t>
  </si>
  <si>
    <t>lost during splitting</t>
  </si>
  <si>
    <t>merged with 17, 18, &amp; 19</t>
  </si>
  <si>
    <t>large prawn</t>
  </si>
  <si>
    <t>now average of corrected results</t>
  </si>
  <si>
    <t>COUNT</t>
  </si>
  <si>
    <t>good cups</t>
  </si>
  <si>
    <t>SUM from subtotals</t>
  </si>
  <si>
    <t>SUM Mclane from subs</t>
  </si>
  <si>
    <t>good</t>
  </si>
  <si>
    <t>under funnel</t>
  </si>
  <si>
    <t>COUNT from data (as a check)</t>
  </si>
  <si>
    <t>mass/trap</t>
  </si>
  <si>
    <t>time open</t>
  </si>
  <si>
    <t>mass flux</t>
  </si>
  <si>
    <t>% of year</t>
  </si>
  <si>
    <t>Deployment</t>
  </si>
  <si>
    <t>sampleQC</t>
  </si>
  <si>
    <t>mass/cup</t>
  </si>
  <si>
    <t>Total</t>
  </si>
  <si>
    <t>PIC QC</t>
  </si>
  <si>
    <t>PC QC</t>
  </si>
  <si>
    <t>PN QC</t>
  </si>
  <si>
    <t>POC QC</t>
  </si>
  <si>
    <t>BSi QC</t>
  </si>
  <si>
    <t>PC_mol_flux</t>
  </si>
  <si>
    <t>PN_mol_flux</t>
  </si>
  <si>
    <t>POC_mol_flux</t>
  </si>
  <si>
    <t>PIC_mol_flux</t>
  </si>
  <si>
    <t>BSi_mol_flux</t>
  </si>
  <si>
    <t>PC mol QC</t>
  </si>
  <si>
    <t>PN mol QC</t>
  </si>
  <si>
    <t>POC mol QC</t>
  </si>
  <si>
    <t>PIC mol QC</t>
  </si>
  <si>
    <t>Bsi mol QC</t>
  </si>
  <si>
    <t>PIC/PN</t>
  </si>
  <si>
    <t>salts</t>
  </si>
  <si>
    <t>salts QC</t>
  </si>
  <si>
    <t>pH QC</t>
  </si>
  <si>
    <t>year start</t>
  </si>
  <si>
    <t>nominal</t>
  </si>
  <si>
    <t>cup open</t>
  </si>
  <si>
    <t>cup close</t>
  </si>
  <si>
    <t>1-Jan1900 time origin check</t>
  </si>
  <si>
    <t>cup duration</t>
  </si>
  <si>
    <t>sinking_flux_in_seawater_of_particulate_total_carbon_expressed_as_moles_of_carbon</t>
  </si>
  <si>
    <t>sinking_flux_in_seawater_of_particulate_nitrogen_expressed_as_moles_of_nitrogen</t>
  </si>
  <si>
    <t>sinking_flux_in_seawater_of_particulate_organic_carbon_expressed_as_moles_of_carbon</t>
  </si>
  <si>
    <t>sinking_flux_in_seawater_of_particulate_inorganic_carbon_expressed_as_moles_of_carbon</t>
  </si>
  <si>
    <t>sinking_flux_in_seawater_of_particulate_biogenic_silica_expressed_as_moles_of_silicon</t>
  </si>
  <si>
    <t>actual</t>
  </si>
  <si>
    <t>mol m-2 yr-1</t>
  </si>
  <si>
    <t>dbar</t>
  </si>
  <si>
    <t>mmol m-2 yr-1</t>
  </si>
  <si>
    <t>mol/mol</t>
  </si>
  <si>
    <t>m</t>
  </si>
  <si>
    <t>cup mid-point</t>
  </si>
  <si>
    <t>deployment year start</t>
  </si>
  <si>
    <t>site</t>
  </si>
  <si>
    <t>depth_nominal</t>
  </si>
  <si>
    <t>pressure_actual</t>
  </si>
  <si>
    <t>metadata</t>
  </si>
  <si>
    <t>metadata_depth</t>
  </si>
  <si>
    <t>sample</t>
  </si>
  <si>
    <t>sample_qc</t>
  </si>
  <si>
    <t>sample open</t>
  </si>
  <si>
    <t>sample close</t>
  </si>
  <si>
    <t>sample mid-point</t>
  </si>
  <si>
    <t>sample_duration</t>
  </si>
  <si>
    <t>mass_flux</t>
  </si>
  <si>
    <t>mass_flux_uncertainty</t>
  </si>
  <si>
    <t>mass_flux_qc</t>
  </si>
  <si>
    <t>SAL_BRINE</t>
  </si>
  <si>
    <t>SAL_BRINE_uncertainty</t>
  </si>
  <si>
    <t>SAL_BRINE_qc</t>
  </si>
  <si>
    <t>pH_BRINE</t>
  </si>
  <si>
    <t>pH_BRINE_uncertainty</t>
  </si>
  <si>
    <t>pH_BRINE_qc</t>
  </si>
  <si>
    <t>PC_mass_flux</t>
  </si>
  <si>
    <t>PC_mass_flux_uncertainty</t>
  </si>
  <si>
    <t>PC_mass_flux_qc</t>
  </si>
  <si>
    <t>PN_mass_flux</t>
  </si>
  <si>
    <t>PN_mass_flux_uncertainty</t>
  </si>
  <si>
    <t>PN_mass_flux_qc</t>
  </si>
  <si>
    <t>POC_mass_flux</t>
  </si>
  <si>
    <t>POC_mass_flux_uncertainty</t>
  </si>
  <si>
    <t>POC_mass_flux_qc</t>
  </si>
  <si>
    <t>PIC_mass_flux</t>
  </si>
  <si>
    <t>PIC_mass_flux_uncertainty</t>
  </si>
  <si>
    <t>PIC_mass_flux_qc</t>
  </si>
  <si>
    <t>BSi_mass_flux</t>
  </si>
  <si>
    <t>BSi_mass_flux_uncertainty</t>
  </si>
  <si>
    <t>BSi_mass_flux_qc</t>
  </si>
  <si>
    <t>standard_name</t>
  </si>
  <si>
    <t>actual pressure</t>
  </si>
  <si>
    <t>long_name</t>
  </si>
  <si>
    <t>sample number</t>
  </si>
  <si>
    <t>sample duration</t>
  </si>
  <si>
    <t>particulate total mass flux</t>
  </si>
  <si>
    <t xml:space="preserve">sample supernatant practical salinity </t>
  </si>
  <si>
    <t>sample supernatant pH NBS scale</t>
  </si>
  <si>
    <t>particulate total carbon mass flux</t>
  </si>
  <si>
    <t>particulate total nitrogen mass flux</t>
  </si>
  <si>
    <t>particulate organic carbon mass flux</t>
  </si>
  <si>
    <t>particulate inorganic carbon mass flux</t>
  </si>
  <si>
    <t>particulate biogenic silicon mass flux</t>
  </si>
  <si>
    <t>SAZ47-24-2022</t>
  </si>
  <si>
    <t>units</t>
  </si>
  <si>
    <t>yyyy:mm:dd hh:mm:ss UTC</t>
  </si>
  <si>
    <t>day</t>
  </si>
  <si>
    <t>mg m-2 d-1</t>
  </si>
  <si>
    <t>1</t>
  </si>
  <si>
    <r>
      <rPr>
        <sz val="11"/>
        <rFont val="1"/>
      </rPr>
      <t>1</t>
    </r>
  </si>
  <si>
    <t>relative_uncertainty</t>
  </si>
  <si>
    <t>uncertainty</t>
  </si>
  <si>
    <t>comment</t>
  </si>
  <si>
    <t>supernatant</t>
  </si>
  <si>
    <t>pressure from nearest instrument on mooring, extrapolated to trap position</t>
  </si>
  <si>
    <t>comment_method</t>
  </si>
  <si>
    <t>dry wt 60C</t>
  </si>
  <si>
    <t>Supernatant salinity measured as conductivity on recovery as indicator of brine washout</t>
  </si>
  <si>
    <t>Supernatant pH measured potentiometrically on recovery as indicator of brine washout</t>
  </si>
  <si>
    <t>elemental analyser total carbon</t>
  </si>
  <si>
    <t>elemental analyser total nitrogen</t>
  </si>
  <si>
    <t>particulate total carbon minus particulate inorganic carbon</t>
  </si>
  <si>
    <t>closed system acidification and coulometry of evolved carbon dioxide</t>
  </si>
  <si>
    <t>alkaline digest and segmented-flow spectrometry</t>
  </si>
  <si>
    <t>comment_sample</t>
  </si>
  <si>
    <t>valid_min</t>
  </si>
  <si>
    <t>valid_max</t>
  </si>
  <si>
    <t>mean</t>
  </si>
  <si>
    <t>mode</t>
  </si>
  <si>
    <t>3800m</t>
  </si>
  <si>
    <t>1200m</t>
  </si>
  <si>
    <t>Aquadopp</t>
  </si>
  <si>
    <r>
      <t>cup 4 had remains of a large fish in it, which is likely the cause of elevated %PC and %PN results. This sample is therefore flagged 2, probably good, which flows onto all other flags, unless flagged higher for other reasons.</t>
    </r>
    <r>
      <rPr>
        <sz val="11"/>
        <color rgb="FFFF0000"/>
        <rFont val="Calibri"/>
        <family val="2"/>
        <scheme val="minor"/>
      </rPr>
      <t xml:space="preserve"> Due to an issue with notetaking during analysis, individual weights for cups 14, 15 and 18-21 CHN samples could not be verified, and thus those CHN, and as a consequence, those POC results have been flagged 3 – (Probably Bad), including in cases where a flag 2 (Probably good) would have been applied otherwise. Please refer to the SOTS annual reports for additional detail if using these data.</t>
    </r>
  </si>
  <si>
    <t>Due to an issue with notetaking during analysis, individual sample weights could not be verified, and thus all results have been flagged 3 – (Probably Bad), including in cases where a flag 2 (Probabl good) would have been applied otherwise. Please refer to the SOTS annual reports for additional detail if using these data. Cup 14 was missing on recovery, cup 15 was lost during processing, cups 16-19 were combined after splitting to provide enough material for analyses. Results are divided by the combined number of days the respective cups were open for.</t>
  </si>
  <si>
    <t>Due to an issue with notetaking during analysis, individual sample weights could not be verified, and thus all results have been flagged 3 – (Probably Bad), including in cases where a flag 2 (Probabl good) would have been applied otherwise. Please refer to the SOTS annual reports for additional detail if using these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</si>
</sst>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d\-mmm\-yyyy"/>
    <numFmt numFmtId="165" formatCode="m/d/yy"/>
    <numFmt numFmtId="166" formatCode="dd\.\ mmm\ yy"/>
    <numFmt numFmtId="167" formatCode="0.0"/>
    <numFmt numFmtId="168" formatCode="dd/mm/yyyy;@"/>
    <numFmt numFmtId="169" formatCode="d\-mmm\-yy\ hh:mm"/>
    <numFmt numFmtId="170" formatCode="0.000"/>
    <numFmt numFmtId="171" formatCode="0.00000"/>
    <numFmt numFmtId="172" formatCode="0.0000"/>
    <numFmt numFmtId="173" formatCode="d/mm/yyyy;@"/>
    <numFmt numFmtId="174" formatCode="yyyy/mm/dd\ hh:mm:ss"/>
    <numFmt numFmtId="175" formatCode="0.0%"/>
    <numFmt numFmtId="176" formatCode="0.0000000"/>
  </numFmts>
  <fonts count="62">
    <font>
      <sz val="11"/>
      <color theme="1"/>
      <name val="Calibri"/>
      <family val="2"/>
      <scheme val="minor"/>
    </font>
    <font>
      <sz val="11"/>
      <color rgb="FFFF0000"/>
      <name val="Calibri"/>
      <family val="2"/>
      <scheme val="minor"/>
    </font>
    <font>
      <b/>
      <sz val="10"/>
      <name val="Arial"/>
      <family val="2"/>
    </font>
    <font>
      <sz val="12"/>
      <name val="Calibri"/>
      <family val="2"/>
      <scheme val="minor"/>
    </font>
    <font>
      <sz val="12"/>
      <color rgb="FFFF0000"/>
      <name val="Calibri"/>
      <family val="2"/>
      <scheme val="minor"/>
    </font>
    <font>
      <b/>
      <sz val="10"/>
      <color rgb="FFFF0000"/>
      <name val="Arial"/>
      <family val="2"/>
    </font>
    <font>
      <b/>
      <sz val="14"/>
      <color theme="1"/>
      <name val="Calibri"/>
      <family val="2"/>
      <scheme val="minor"/>
    </font>
    <font>
      <b/>
      <sz val="14"/>
      <color rgb="FFFF0000"/>
      <name val="Calibri"/>
      <family val="2"/>
      <scheme val="minor"/>
    </font>
    <font>
      <b/>
      <sz val="11"/>
      <color rgb="FFFF0000"/>
      <name val="Calibri"/>
      <family val="2"/>
      <scheme val="minor"/>
    </font>
    <font>
      <b/>
      <sz val="12"/>
      <name val="Calibri"/>
      <family val="2"/>
      <scheme val="minor"/>
    </font>
    <font>
      <sz val="1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b/>
      <sz val="11"/>
      <name val="Arial"/>
      <family val="2"/>
    </font>
    <font>
      <sz val="8"/>
      <name val="Calibri"/>
      <family val="2"/>
      <scheme val="minor"/>
    </font>
    <font>
      <sz val="10"/>
      <color indexed="8"/>
      <name val="MS Sans Serif"/>
      <family val="2"/>
    </font>
    <font>
      <b/>
      <sz val="14"/>
      <name val="Calibri"/>
      <family val="2"/>
      <scheme val="minor"/>
    </font>
    <font>
      <sz val="10"/>
      <name val="Arial"/>
      <family val="2"/>
    </font>
    <font>
      <sz val="10"/>
      <color rgb="FF028009"/>
      <name val="Courier New"/>
      <family val="3"/>
    </font>
    <font>
      <sz val="12"/>
      <color theme="1"/>
      <name val="Courier New"/>
      <family val="3"/>
    </font>
    <font>
      <sz val="10"/>
      <color rgb="FF000000"/>
      <name val="Courier New"/>
      <family val="3"/>
    </font>
    <font>
      <sz val="11"/>
      <color theme="1"/>
      <name val="Consolas"/>
      <family val="3"/>
    </font>
    <font>
      <sz val="10"/>
      <color theme="1"/>
      <name val="Calibri"/>
      <family val="2"/>
      <scheme val="minor"/>
    </font>
    <font>
      <i/>
      <sz val="12"/>
      <color rgb="FFFF0000"/>
      <name val="Calibri"/>
      <family val="2"/>
      <scheme val="minor"/>
    </font>
    <font>
      <sz val="14"/>
      <name val="Calibri"/>
      <family val="2"/>
      <scheme val="minor"/>
    </font>
    <font>
      <b/>
      <sz val="11"/>
      <name val="Calibri"/>
      <family val="2"/>
      <scheme val="minor"/>
    </font>
    <font>
      <sz val="12"/>
      <name val="Arial"/>
      <family val="2"/>
    </font>
    <font>
      <sz val="12"/>
      <color theme="0" tint="-0.14999847407452621"/>
      <name val="Calibri"/>
      <family val="2"/>
      <scheme val="minor"/>
    </font>
    <font>
      <sz val="12"/>
      <color theme="0" tint="-0.24994659260841701"/>
      <name val="Calibri"/>
      <family val="2"/>
      <scheme val="minor"/>
    </font>
    <font>
      <sz val="12"/>
      <color theme="0" tint="-0.24994659260841701"/>
      <name val="Arial"/>
      <family val="2"/>
    </font>
    <font>
      <sz val="11"/>
      <name val="Calibri"/>
      <family val="2"/>
    </font>
    <font>
      <i/>
      <sz val="10"/>
      <name val="Arial"/>
      <family val="2"/>
    </font>
    <font>
      <b/>
      <sz val="10"/>
      <color indexed="8"/>
      <name val="Arial"/>
      <family val="2"/>
    </font>
    <font>
      <b/>
      <sz val="10"/>
      <color theme="1"/>
      <name val="Arial"/>
      <family val="2"/>
    </font>
    <font>
      <sz val="10"/>
      <color theme="1"/>
      <name val="Arial"/>
      <family val="2"/>
    </font>
    <font>
      <sz val="10"/>
      <color indexed="8"/>
      <name val="Arial"/>
      <family val="2"/>
    </font>
    <font>
      <sz val="10"/>
      <color rgb="FFFF0000"/>
      <name val="Arial"/>
      <family val="2"/>
    </font>
    <font>
      <b/>
      <sz val="10"/>
      <color indexed="10"/>
      <name val="Arial"/>
      <family val="2"/>
    </font>
    <font>
      <sz val="10"/>
      <color indexed="54"/>
      <name val="Arial"/>
      <family val="2"/>
    </font>
    <font>
      <sz val="10"/>
      <color theme="9"/>
      <name val="Arial"/>
      <family val="2"/>
    </font>
    <font>
      <sz val="12"/>
      <name val="Calibri"/>
      <family val="2"/>
      <charset val="204"/>
      <scheme val="minor"/>
    </font>
    <font>
      <sz val="10"/>
      <name val="Calibri"/>
      <family val="2"/>
    </font>
    <font>
      <sz val="12"/>
      <color rgb="FFFF0000"/>
      <name val="Calibri"/>
      <family val="2"/>
      <charset val="204"/>
      <scheme val="minor"/>
    </font>
    <font>
      <sz val="11"/>
      <color theme="1"/>
      <name val="Calibri"/>
      <family val="2"/>
    </font>
    <font>
      <b/>
      <sz val="12"/>
      <color theme="1"/>
      <name val="Calibri"/>
      <family val="2"/>
      <scheme val="minor"/>
    </font>
    <font>
      <b/>
      <sz val="12"/>
      <color theme="1"/>
      <name val="Calibri"/>
      <family val="2"/>
      <charset val="204"/>
      <scheme val="minor"/>
    </font>
    <font>
      <sz val="8"/>
      <name val="MS Sans Serif"/>
    </font>
    <font>
      <b/>
      <sz val="8"/>
      <color indexed="81"/>
      <name val="Tahoma"/>
      <family val="2"/>
    </font>
    <font>
      <sz val="8"/>
      <color indexed="81"/>
      <name val="Tahoma"/>
      <family val="2"/>
    </font>
    <font>
      <sz val="8"/>
      <color rgb="FFFF0000"/>
      <name val="MS Sans Serif"/>
    </font>
    <font>
      <sz val="10"/>
      <name val="Arial"/>
      <family val="2"/>
    </font>
    <font>
      <sz val="11"/>
      <color theme="0" tint="-0.34998626667073579"/>
      <name val="Calibri"/>
      <family val="2"/>
      <scheme val="minor"/>
    </font>
    <font>
      <b/>
      <sz val="8"/>
      <name val="MS Sans Serif"/>
    </font>
    <font>
      <sz val="12"/>
      <color theme="1"/>
      <name val="Aptos"/>
      <family val="2"/>
    </font>
    <font>
      <b/>
      <sz val="12"/>
      <color rgb="FFFF0000"/>
      <name val="Calibri"/>
      <family val="2"/>
      <scheme val="minor"/>
    </font>
    <font>
      <b/>
      <sz val="9"/>
      <name val="MS Sans Serif"/>
    </font>
    <font>
      <sz val="10"/>
      <name val="MS Sans Serif"/>
      <family val="2"/>
    </font>
    <font>
      <u/>
      <sz val="12"/>
      <color theme="10"/>
      <name val="Calibri"/>
      <family val="2"/>
      <charset val="204"/>
      <scheme val="minor"/>
    </font>
    <font>
      <u/>
      <sz val="12"/>
      <name val="Calibri"/>
      <family val="2"/>
      <charset val="204"/>
      <scheme val="minor"/>
    </font>
    <font>
      <sz val="11"/>
      <name val="1"/>
    </font>
    <font>
      <b/>
      <sz val="16"/>
      <name val="Calibri"/>
      <family val="2"/>
      <scheme val="minor"/>
    </font>
  </fonts>
  <fills count="27">
    <fill>
      <patternFill patternType="none"/>
    </fill>
    <fill>
      <patternFill patternType="gray125"/>
    </fill>
    <fill>
      <patternFill patternType="solid">
        <fgColor theme="9" tint="0.79995117038483843"/>
        <bgColor indexed="64"/>
      </patternFill>
    </fill>
    <fill>
      <patternFill patternType="solid">
        <fgColor rgb="FFFFFF00"/>
        <bgColor indexed="64"/>
      </patternFill>
    </fill>
    <fill>
      <patternFill patternType="solid">
        <fgColor rgb="FFFFFF00"/>
        <bgColor rgb="FF000000"/>
      </patternFill>
    </fill>
    <fill>
      <patternFill patternType="solid">
        <fgColor theme="6" tint="0.79995117038483843"/>
        <bgColor indexed="64"/>
      </patternFill>
    </fill>
    <fill>
      <patternFill patternType="solid">
        <fgColor theme="0"/>
        <bgColor indexed="64"/>
      </patternFill>
    </fill>
    <fill>
      <patternFill patternType="solid">
        <fgColor theme="9" tint="0.79995117038483843"/>
        <bgColor indexed="64"/>
      </patternFill>
    </fill>
    <fill>
      <patternFill patternType="solid">
        <fgColor theme="0" tint="-0.24994659260841701"/>
        <bgColor indexed="64"/>
      </patternFill>
    </fill>
    <fill>
      <patternFill patternType="solid">
        <fgColor theme="9"/>
        <bgColor indexed="64"/>
      </patternFill>
    </fill>
    <fill>
      <patternFill patternType="solid">
        <fgColor theme="7" tint="0.79995117038483843"/>
        <bgColor indexed="64"/>
      </patternFill>
    </fill>
    <fill>
      <patternFill patternType="solid">
        <fgColor theme="9" tint="0.59996337778862885"/>
        <bgColor indexed="64"/>
      </patternFill>
    </fill>
    <fill>
      <patternFill patternType="solid">
        <fgColor theme="8" tint="0.59996337778862885"/>
        <bgColor indexed="64"/>
      </patternFill>
    </fill>
    <fill>
      <patternFill patternType="solid">
        <fgColor theme="7" tint="0.59996337778862885"/>
        <bgColor indexed="64"/>
      </patternFill>
    </fill>
    <fill>
      <patternFill patternType="solid">
        <fgColor theme="6" tint="0.59996337778862885"/>
        <bgColor indexed="64"/>
      </patternFill>
    </fill>
    <fill>
      <patternFill patternType="solid">
        <fgColor theme="5" tint="0.59996337778862885"/>
        <bgColor indexed="64"/>
      </patternFill>
    </fill>
    <fill>
      <patternFill patternType="solid">
        <fgColor theme="3" tint="0.59996337778862885"/>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rgb="FFFFC000"/>
        <bgColor indexed="64"/>
      </patternFill>
    </fill>
    <fill>
      <patternFill patternType="solid">
        <fgColor indexed="50"/>
        <bgColor indexed="64"/>
      </patternFill>
    </fill>
    <fill>
      <patternFill patternType="solid">
        <fgColor rgb="FFFF0000"/>
        <bgColor indexed="64"/>
      </patternFill>
    </fill>
    <fill>
      <patternFill patternType="solid">
        <fgColor theme="4" tint="0.59996337778862885"/>
        <bgColor indexed="64"/>
      </patternFill>
    </fill>
    <fill>
      <patternFill patternType="solid">
        <fgColor theme="5" tint="-0.24994659260841701"/>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9" tint="0.39997558519241921"/>
        <bgColor indexed="64"/>
      </patternFill>
    </fill>
  </fills>
  <borders count="27">
    <border>
      <left/>
      <right/>
      <top/>
      <bottom/>
      <diagonal/>
    </border>
    <border>
      <left style="thin">
        <color auto="1"/>
      </left>
      <right/>
      <top style="thin">
        <color auto="1"/>
      </top>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diagonal/>
    </border>
    <border>
      <left style="thin">
        <color auto="1"/>
      </left>
      <right style="thin">
        <color auto="1"/>
      </right>
      <top/>
      <bottom/>
      <diagonal/>
    </border>
    <border>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
      <left/>
      <right/>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thin">
        <color indexed="64"/>
      </top>
      <bottom style="thin">
        <color indexed="64"/>
      </bottom>
      <diagonal/>
    </border>
    <border>
      <left/>
      <right/>
      <top style="thin">
        <color indexed="64"/>
      </top>
      <bottom style="double">
        <color indexed="64"/>
      </bottom>
      <diagonal/>
    </border>
    <border>
      <left/>
      <right style="thin">
        <color auto="1"/>
      </right>
      <top style="thin">
        <color indexed="64"/>
      </top>
      <bottom style="double">
        <color indexed="64"/>
      </bottom>
      <diagonal/>
    </border>
    <border>
      <left style="thin">
        <color auto="1"/>
      </left>
      <right/>
      <top style="thin">
        <color indexed="64"/>
      </top>
      <bottom style="double">
        <color indexed="64"/>
      </bottom>
      <diagonal/>
    </border>
    <border>
      <left/>
      <right style="thin">
        <color auto="1"/>
      </right>
      <top style="thin">
        <color auto="1"/>
      </top>
      <bottom style="thin">
        <color auto="1"/>
      </bottom>
      <diagonal/>
    </border>
  </borders>
  <cellStyleXfs count="5">
    <xf numFmtId="0" fontId="0" fillId="0" borderId="0"/>
    <xf numFmtId="9" fontId="11" fillId="0" borderId="0" applyFont="0" applyFill="0" applyBorder="0" applyAlignment="0" applyProtection="0"/>
    <xf numFmtId="0" fontId="16" fillId="0" borderId="0"/>
    <xf numFmtId="0" fontId="51" fillId="0" borderId="0"/>
    <xf numFmtId="0" fontId="58" fillId="0" borderId="0" applyNumberFormat="0" applyFill="0" applyBorder="0" applyAlignment="0" applyProtection="0"/>
  </cellStyleXfs>
  <cellXfs count="535">
    <xf numFmtId="0" fontId="0" fillId="0" borderId="0" xfId="0"/>
    <xf numFmtId="0" fontId="2" fillId="0" borderId="0" xfId="0" applyFont="1"/>
    <xf numFmtId="0" fontId="3" fillId="0" borderId="0" xfId="0" applyFont="1"/>
    <xf numFmtId="0" fontId="2" fillId="0" borderId="0" xfId="0" applyFont="1" applyAlignment="1">
      <alignment horizontal="center"/>
    </xf>
    <xf numFmtId="0" fontId="0" fillId="0" borderId="0" xfId="0" applyAlignment="1">
      <alignment horizontal="center"/>
    </xf>
    <xf numFmtId="0" fontId="3" fillId="0" borderId="1" xfId="0" applyFont="1" applyBorder="1"/>
    <xf numFmtId="2" fontId="3" fillId="0" borderId="2" xfId="0" applyNumberFormat="1" applyFont="1" applyBorder="1"/>
    <xf numFmtId="2" fontId="3" fillId="0" borderId="3" xfId="0" applyNumberFormat="1" applyFont="1" applyBorder="1"/>
    <xf numFmtId="0" fontId="4" fillId="0" borderId="0" xfId="0" applyFont="1"/>
    <xf numFmtId="0" fontId="3" fillId="0" borderId="4" xfId="0" applyFont="1" applyBorder="1"/>
    <xf numFmtId="2" fontId="3" fillId="0" borderId="5" xfId="0" applyNumberFormat="1" applyFont="1" applyBorder="1"/>
    <xf numFmtId="0" fontId="3" fillId="0" borderId="4" xfId="0" applyFont="1" applyBorder="1" applyAlignment="1">
      <alignment horizontal="right"/>
    </xf>
    <xf numFmtId="0" fontId="4" fillId="0" borderId="7" xfId="0" applyFont="1" applyBorder="1"/>
    <xf numFmtId="2" fontId="3" fillId="0" borderId="8" xfId="0" applyNumberFormat="1" applyFont="1" applyBorder="1"/>
    <xf numFmtId="2" fontId="3" fillId="0" borderId="9" xfId="0" applyNumberFormat="1" applyFont="1" applyBorder="1"/>
    <xf numFmtId="0" fontId="3" fillId="0" borderId="9" xfId="0" applyFont="1" applyBorder="1"/>
    <xf numFmtId="2" fontId="3" fillId="0" borderId="0" xfId="0" applyNumberFormat="1" applyFont="1"/>
    <xf numFmtId="0" fontId="4" fillId="0" borderId="10" xfId="0" applyFont="1" applyBorder="1"/>
    <xf numFmtId="0" fontId="4" fillId="0" borderId="3" xfId="0" applyFont="1" applyBorder="1"/>
    <xf numFmtId="0" fontId="3" fillId="0" borderId="6" xfId="0" applyFont="1" applyBorder="1"/>
    <xf numFmtId="0" fontId="3" fillId="0" borderId="6" xfId="0" applyFont="1" applyBorder="1" applyAlignment="1">
      <alignment horizontal="center"/>
    </xf>
    <xf numFmtId="0" fontId="3" fillId="0" borderId="1" xfId="0" applyFont="1" applyBorder="1" applyAlignment="1">
      <alignment horizontal="left" vertical="center"/>
    </xf>
    <xf numFmtId="0" fontId="5" fillId="0" borderId="0" xfId="0" applyFont="1"/>
    <xf numFmtId="2" fontId="4" fillId="0" borderId="0" xfId="0" applyNumberFormat="1" applyFont="1"/>
    <xf numFmtId="0" fontId="3" fillId="0" borderId="7" xfId="0" applyFont="1" applyBorder="1" applyAlignment="1">
      <alignment horizontal="left" vertical="center"/>
    </xf>
    <xf numFmtId="0" fontId="6" fillId="0" borderId="0" xfId="0" applyFont="1"/>
    <xf numFmtId="0" fontId="7" fillId="0" borderId="0" xfId="0" applyFont="1"/>
    <xf numFmtId="0" fontId="1" fillId="0" borderId="0" xfId="0" applyFont="1"/>
    <xf numFmtId="0" fontId="8" fillId="0" borderId="0" xfId="0" applyFont="1"/>
    <xf numFmtId="0" fontId="3" fillId="0" borderId="0" xfId="0" applyFont="1" applyAlignment="1">
      <alignment horizontal="left" vertical="center"/>
    </xf>
    <xf numFmtId="0" fontId="10" fillId="3" borderId="0" xfId="0" applyFont="1" applyFill="1"/>
    <xf numFmtId="0" fontId="7" fillId="3" borderId="0" xfId="0" applyFont="1" applyFill="1"/>
    <xf numFmtId="2" fontId="4" fillId="0" borderId="7" xfId="0" applyNumberFormat="1" applyFont="1" applyBorder="1"/>
    <xf numFmtId="0" fontId="9" fillId="0" borderId="1" xfId="0" applyFont="1" applyBorder="1"/>
    <xf numFmtId="2" fontId="3" fillId="0" borderId="1" xfId="0" applyNumberFormat="1" applyFont="1" applyBorder="1"/>
    <xf numFmtId="2" fontId="3" fillId="0" borderId="4" xfId="0" applyNumberFormat="1" applyFont="1" applyBorder="1"/>
    <xf numFmtId="2" fontId="3" fillId="0" borderId="4" xfId="0" applyNumberFormat="1" applyFont="1" applyBorder="1" applyAlignment="1">
      <alignment horizontal="right"/>
    </xf>
    <xf numFmtId="0" fontId="13" fillId="0" borderId="1" xfId="0" applyFont="1" applyBorder="1"/>
    <xf numFmtId="0" fontId="12" fillId="0" borderId="0" xfId="0" applyFont="1"/>
    <xf numFmtId="0" fontId="2" fillId="0" borderId="0" xfId="0" applyFont="1" applyAlignment="1">
      <alignment horizontal="left"/>
    </xf>
    <xf numFmtId="9" fontId="0" fillId="0" borderId="0" xfId="1" applyFont="1"/>
    <xf numFmtId="0" fontId="13" fillId="0" borderId="0" xfId="0" applyFont="1" applyAlignment="1">
      <alignment horizontal="center"/>
    </xf>
    <xf numFmtId="2" fontId="3" fillId="0" borderId="6" xfId="0" applyNumberFormat="1" applyFont="1" applyBorder="1"/>
    <xf numFmtId="0" fontId="12" fillId="0" borderId="0" xfId="0" applyFont="1" applyAlignment="1">
      <alignment horizontal="left"/>
    </xf>
    <xf numFmtId="0" fontId="10" fillId="0" borderId="0" xfId="0" applyFont="1"/>
    <xf numFmtId="0" fontId="14" fillId="0" borderId="1" xfId="0" applyFont="1" applyBorder="1" applyAlignment="1">
      <alignment vertical="center"/>
    </xf>
    <xf numFmtId="1" fontId="14" fillId="0" borderId="10" xfId="0" applyNumberFormat="1" applyFont="1" applyBorder="1" applyAlignment="1">
      <alignment vertical="center"/>
    </xf>
    <xf numFmtId="0" fontId="14" fillId="0" borderId="10" xfId="0" applyFont="1" applyBorder="1" applyAlignment="1">
      <alignment horizontal="left" vertical="center"/>
    </xf>
    <xf numFmtId="0" fontId="14" fillId="0" borderId="3" xfId="0" applyFont="1" applyBorder="1" applyAlignment="1">
      <alignment vertical="center"/>
    </xf>
    <xf numFmtId="0" fontId="14" fillId="0" borderId="10" xfId="0" applyFont="1" applyBorder="1" applyAlignment="1">
      <alignment vertical="center"/>
    </xf>
    <xf numFmtId="0" fontId="1" fillId="3" borderId="0" xfId="0" applyFont="1" applyFill="1"/>
    <xf numFmtId="0" fontId="17" fillId="0" borderId="0" xfId="0" applyFont="1"/>
    <xf numFmtId="0" fontId="9" fillId="0" borderId="0" xfId="0" applyFont="1"/>
    <xf numFmtId="0" fontId="18" fillId="0" borderId="0" xfId="0" applyFont="1"/>
    <xf numFmtId="0" fontId="0" fillId="0" borderId="0" xfId="0" applyAlignment="1">
      <alignment vertical="center"/>
    </xf>
    <xf numFmtId="0" fontId="19" fillId="0" borderId="0" xfId="0" applyFont="1" applyAlignment="1">
      <alignment horizontal="left" vertical="center" indent="5"/>
    </xf>
    <xf numFmtId="0" fontId="20" fillId="0" borderId="0" xfId="0" applyFont="1" applyAlignment="1">
      <alignment horizontal="left" vertical="center" indent="5"/>
    </xf>
    <xf numFmtId="0" fontId="21" fillId="0" borderId="0" xfId="0" applyFont="1" applyAlignment="1">
      <alignment horizontal="left" vertical="center" indent="5"/>
    </xf>
    <xf numFmtId="0" fontId="20" fillId="0" borderId="0" xfId="0" applyFont="1" applyAlignment="1">
      <alignment vertical="center"/>
    </xf>
    <xf numFmtId="0" fontId="22" fillId="0" borderId="0" xfId="0" applyFont="1" applyAlignment="1">
      <alignment vertical="center"/>
    </xf>
    <xf numFmtId="0" fontId="23" fillId="0" borderId="0" xfId="0" applyFont="1" applyAlignment="1">
      <alignment vertical="center"/>
    </xf>
    <xf numFmtId="0" fontId="24" fillId="0" borderId="4" xfId="0" applyFont="1" applyBorder="1" applyAlignment="1">
      <alignment horizontal="left"/>
    </xf>
    <xf numFmtId="0" fontId="25" fillId="0" borderId="0" xfId="0" applyFont="1"/>
    <xf numFmtId="14" fontId="10" fillId="0" borderId="0" xfId="0" applyNumberFormat="1" applyFont="1"/>
    <xf numFmtId="0" fontId="26" fillId="0" borderId="0" xfId="0" applyFont="1"/>
    <xf numFmtId="0" fontId="27" fillId="0" borderId="2" xfId="0" applyFont="1" applyBorder="1" applyAlignment="1">
      <alignment horizontal="left" vertical="center"/>
    </xf>
    <xf numFmtId="0" fontId="27" fillId="0" borderId="1" xfId="0" applyFont="1" applyBorder="1" applyAlignment="1">
      <alignment horizontal="left" vertical="center"/>
    </xf>
    <xf numFmtId="0" fontId="27" fillId="0" borderId="5" xfId="0" applyFont="1" applyBorder="1" applyAlignment="1">
      <alignment horizontal="left" vertical="center"/>
    </xf>
    <xf numFmtId="0" fontId="3" fillId="0" borderId="4" xfId="0" applyFont="1" applyBorder="1" applyAlignment="1">
      <alignment horizontal="left" vertical="center"/>
    </xf>
    <xf numFmtId="0" fontId="27" fillId="0" borderId="8" xfId="0" applyFont="1" applyBorder="1" applyAlignment="1">
      <alignment horizontal="left" vertical="center"/>
    </xf>
    <xf numFmtId="0" fontId="9" fillId="0" borderId="0" xfId="0" quotePrefix="1" applyFont="1"/>
    <xf numFmtId="2" fontId="4" fillId="0" borderId="0" xfId="0" quotePrefix="1" applyNumberFormat="1" applyFont="1"/>
    <xf numFmtId="2" fontId="2" fillId="0" borderId="0" xfId="0" applyNumberFormat="1" applyFont="1" applyAlignment="1">
      <alignment horizontal="center"/>
    </xf>
    <xf numFmtId="0" fontId="9" fillId="0" borderId="4" xfId="0" applyFont="1" applyBorder="1"/>
    <xf numFmtId="0" fontId="28" fillId="0" borderId="4" xfId="0" applyFont="1" applyBorder="1"/>
    <xf numFmtId="2" fontId="28" fillId="0" borderId="4" xfId="0" applyNumberFormat="1" applyFont="1" applyBorder="1"/>
    <xf numFmtId="2" fontId="28" fillId="0" borderId="5" xfId="0" applyNumberFormat="1" applyFont="1" applyBorder="1"/>
    <xf numFmtId="2" fontId="28" fillId="0" borderId="6" xfId="0" applyNumberFormat="1" applyFont="1" applyBorder="1"/>
    <xf numFmtId="0" fontId="28" fillId="0" borderId="0" xfId="0" applyFont="1"/>
    <xf numFmtId="2" fontId="9" fillId="0" borderId="4" xfId="0" applyNumberFormat="1" applyFont="1" applyBorder="1"/>
    <xf numFmtId="2" fontId="9" fillId="0" borderId="5" xfId="0" applyNumberFormat="1" applyFont="1" applyBorder="1"/>
    <xf numFmtId="2" fontId="9" fillId="0" borderId="6" xfId="0" applyNumberFormat="1" applyFont="1" applyBorder="1"/>
    <xf numFmtId="0" fontId="29" fillId="0" borderId="4" xfId="0" applyFont="1" applyBorder="1" applyAlignment="1">
      <alignment horizontal="left" vertical="center"/>
    </xf>
    <xf numFmtId="0" fontId="30" fillId="0" borderId="5" xfId="0" applyFont="1" applyBorder="1" applyAlignment="1">
      <alignment horizontal="left" vertical="center"/>
    </xf>
    <xf numFmtId="2" fontId="29" fillId="0" borderId="0" xfId="0" quotePrefix="1" applyNumberFormat="1" applyFont="1"/>
    <xf numFmtId="2" fontId="29" fillId="0" borderId="0" xfId="0" applyNumberFormat="1" applyFont="1"/>
    <xf numFmtId="15" fontId="32" fillId="0" borderId="0" xfId="0" applyNumberFormat="1" applyFont="1"/>
    <xf numFmtId="0" fontId="2" fillId="4" borderId="0" xfId="0" applyFont="1" applyFill="1"/>
    <xf numFmtId="15" fontId="2" fillId="4" borderId="0" xfId="0" applyNumberFormat="1" applyFont="1" applyFill="1"/>
    <xf numFmtId="15" fontId="32" fillId="4" borderId="0" xfId="0" applyNumberFormat="1" applyFont="1" applyFill="1"/>
    <xf numFmtId="15" fontId="2" fillId="0" borderId="0" xfId="0" applyNumberFormat="1" applyFont="1"/>
    <xf numFmtId="0" fontId="18" fillId="4" borderId="0" xfId="0" applyFont="1" applyFill="1"/>
    <xf numFmtId="164" fontId="18" fillId="4" borderId="0" xfId="0" applyNumberFormat="1" applyFont="1" applyFill="1"/>
    <xf numFmtId="165" fontId="18" fillId="0" borderId="0" xfId="0" applyNumberFormat="1" applyFont="1"/>
    <xf numFmtId="164" fontId="18" fillId="0" borderId="0" xfId="0" applyNumberFormat="1" applyFont="1"/>
    <xf numFmtId="164" fontId="2" fillId="4" borderId="0" xfId="0" applyNumberFormat="1" applyFont="1" applyFill="1"/>
    <xf numFmtId="164" fontId="2" fillId="0" borderId="0" xfId="0" applyNumberFormat="1" applyFont="1"/>
    <xf numFmtId="0" fontId="32" fillId="4" borderId="0" xfId="0" applyFont="1" applyFill="1"/>
    <xf numFmtId="166" fontId="32" fillId="4" borderId="0" xfId="0" applyNumberFormat="1" applyFont="1" applyFill="1"/>
    <xf numFmtId="1" fontId="18" fillId="4" borderId="0" xfId="0" applyNumberFormat="1" applyFont="1" applyFill="1"/>
    <xf numFmtId="166" fontId="32" fillId="0" borderId="0" xfId="0" applyNumberFormat="1" applyFont="1"/>
    <xf numFmtId="0" fontId="10" fillId="0" borderId="0" xfId="0" applyFont="1" applyAlignment="1">
      <alignment vertical="center"/>
    </xf>
    <xf numFmtId="1" fontId="33" fillId="0" borderId="0" xfId="0" applyNumberFormat="1" applyFont="1" applyAlignment="1">
      <alignment horizontal="left"/>
    </xf>
    <xf numFmtId="2" fontId="2" fillId="0" borderId="0" xfId="0" applyNumberFormat="1" applyFont="1"/>
    <xf numFmtId="1" fontId="2" fillId="0" borderId="0" xfId="0" applyNumberFormat="1" applyFont="1"/>
    <xf numFmtId="167" fontId="34" fillId="0" borderId="0" xfId="0" applyNumberFormat="1" applyFont="1"/>
    <xf numFmtId="167" fontId="2" fillId="0" borderId="0" xfId="0" applyNumberFormat="1" applyFont="1"/>
    <xf numFmtId="168" fontId="2" fillId="0" borderId="0" xfId="0" applyNumberFormat="1" applyFont="1" applyAlignment="1">
      <alignment horizontal="right"/>
    </xf>
    <xf numFmtId="169" fontId="2" fillId="0" borderId="0" xfId="0" applyNumberFormat="1" applyFont="1"/>
    <xf numFmtId="2" fontId="18" fillId="0" borderId="0" xfId="0" applyNumberFormat="1" applyFont="1" applyAlignment="1">
      <alignment horizontal="left"/>
    </xf>
    <xf numFmtId="2" fontId="0" fillId="0" borderId="0" xfId="0" applyNumberFormat="1"/>
    <xf numFmtId="2" fontId="35" fillId="0" borderId="0" xfId="0" applyNumberFormat="1" applyFont="1"/>
    <xf numFmtId="167" fontId="18" fillId="5" borderId="0" xfId="0" applyNumberFormat="1" applyFont="1" applyFill="1" applyAlignment="1">
      <alignment horizontal="right"/>
    </xf>
    <xf numFmtId="2" fontId="18" fillId="0" borderId="0" xfId="0" applyNumberFormat="1" applyFont="1"/>
    <xf numFmtId="0" fontId="34" fillId="0" borderId="0" xfId="0" applyFont="1"/>
    <xf numFmtId="1" fontId="36" fillId="0" borderId="0" xfId="0" applyNumberFormat="1" applyFont="1" applyAlignment="1">
      <alignment horizontal="left"/>
    </xf>
    <xf numFmtId="2" fontId="12" fillId="0" borderId="0" xfId="0" applyNumberFormat="1" applyFont="1"/>
    <xf numFmtId="1" fontId="0" fillId="0" borderId="0" xfId="0" applyNumberFormat="1"/>
    <xf numFmtId="167" fontId="35" fillId="0" borderId="0" xfId="0" applyNumberFormat="1" applyFont="1"/>
    <xf numFmtId="1" fontId="0" fillId="0" borderId="0" xfId="0" quotePrefix="1" applyNumberFormat="1"/>
    <xf numFmtId="167" fontId="0" fillId="0" borderId="0" xfId="0" quotePrefix="1" applyNumberFormat="1"/>
    <xf numFmtId="167" fontId="0" fillId="0" borderId="0" xfId="0" applyNumberFormat="1"/>
    <xf numFmtId="2" fontId="0" fillId="0" borderId="0" xfId="0" applyNumberFormat="1" applyAlignment="1">
      <alignment horizontal="center"/>
    </xf>
    <xf numFmtId="168" fontId="0" fillId="0" borderId="0" xfId="0" applyNumberFormat="1" applyAlignment="1">
      <alignment horizontal="right"/>
    </xf>
    <xf numFmtId="169" fontId="0" fillId="0" borderId="0" xfId="0" applyNumberFormat="1"/>
    <xf numFmtId="1" fontId="18" fillId="5" borderId="0" xfId="0" applyNumberFormat="1" applyFont="1" applyFill="1" applyAlignment="1">
      <alignment horizontal="right"/>
    </xf>
    <xf numFmtId="0" fontId="37" fillId="0" borderId="0" xfId="0" applyFont="1"/>
    <xf numFmtId="2" fontId="12" fillId="0" borderId="0" xfId="0" quotePrefix="1" applyNumberFormat="1" applyFont="1"/>
    <xf numFmtId="0" fontId="0" fillId="0" borderId="0" xfId="0" quotePrefix="1"/>
    <xf numFmtId="16" fontId="0" fillId="0" borderId="0" xfId="0" applyNumberFormat="1"/>
    <xf numFmtId="2" fontId="0" fillId="0" borderId="0" xfId="0" quotePrefix="1" applyNumberFormat="1"/>
    <xf numFmtId="2" fontId="0" fillId="0" borderId="0" xfId="0" applyNumberFormat="1" applyAlignment="1">
      <alignment horizontal="left"/>
    </xf>
    <xf numFmtId="2" fontId="35" fillId="0" borderId="0" xfId="0" applyNumberFormat="1" applyFont="1" applyAlignment="1">
      <alignment horizontal="left"/>
    </xf>
    <xf numFmtId="1" fontId="34" fillId="6" borderId="0" xfId="0" applyNumberFormat="1" applyFont="1" applyFill="1"/>
    <xf numFmtId="167" fontId="38" fillId="0" borderId="0" xfId="0" applyNumberFormat="1" applyFont="1"/>
    <xf numFmtId="2" fontId="2" fillId="0" borderId="0" xfId="0" applyNumberFormat="1" applyFont="1" applyAlignment="1">
      <alignment horizontal="left"/>
    </xf>
    <xf numFmtId="0" fontId="39" fillId="0" borderId="0" xfId="0" applyFont="1"/>
    <xf numFmtId="0" fontId="36" fillId="0" borderId="0" xfId="0" applyFont="1" applyAlignment="1">
      <alignment horizontal="left"/>
    </xf>
    <xf numFmtId="1" fontId="39" fillId="0" borderId="0" xfId="0" applyNumberFormat="1" applyFont="1"/>
    <xf numFmtId="167" fontId="39" fillId="0" borderId="0" xfId="0" applyNumberFormat="1" applyFont="1"/>
    <xf numFmtId="2" fontId="39" fillId="0" borderId="0" xfId="0" applyNumberFormat="1" applyFont="1" applyAlignment="1">
      <alignment horizontal="center"/>
    </xf>
    <xf numFmtId="168" fontId="39" fillId="0" borderId="0" xfId="0" applyNumberFormat="1" applyFont="1" applyAlignment="1">
      <alignment horizontal="right"/>
    </xf>
    <xf numFmtId="169" fontId="39" fillId="0" borderId="0" xfId="0" applyNumberFormat="1" applyFont="1"/>
    <xf numFmtId="0" fontId="0" fillId="0" borderId="0" xfId="0" applyAlignment="1">
      <alignment wrapText="1"/>
    </xf>
    <xf numFmtId="0" fontId="35" fillId="0" borderId="0" xfId="0" applyFont="1"/>
    <xf numFmtId="0" fontId="18" fillId="0" borderId="0" xfId="0" applyFont="1" applyAlignment="1">
      <alignment horizontal="right"/>
    </xf>
    <xf numFmtId="0" fontId="37" fillId="7" borderId="0" xfId="0" applyFont="1" applyFill="1"/>
    <xf numFmtId="1" fontId="5" fillId="7" borderId="0" xfId="0" applyNumberFormat="1" applyFont="1" applyFill="1"/>
    <xf numFmtId="14" fontId="0" fillId="0" borderId="0" xfId="0" applyNumberFormat="1"/>
    <xf numFmtId="167" fontId="18" fillId="0" borderId="0" xfId="0" applyNumberFormat="1" applyFont="1"/>
    <xf numFmtId="0" fontId="18" fillId="0" borderId="0" xfId="0" applyFont="1" applyAlignment="1">
      <alignment horizontal="left"/>
    </xf>
    <xf numFmtId="1" fontId="18" fillId="0" borderId="0" xfId="0" applyNumberFormat="1" applyFont="1"/>
    <xf numFmtId="167" fontId="37" fillId="0" borderId="0" xfId="0" applyNumberFormat="1" applyFont="1"/>
    <xf numFmtId="1" fontId="37" fillId="0" borderId="0" xfId="0" applyNumberFormat="1" applyFont="1"/>
    <xf numFmtId="1" fontId="18" fillId="0" borderId="0" xfId="0" applyNumberFormat="1" applyFont="1" applyAlignment="1">
      <alignment horizontal="left"/>
    </xf>
    <xf numFmtId="1" fontId="18" fillId="0" borderId="0" xfId="0" applyNumberFormat="1" applyFont="1" applyAlignment="1">
      <alignment horizontal="right"/>
    </xf>
    <xf numFmtId="1" fontId="37" fillId="0" borderId="0" xfId="0" applyNumberFormat="1" applyFont="1" applyAlignment="1">
      <alignment horizontal="left"/>
    </xf>
    <xf numFmtId="0" fontId="40" fillId="0" borderId="0" xfId="0" applyFont="1"/>
    <xf numFmtId="1" fontId="40" fillId="0" borderId="0" xfId="0" applyNumberFormat="1" applyFont="1"/>
    <xf numFmtId="2" fontId="5" fillId="0" borderId="0" xfId="0" applyNumberFormat="1" applyFont="1"/>
    <xf numFmtId="0" fontId="1" fillId="7" borderId="0" xfId="0" applyFont="1" applyFill="1"/>
    <xf numFmtId="2" fontId="5" fillId="7" borderId="0" xfId="0" applyNumberFormat="1" applyFont="1" applyFill="1"/>
    <xf numFmtId="1" fontId="37" fillId="7" borderId="0" xfId="0" applyNumberFormat="1" applyFont="1" applyFill="1"/>
    <xf numFmtId="2" fontId="37" fillId="7" borderId="0" xfId="0" applyNumberFormat="1" applyFont="1" applyFill="1" applyAlignment="1">
      <alignment horizontal="center"/>
    </xf>
    <xf numFmtId="167" fontId="37" fillId="7" borderId="0" xfId="0" applyNumberFormat="1" applyFont="1" applyFill="1"/>
    <xf numFmtId="168" fontId="37" fillId="7" borderId="0" xfId="0" applyNumberFormat="1" applyFont="1" applyFill="1" applyAlignment="1">
      <alignment horizontal="right"/>
    </xf>
    <xf numFmtId="15" fontId="37" fillId="7" borderId="0" xfId="0" applyNumberFormat="1" applyFont="1" applyFill="1"/>
    <xf numFmtId="1" fontId="37" fillId="5" borderId="0" xfId="0" applyNumberFormat="1" applyFont="1" applyFill="1"/>
    <xf numFmtId="164" fontId="37" fillId="5" borderId="0" xfId="0" applyNumberFormat="1" applyFont="1" applyFill="1"/>
    <xf numFmtId="164" fontId="37" fillId="7" borderId="0" xfId="0" applyNumberFormat="1" applyFont="1" applyFill="1"/>
    <xf numFmtId="2" fontId="37" fillId="7" borderId="0" xfId="0" applyNumberFormat="1" applyFont="1" applyFill="1" applyAlignment="1">
      <alignment horizontal="left"/>
    </xf>
    <xf numFmtId="2" fontId="1" fillId="7" borderId="0" xfId="0" applyNumberFormat="1" applyFont="1" applyFill="1"/>
    <xf numFmtId="0" fontId="41" fillId="8" borderId="0" xfId="0" applyFont="1" applyFill="1"/>
    <xf numFmtId="2" fontId="41" fillId="8" borderId="0" xfId="0" applyNumberFormat="1" applyFont="1" applyFill="1"/>
    <xf numFmtId="167" fontId="41" fillId="8" borderId="0" xfId="0" applyNumberFormat="1" applyFont="1" applyFill="1"/>
    <xf numFmtId="167" fontId="41" fillId="8" borderId="0" xfId="0" applyNumberFormat="1" applyFont="1" applyFill="1" applyAlignment="1">
      <alignment horizontal="center"/>
    </xf>
    <xf numFmtId="14" fontId="41" fillId="8" borderId="0" xfId="0" applyNumberFormat="1" applyFont="1" applyFill="1"/>
    <xf numFmtId="2" fontId="41" fillId="8" borderId="4" xfId="0" applyNumberFormat="1" applyFont="1" applyFill="1" applyBorder="1"/>
    <xf numFmtId="14" fontId="18" fillId="8" borderId="0" xfId="0" applyNumberFormat="1" applyFont="1" applyFill="1"/>
    <xf numFmtId="167" fontId="18" fillId="8" borderId="0" xfId="0" applyNumberFormat="1" applyFont="1" applyFill="1" applyAlignment="1">
      <alignment horizontal="center"/>
    </xf>
    <xf numFmtId="0" fontId="41" fillId="8" borderId="4" xfId="0" applyFont="1" applyFill="1" applyBorder="1"/>
    <xf numFmtId="167" fontId="41" fillId="8" borderId="0" xfId="0" quotePrefix="1" applyNumberFormat="1" applyFont="1" applyFill="1"/>
    <xf numFmtId="0" fontId="41" fillId="0" borderId="0" xfId="0" applyFont="1"/>
    <xf numFmtId="14" fontId="9" fillId="0" borderId="0" xfId="0" applyNumberFormat="1" applyFont="1"/>
    <xf numFmtId="170" fontId="0" fillId="0" borderId="0" xfId="0" applyNumberFormat="1"/>
    <xf numFmtId="0" fontId="43" fillId="0" borderId="0" xfId="0" applyFont="1"/>
    <xf numFmtId="0" fontId="42" fillId="0" borderId="0" xfId="0" applyFont="1"/>
    <xf numFmtId="10" fontId="41" fillId="0" borderId="0" xfId="1" applyNumberFormat="1" applyFont="1"/>
    <xf numFmtId="171" fontId="41" fillId="0" borderId="0" xfId="0" applyNumberFormat="1" applyFont="1"/>
    <xf numFmtId="171" fontId="43" fillId="0" borderId="0" xfId="0" applyNumberFormat="1" applyFont="1"/>
    <xf numFmtId="0" fontId="41" fillId="0" borderId="11" xfId="0" applyFont="1" applyBorder="1"/>
    <xf numFmtId="170" fontId="41" fillId="0" borderId="0" xfId="0" applyNumberFormat="1" applyFont="1"/>
    <xf numFmtId="0" fontId="18" fillId="0" borderId="11" xfId="0" applyFont="1" applyBorder="1"/>
    <xf numFmtId="0" fontId="0" fillId="0" borderId="11" xfId="0" applyBorder="1"/>
    <xf numFmtId="0" fontId="18" fillId="0" borderId="12" xfId="0" applyFont="1" applyBorder="1"/>
    <xf numFmtId="0" fontId="0" fillId="0" borderId="12" xfId="0" applyBorder="1"/>
    <xf numFmtId="170" fontId="41" fillId="0" borderId="11" xfId="0" applyNumberFormat="1" applyFont="1" applyBorder="1"/>
    <xf numFmtId="0" fontId="41" fillId="0" borderId="12" xfId="0" applyFont="1" applyBorder="1"/>
    <xf numFmtId="0" fontId="42" fillId="0" borderId="12" xfId="0" applyFont="1" applyBorder="1"/>
    <xf numFmtId="170" fontId="41" fillId="0" borderId="12" xfId="0" applyNumberFormat="1" applyFont="1" applyBorder="1"/>
    <xf numFmtId="0" fontId="3" fillId="0" borderId="11" xfId="0" applyFont="1" applyBorder="1"/>
    <xf numFmtId="2" fontId="37" fillId="7" borderId="0" xfId="0" applyNumberFormat="1" applyFont="1" applyFill="1"/>
    <xf numFmtId="1" fontId="37" fillId="7" borderId="0" xfId="0" applyNumberFormat="1" applyFont="1" applyFill="1" applyAlignment="1">
      <alignment horizontal="left"/>
    </xf>
    <xf numFmtId="0" fontId="1" fillId="7" borderId="0" xfId="0" applyFont="1" applyFill="1" applyAlignment="1">
      <alignment horizontal="left"/>
    </xf>
    <xf numFmtId="0" fontId="12" fillId="0" borderId="0" xfId="0" applyFont="1" applyAlignment="1">
      <alignment wrapText="1"/>
    </xf>
    <xf numFmtId="0" fontId="10" fillId="7" borderId="0" xfId="0" applyFont="1" applyFill="1"/>
    <xf numFmtId="0" fontId="18" fillId="7" borderId="0" xfId="0" applyFont="1" applyFill="1" applyAlignment="1">
      <alignment horizontal="left"/>
    </xf>
    <xf numFmtId="0" fontId="18" fillId="7" borderId="0" xfId="0" applyFont="1" applyFill="1"/>
    <xf numFmtId="2" fontId="10" fillId="0" borderId="0" xfId="0" applyNumberFormat="1" applyFont="1"/>
    <xf numFmtId="15" fontId="0" fillId="0" borderId="0" xfId="0" applyNumberFormat="1"/>
    <xf numFmtId="2" fontId="0" fillId="8" borderId="0" xfId="0" applyNumberFormat="1" applyFill="1"/>
    <xf numFmtId="2" fontId="45" fillId="0" borderId="0" xfId="0" applyNumberFormat="1" applyFont="1"/>
    <xf numFmtId="0" fontId="46" fillId="0" borderId="0" xfId="0" applyFont="1"/>
    <xf numFmtId="0" fontId="45" fillId="0" borderId="0" xfId="0" applyFont="1"/>
    <xf numFmtId="167" fontId="45" fillId="0" borderId="0" xfId="0" applyNumberFormat="1" applyFont="1"/>
    <xf numFmtId="15" fontId="18" fillId="0" borderId="0" xfId="0" applyNumberFormat="1" applyFont="1"/>
    <xf numFmtId="0" fontId="0" fillId="9" borderId="0" xfId="0" applyFill="1"/>
    <xf numFmtId="0" fontId="0" fillId="10" borderId="0" xfId="0" applyFill="1"/>
    <xf numFmtId="14" fontId="0" fillId="10" borderId="0" xfId="0" applyNumberFormat="1" applyFill="1"/>
    <xf numFmtId="1" fontId="0" fillId="10" borderId="0" xfId="0" applyNumberFormat="1" applyFill="1"/>
    <xf numFmtId="2" fontId="1" fillId="0" borderId="0" xfId="0" applyNumberFormat="1" applyFont="1"/>
    <xf numFmtId="14" fontId="1" fillId="0" borderId="0" xfId="0" applyNumberFormat="1" applyFont="1"/>
    <xf numFmtId="0" fontId="0" fillId="10" borderId="11" xfId="0" applyFill="1" applyBorder="1"/>
    <xf numFmtId="14" fontId="0" fillId="10" borderId="11" xfId="0" applyNumberFormat="1" applyFill="1" applyBorder="1"/>
    <xf numFmtId="1" fontId="0" fillId="10" borderId="11" xfId="0" applyNumberFormat="1" applyFill="1" applyBorder="1"/>
    <xf numFmtId="0" fontId="0" fillId="10" borderId="10" xfId="0" applyFill="1" applyBorder="1"/>
    <xf numFmtId="14" fontId="0" fillId="10" borderId="10" xfId="0" applyNumberFormat="1" applyFill="1" applyBorder="1"/>
    <xf numFmtId="1" fontId="0" fillId="10" borderId="10" xfId="0" applyNumberFormat="1" applyFill="1" applyBorder="1"/>
    <xf numFmtId="0" fontId="12" fillId="0" borderId="9" xfId="0" applyFont="1" applyBorder="1" applyAlignment="1">
      <alignment horizontal="center"/>
    </xf>
    <xf numFmtId="0" fontId="12" fillId="0" borderId="8" xfId="0" applyFont="1" applyBorder="1" applyAlignment="1">
      <alignment horizontal="center"/>
    </xf>
    <xf numFmtId="0" fontId="12" fillId="0" borderId="7" xfId="0" applyFont="1" applyBorder="1" applyAlignment="1">
      <alignment horizontal="center"/>
    </xf>
    <xf numFmtId="1" fontId="47" fillId="0" borderId="6" xfId="2" applyNumberFormat="1" applyFont="1" applyBorder="1" applyAlignment="1">
      <alignment horizontal="center" vertical="top"/>
    </xf>
    <xf numFmtId="2" fontId="47" fillId="0" borderId="5" xfId="2" applyNumberFormat="1" applyFont="1" applyBorder="1" applyAlignment="1">
      <alignment horizontal="center" vertical="top"/>
    </xf>
    <xf numFmtId="2" fontId="47" fillId="0" borderId="4" xfId="2" applyNumberFormat="1" applyFont="1" applyBorder="1" applyAlignment="1">
      <alignment horizontal="center" vertical="top"/>
    </xf>
    <xf numFmtId="0" fontId="0" fillId="0" borderId="0" xfId="0" applyAlignment="1">
      <alignment vertical="top"/>
    </xf>
    <xf numFmtId="2" fontId="0" fillId="0" borderId="11" xfId="0" applyNumberFormat="1" applyBorder="1" applyAlignment="1">
      <alignment vertical="top" wrapText="1"/>
    </xf>
    <xf numFmtId="2" fontId="0" fillId="0" borderId="0" xfId="0" applyNumberFormat="1" applyAlignment="1">
      <alignment vertical="top"/>
    </xf>
    <xf numFmtId="2" fontId="0" fillId="0" borderId="0" xfId="0" applyNumberFormat="1" applyAlignment="1">
      <alignment vertical="top" wrapText="1"/>
    </xf>
    <xf numFmtId="2" fontId="0" fillId="0" borderId="0" xfId="0" applyNumberFormat="1" applyAlignment="1">
      <alignment horizontal="center" vertical="top" wrapText="1"/>
    </xf>
    <xf numFmtId="0" fontId="0" fillId="0" borderId="11" xfId="0" applyBorder="1" applyAlignment="1">
      <alignment vertical="top" wrapText="1"/>
    </xf>
    <xf numFmtId="0" fontId="0" fillId="0" borderId="11" xfId="0" applyBorder="1" applyAlignment="1">
      <alignment vertical="top"/>
    </xf>
    <xf numFmtId="2" fontId="0" fillId="0" borderId="7" xfId="0" applyNumberFormat="1" applyBorder="1" applyAlignment="1">
      <alignment vertical="top" wrapText="1"/>
    </xf>
    <xf numFmtId="2" fontId="0" fillId="0" borderId="9" xfId="0" applyNumberFormat="1" applyBorder="1" applyAlignment="1">
      <alignment vertical="top"/>
    </xf>
    <xf numFmtId="0" fontId="12" fillId="0" borderId="4" xfId="0" applyFont="1" applyBorder="1" applyAlignment="1">
      <alignment horizontal="center"/>
    </xf>
    <xf numFmtId="1" fontId="47" fillId="11" borderId="6" xfId="2" applyNumberFormat="1" applyFont="1" applyFill="1" applyBorder="1" applyAlignment="1">
      <alignment horizontal="center" vertical="top"/>
    </xf>
    <xf numFmtId="2" fontId="47" fillId="11" borderId="5" xfId="2" applyNumberFormat="1" applyFont="1" applyFill="1" applyBorder="1" applyAlignment="1">
      <alignment horizontal="center" vertical="top"/>
    </xf>
    <xf numFmtId="2" fontId="47" fillId="11" borderId="4" xfId="2" applyNumberFormat="1" applyFont="1" applyFill="1" applyBorder="1" applyAlignment="1">
      <alignment horizontal="center" vertical="top"/>
    </xf>
    <xf numFmtId="0" fontId="0" fillId="11" borderId="0" xfId="0" applyFill="1"/>
    <xf numFmtId="1" fontId="47" fillId="12" borderId="6" xfId="2" applyNumberFormat="1" applyFont="1" applyFill="1" applyBorder="1" applyAlignment="1">
      <alignment horizontal="center" vertical="top"/>
    </xf>
    <xf numFmtId="2" fontId="47" fillId="12" borderId="5" xfId="2" applyNumberFormat="1" applyFont="1" applyFill="1" applyBorder="1" applyAlignment="1">
      <alignment horizontal="center" vertical="top"/>
    </xf>
    <xf numFmtId="2" fontId="47" fillId="12" borderId="4" xfId="2" applyNumberFormat="1" applyFont="1" applyFill="1" applyBorder="1" applyAlignment="1">
      <alignment horizontal="center" vertical="top"/>
    </xf>
    <xf numFmtId="0" fontId="0" fillId="12" borderId="0" xfId="0" applyFill="1"/>
    <xf numFmtId="1" fontId="47" fillId="13" borderId="6" xfId="2" applyNumberFormat="1" applyFont="1" applyFill="1" applyBorder="1" applyAlignment="1">
      <alignment horizontal="center" vertical="top"/>
    </xf>
    <xf numFmtId="2" fontId="47" fillId="13" borderId="5" xfId="2" applyNumberFormat="1" applyFont="1" applyFill="1" applyBorder="1" applyAlignment="1">
      <alignment horizontal="center" vertical="top"/>
    </xf>
    <xf numFmtId="2" fontId="47" fillId="13" borderId="4" xfId="2" applyNumberFormat="1" applyFont="1" applyFill="1" applyBorder="1" applyAlignment="1">
      <alignment horizontal="center" vertical="top"/>
    </xf>
    <xf numFmtId="0" fontId="0" fillId="13" borderId="0" xfId="0" applyFill="1"/>
    <xf numFmtId="1" fontId="47" fillId="14" borderId="6" xfId="2" applyNumberFormat="1" applyFont="1" applyFill="1" applyBorder="1" applyAlignment="1">
      <alignment horizontal="center" vertical="top"/>
    </xf>
    <xf numFmtId="2" fontId="47" fillId="14" borderId="5" xfId="2" applyNumberFormat="1" applyFont="1" applyFill="1" applyBorder="1" applyAlignment="1">
      <alignment horizontal="center" vertical="top"/>
    </xf>
    <xf numFmtId="2" fontId="47" fillId="14" borderId="4" xfId="2" applyNumberFormat="1" applyFont="1" applyFill="1" applyBorder="1" applyAlignment="1">
      <alignment horizontal="center" vertical="top"/>
    </xf>
    <xf numFmtId="0" fontId="0" fillId="14" borderId="0" xfId="0" applyFill="1"/>
    <xf numFmtId="1" fontId="47" fillId="15" borderId="6" xfId="2" applyNumberFormat="1" applyFont="1" applyFill="1" applyBorder="1" applyAlignment="1">
      <alignment horizontal="center" vertical="top"/>
    </xf>
    <xf numFmtId="2" fontId="47" fillId="15" borderId="5" xfId="2" applyNumberFormat="1" applyFont="1" applyFill="1" applyBorder="1" applyAlignment="1">
      <alignment horizontal="center" vertical="top"/>
    </xf>
    <xf numFmtId="2" fontId="47" fillId="15" borderId="4" xfId="2" applyNumberFormat="1" applyFont="1" applyFill="1" applyBorder="1" applyAlignment="1">
      <alignment horizontal="center" vertical="top"/>
    </xf>
    <xf numFmtId="0" fontId="0" fillId="15" borderId="0" xfId="0" applyFill="1"/>
    <xf numFmtId="1" fontId="47" fillId="16" borderId="6" xfId="2" applyNumberFormat="1" applyFont="1" applyFill="1" applyBorder="1" applyAlignment="1">
      <alignment horizontal="center" vertical="top"/>
    </xf>
    <xf numFmtId="2" fontId="47" fillId="16" borderId="5" xfId="2" applyNumberFormat="1" applyFont="1" applyFill="1" applyBorder="1" applyAlignment="1">
      <alignment horizontal="center" vertical="top"/>
    </xf>
    <xf numFmtId="2" fontId="47" fillId="16" borderId="4" xfId="2" applyNumberFormat="1" applyFont="1" applyFill="1" applyBorder="1" applyAlignment="1">
      <alignment horizontal="center" vertical="top"/>
    </xf>
    <xf numFmtId="0" fontId="0" fillId="16" borderId="0" xfId="0" applyFill="1"/>
    <xf numFmtId="0" fontId="1" fillId="16" borderId="0" xfId="0" applyFont="1" applyFill="1"/>
    <xf numFmtId="0" fontId="12" fillId="17" borderId="0" xfId="0" applyFont="1" applyFill="1"/>
    <xf numFmtId="170" fontId="45" fillId="0" borderId="0" xfId="0" applyNumberFormat="1" applyFont="1"/>
    <xf numFmtId="0" fontId="13" fillId="0" borderId="0" xfId="0" applyFont="1"/>
    <xf numFmtId="170" fontId="9" fillId="0" borderId="0" xfId="0" applyNumberFormat="1" applyFont="1"/>
    <xf numFmtId="1" fontId="47" fillId="3" borderId="6" xfId="2" applyNumberFormat="1" applyFont="1" applyFill="1" applyBorder="1" applyAlignment="1">
      <alignment horizontal="center" vertical="top"/>
    </xf>
    <xf numFmtId="2" fontId="47" fillId="3" borderId="5" xfId="2" applyNumberFormat="1" applyFont="1" applyFill="1" applyBorder="1" applyAlignment="1">
      <alignment horizontal="center" vertical="top"/>
    </xf>
    <xf numFmtId="2" fontId="50" fillId="3" borderId="5" xfId="2" applyNumberFormat="1" applyFont="1" applyFill="1" applyBorder="1" applyAlignment="1">
      <alignment horizontal="center" vertical="top"/>
    </xf>
    <xf numFmtId="2" fontId="47" fillId="3" borderId="4" xfId="2" applyNumberFormat="1" applyFont="1" applyFill="1" applyBorder="1" applyAlignment="1">
      <alignment horizontal="center" vertical="top"/>
    </xf>
    <xf numFmtId="0" fontId="0" fillId="3" borderId="0" xfId="0" applyFill="1"/>
    <xf numFmtId="0" fontId="51" fillId="0" borderId="0" xfId="3"/>
    <xf numFmtId="0" fontId="10" fillId="0" borderId="13" xfId="0" applyFont="1" applyBorder="1"/>
    <xf numFmtId="0" fontId="10" fillId="0" borderId="14" xfId="0" applyFont="1" applyBorder="1"/>
    <xf numFmtId="0" fontId="10" fillId="0" borderId="8" xfId="0" applyFont="1" applyBorder="1"/>
    <xf numFmtId="0" fontId="52" fillId="0" borderId="13" xfId="0" applyFont="1" applyBorder="1"/>
    <xf numFmtId="0" fontId="0" fillId="2" borderId="0" xfId="0" applyFill="1"/>
    <xf numFmtId="0" fontId="51" fillId="18" borderId="0" xfId="3" applyFill="1"/>
    <xf numFmtId="0" fontId="10" fillId="18" borderId="13" xfId="0" applyFont="1" applyFill="1" applyBorder="1"/>
    <xf numFmtId="0" fontId="10" fillId="18" borderId="0" xfId="0" applyFont="1" applyFill="1"/>
    <xf numFmtId="0" fontId="0" fillId="18" borderId="0" xfId="0" applyFill="1"/>
    <xf numFmtId="0" fontId="52" fillId="18" borderId="13" xfId="0" applyFont="1" applyFill="1" applyBorder="1"/>
    <xf numFmtId="0" fontId="10" fillId="18" borderId="14" xfId="0" applyFont="1" applyFill="1" applyBorder="1"/>
    <xf numFmtId="0" fontId="52" fillId="18" borderId="8" xfId="0" applyFont="1" applyFill="1" applyBorder="1"/>
    <xf numFmtId="0" fontId="10" fillId="18" borderId="8" xfId="0" applyFont="1" applyFill="1" applyBorder="1"/>
    <xf numFmtId="0" fontId="45" fillId="0" borderId="15" xfId="0" applyFont="1" applyBorder="1" applyAlignment="1">
      <alignment vertical="top"/>
    </xf>
    <xf numFmtId="0" fontId="0" fillId="0" borderId="16" xfId="0" applyBorder="1" applyAlignment="1">
      <alignment vertical="top"/>
    </xf>
    <xf numFmtId="0" fontId="0" fillId="0" borderId="17" xfId="0" applyBorder="1"/>
    <xf numFmtId="0" fontId="45" fillId="0" borderId="18" xfId="0" applyFont="1" applyBorder="1" applyAlignment="1">
      <alignment vertical="top" wrapText="1"/>
    </xf>
    <xf numFmtId="2" fontId="12" fillId="0" borderId="4" xfId="0" applyNumberFormat="1" applyFont="1" applyBorder="1" applyAlignment="1">
      <alignment vertical="top" wrapText="1"/>
    </xf>
    <xf numFmtId="0" fontId="45" fillId="0" borderId="0" xfId="0" applyFont="1" applyAlignment="1">
      <alignment vertical="center" wrapText="1"/>
    </xf>
    <xf numFmtId="0" fontId="45" fillId="0" borderId="19" xfId="0" applyFont="1" applyBorder="1" applyAlignment="1">
      <alignment wrapText="1"/>
    </xf>
    <xf numFmtId="0" fontId="3" fillId="0" borderId="18" xfId="0" applyFont="1" applyBorder="1" applyAlignment="1">
      <alignment vertical="top"/>
    </xf>
    <xf numFmtId="0" fontId="3" fillId="0" borderId="0" xfId="0" applyFont="1" applyAlignment="1">
      <alignment vertical="top"/>
    </xf>
    <xf numFmtId="2" fontId="9" fillId="0" borderId="0" xfId="0" applyNumberFormat="1" applyFont="1" applyAlignment="1">
      <alignment vertical="top"/>
    </xf>
    <xf numFmtId="2" fontId="9" fillId="0" borderId="19" xfId="0" applyNumberFormat="1" applyFont="1" applyBorder="1"/>
    <xf numFmtId="2" fontId="9" fillId="0" borderId="12" xfId="0" applyNumberFormat="1" applyFont="1" applyBorder="1"/>
    <xf numFmtId="2" fontId="9" fillId="0" borderId="21" xfId="0" applyNumberFormat="1" applyFont="1" applyBorder="1"/>
    <xf numFmtId="0" fontId="1" fillId="18" borderId="0" xfId="0" applyFont="1" applyFill="1"/>
    <xf numFmtId="0" fontId="1" fillId="3" borderId="0" xfId="0" applyFont="1" applyFill="1" applyAlignment="1">
      <alignment vertical="center" wrapText="1"/>
    </xf>
    <xf numFmtId="0" fontId="1" fillId="3" borderId="0" xfId="0" applyFont="1" applyFill="1" applyAlignment="1">
      <alignment vertical="center"/>
    </xf>
    <xf numFmtId="0" fontId="51" fillId="3" borderId="0" xfId="3" applyFill="1"/>
    <xf numFmtId="0" fontId="10" fillId="3" borderId="14" xfId="0" applyFont="1" applyFill="1" applyBorder="1"/>
    <xf numFmtId="0" fontId="10" fillId="3" borderId="13" xfId="0" applyFont="1" applyFill="1" applyBorder="1"/>
    <xf numFmtId="2" fontId="10" fillId="3" borderId="0" xfId="0" applyNumberFormat="1" applyFont="1" applyFill="1"/>
    <xf numFmtId="14" fontId="10" fillId="3" borderId="0" xfId="0" applyNumberFormat="1" applyFont="1" applyFill="1"/>
    <xf numFmtId="0" fontId="12" fillId="0" borderId="0" xfId="0" applyFont="1" applyAlignment="1">
      <alignment horizontal="center"/>
    </xf>
    <xf numFmtId="172" fontId="34" fillId="0" borderId="22" xfId="0" applyNumberFormat="1" applyFont="1" applyBorder="1"/>
    <xf numFmtId="1" fontId="53" fillId="0" borderId="6" xfId="2" applyNumberFormat="1" applyFont="1" applyBorder="1" applyAlignment="1">
      <alignment horizontal="center" vertical="top"/>
    </xf>
    <xf numFmtId="2" fontId="53" fillId="0" borderId="5" xfId="2" applyNumberFormat="1" applyFont="1" applyBorder="1" applyAlignment="1">
      <alignment horizontal="center" vertical="top"/>
    </xf>
    <xf numFmtId="2" fontId="53" fillId="0" borderId="4" xfId="2" applyNumberFormat="1" applyFont="1" applyBorder="1" applyAlignment="1">
      <alignment horizontal="center" vertical="top"/>
    </xf>
    <xf numFmtId="1" fontId="47" fillId="0" borderId="24" xfId="2" applyNumberFormat="1" applyFont="1" applyBorder="1" applyAlignment="1">
      <alignment horizontal="center" vertical="top"/>
    </xf>
    <xf numFmtId="2" fontId="47" fillId="0" borderId="14" xfId="2" applyNumberFormat="1" applyFont="1" applyBorder="1" applyAlignment="1">
      <alignment horizontal="center" vertical="top"/>
    </xf>
    <xf numFmtId="2" fontId="47" fillId="0" borderId="25" xfId="2" applyNumberFormat="1" applyFont="1" applyBorder="1" applyAlignment="1">
      <alignment horizontal="center" vertical="top"/>
    </xf>
    <xf numFmtId="0" fontId="0" fillId="0" borderId="23" xfId="0" applyBorder="1"/>
    <xf numFmtId="167" fontId="18" fillId="0" borderId="13" xfId="0" applyNumberFormat="1" applyFont="1" applyBorder="1"/>
    <xf numFmtId="0" fontId="0" fillId="0" borderId="13" xfId="0" applyBorder="1"/>
    <xf numFmtId="0" fontId="0" fillId="0" borderId="14" xfId="0" applyBorder="1"/>
    <xf numFmtId="0" fontId="0" fillId="0" borderId="8" xfId="0" applyBorder="1"/>
    <xf numFmtId="0" fontId="18" fillId="0" borderId="8" xfId="0" applyFont="1" applyBorder="1"/>
    <xf numFmtId="0" fontId="1" fillId="0" borderId="13" xfId="0" applyFont="1" applyBorder="1"/>
    <xf numFmtId="0" fontId="1" fillId="0" borderId="14" xfId="0" applyFont="1" applyBorder="1"/>
    <xf numFmtId="0" fontId="1" fillId="0" borderId="8" xfId="0" applyFont="1" applyBorder="1"/>
    <xf numFmtId="2" fontId="0" fillId="11" borderId="0" xfId="0" applyNumberFormat="1" applyFill="1"/>
    <xf numFmtId="2" fontId="0" fillId="12" borderId="0" xfId="0" applyNumberFormat="1" applyFill="1"/>
    <xf numFmtId="2" fontId="0" fillId="0" borderId="23" xfId="0" applyNumberFormat="1" applyBorder="1"/>
    <xf numFmtId="2" fontId="0" fillId="13" borderId="0" xfId="0" applyNumberFormat="1" applyFill="1"/>
    <xf numFmtId="2" fontId="0" fillId="14" borderId="0" xfId="0" applyNumberFormat="1" applyFill="1"/>
    <xf numFmtId="0" fontId="10" fillId="11" borderId="0" xfId="0" applyFont="1" applyFill="1"/>
    <xf numFmtId="0" fontId="45" fillId="19" borderId="0" xfId="0" applyFont="1" applyFill="1"/>
    <xf numFmtId="0" fontId="0" fillId="19" borderId="0" xfId="0" applyFill="1"/>
    <xf numFmtId="173" fontId="0" fillId="0" borderId="0" xfId="0" applyNumberFormat="1" applyAlignment="1">
      <alignment vertical="top"/>
    </xf>
    <xf numFmtId="1" fontId="0" fillId="0" borderId="0" xfId="0" applyNumberFormat="1" applyAlignment="1">
      <alignment vertical="top"/>
    </xf>
    <xf numFmtId="173" fontId="0" fillId="0" borderId="11" xfId="0" applyNumberFormat="1" applyBorder="1" applyAlignment="1">
      <alignment vertical="top" wrapText="1"/>
    </xf>
    <xf numFmtId="1" fontId="0" fillId="0" borderId="11" xfId="0" applyNumberFormat="1" applyBorder="1" applyAlignment="1">
      <alignment vertical="top" wrapText="1"/>
    </xf>
    <xf numFmtId="2" fontId="0" fillId="3" borderId="9" xfId="0" applyNumberFormat="1" applyFill="1" applyBorder="1" applyAlignment="1">
      <alignment vertical="top" wrapText="1"/>
    </xf>
    <xf numFmtId="0" fontId="0" fillId="20" borderId="0" xfId="0" applyFill="1"/>
    <xf numFmtId="2" fontId="0" fillId="20" borderId="0" xfId="0" applyNumberFormat="1" applyFill="1"/>
    <xf numFmtId="173" fontId="0" fillId="0" borderId="0" xfId="0" applyNumberFormat="1"/>
    <xf numFmtId="0" fontId="45" fillId="0" borderId="0" xfId="0" applyFont="1" applyAlignment="1">
      <alignment wrapText="1"/>
    </xf>
    <xf numFmtId="2" fontId="9" fillId="0" borderId="0" xfId="0" applyNumberFormat="1" applyFont="1"/>
    <xf numFmtId="173" fontId="10" fillId="0" borderId="0" xfId="0" applyNumberFormat="1" applyFont="1"/>
    <xf numFmtId="171" fontId="1" fillId="0" borderId="0" xfId="0" applyNumberFormat="1" applyFont="1"/>
    <xf numFmtId="0" fontId="10" fillId="0" borderId="26" xfId="0" applyFont="1" applyBorder="1"/>
    <xf numFmtId="0" fontId="10" fillId="0" borderId="9" xfId="0" applyFont="1" applyBorder="1"/>
    <xf numFmtId="0" fontId="52" fillId="0" borderId="0" xfId="0" applyFont="1"/>
    <xf numFmtId="0" fontId="1" fillId="18" borderId="13" xfId="0" applyFont="1" applyFill="1" applyBorder="1"/>
    <xf numFmtId="0" fontId="10" fillId="18" borderId="26" xfId="0" applyFont="1" applyFill="1" applyBorder="1"/>
    <xf numFmtId="0" fontId="1" fillId="18" borderId="14" xfId="0" applyFont="1" applyFill="1" applyBorder="1"/>
    <xf numFmtId="0" fontId="10" fillId="18" borderId="24" xfId="0" applyFont="1" applyFill="1" applyBorder="1"/>
    <xf numFmtId="0" fontId="1" fillId="18" borderId="8" xfId="0" applyFont="1" applyFill="1" applyBorder="1"/>
    <xf numFmtId="0" fontId="10" fillId="3" borderId="26" xfId="0" applyFont="1" applyFill="1" applyBorder="1"/>
    <xf numFmtId="0" fontId="54" fillId="0" borderId="0" xfId="0" applyFont="1"/>
    <xf numFmtId="0" fontId="10" fillId="21" borderId="24" xfId="0" applyFont="1" applyFill="1" applyBorder="1"/>
    <xf numFmtId="0" fontId="10" fillId="21" borderId="14" xfId="0" applyFont="1" applyFill="1" applyBorder="1"/>
    <xf numFmtId="0" fontId="10" fillId="21" borderId="13" xfId="0" applyFont="1" applyFill="1" applyBorder="1"/>
    <xf numFmtId="0" fontId="10" fillId="10" borderId="0" xfId="0" applyFont="1" applyFill="1"/>
    <xf numFmtId="0" fontId="0" fillId="21" borderId="0" xfId="0" applyFill="1"/>
    <xf numFmtId="10" fontId="26" fillId="3" borderId="0" xfId="1" applyNumberFormat="1" applyFont="1" applyFill="1"/>
    <xf numFmtId="2" fontId="0" fillId="21" borderId="0" xfId="0" applyNumberFormat="1" applyFill="1"/>
    <xf numFmtId="0" fontId="0" fillId="21" borderId="11" xfId="0" applyFill="1" applyBorder="1"/>
    <xf numFmtId="0" fontId="0" fillId="21" borderId="10" xfId="0" applyFill="1" applyBorder="1"/>
    <xf numFmtId="2" fontId="2" fillId="21" borderId="0" xfId="0" applyNumberFormat="1" applyFont="1" applyFill="1"/>
    <xf numFmtId="0" fontId="0" fillId="21" borderId="13" xfId="0" applyFill="1" applyBorder="1"/>
    <xf numFmtId="172" fontId="18" fillId="21" borderId="13" xfId="0" applyNumberFormat="1" applyFont="1" applyFill="1" applyBorder="1"/>
    <xf numFmtId="0" fontId="0" fillId="21" borderId="14" xfId="0" applyFill="1" applyBorder="1"/>
    <xf numFmtId="0" fontId="12" fillId="21" borderId="0" xfId="0" applyFont="1" applyFill="1"/>
    <xf numFmtId="2" fontId="10" fillId="21" borderId="0" xfId="0" applyNumberFormat="1" applyFont="1" applyFill="1"/>
    <xf numFmtId="0" fontId="1" fillId="19" borderId="0" xfId="0" applyFont="1" applyFill="1"/>
    <xf numFmtId="173" fontId="1" fillId="0" borderId="0" xfId="0" applyNumberFormat="1" applyFont="1"/>
    <xf numFmtId="0" fontId="55" fillId="0" borderId="0" xfId="0" applyFont="1"/>
    <xf numFmtId="2" fontId="55" fillId="0" borderId="0" xfId="0" applyNumberFormat="1" applyFont="1"/>
    <xf numFmtId="0" fontId="12" fillId="16" borderId="0" xfId="0" applyFont="1" applyFill="1"/>
    <xf numFmtId="1" fontId="56" fillId="16" borderId="6" xfId="2" applyNumberFormat="1" applyFont="1" applyFill="1" applyBorder="1" applyAlignment="1">
      <alignment horizontal="center" vertical="top"/>
    </xf>
    <xf numFmtId="2" fontId="56" fillId="16" borderId="5" xfId="2" applyNumberFormat="1" applyFont="1" applyFill="1" applyBorder="1" applyAlignment="1">
      <alignment horizontal="center" vertical="top"/>
    </xf>
    <xf numFmtId="2" fontId="56" fillId="16" borderId="4" xfId="2" applyNumberFormat="1" applyFont="1" applyFill="1" applyBorder="1" applyAlignment="1">
      <alignment horizontal="center" vertical="top"/>
    </xf>
    <xf numFmtId="14" fontId="0" fillId="11" borderId="0" xfId="0" applyNumberFormat="1" applyFill="1"/>
    <xf numFmtId="14" fontId="0" fillId="15" borderId="0" xfId="0" applyNumberFormat="1" applyFill="1"/>
    <xf numFmtId="14" fontId="0" fillId="22" borderId="0" xfId="0" applyNumberFormat="1" applyFill="1"/>
    <xf numFmtId="0" fontId="0" fillId="22" borderId="0" xfId="0" applyFill="1"/>
    <xf numFmtId="14" fontId="0" fillId="23" borderId="0" xfId="0" applyNumberFormat="1" applyFill="1"/>
    <xf numFmtId="0" fontId="0" fillId="23" borderId="0" xfId="0" applyFill="1"/>
    <xf numFmtId="14" fontId="0" fillId="11" borderId="11" xfId="0" applyNumberFormat="1" applyFill="1" applyBorder="1"/>
    <xf numFmtId="0" fontId="9" fillId="0" borderId="0" xfId="0" applyFont="1" applyAlignment="1">
      <alignment wrapText="1"/>
    </xf>
    <xf numFmtId="0" fontId="10" fillId="0" borderId="12" xfId="0" applyFont="1" applyBorder="1"/>
    <xf numFmtId="0" fontId="1" fillId="0" borderId="12" xfId="0" applyFont="1" applyBorder="1"/>
    <xf numFmtId="0" fontId="10" fillId="24" borderId="0" xfId="0" applyFont="1" applyFill="1"/>
    <xf numFmtId="2" fontId="10" fillId="24" borderId="0" xfId="0" applyNumberFormat="1" applyFont="1" applyFill="1"/>
    <xf numFmtId="0" fontId="26" fillId="24" borderId="0" xfId="0" applyFont="1" applyFill="1"/>
    <xf numFmtId="14" fontId="10" fillId="24" borderId="0" xfId="0" applyNumberFormat="1" applyFont="1" applyFill="1"/>
    <xf numFmtId="14" fontId="26" fillId="0" borderId="0" xfId="0" applyNumberFormat="1" applyFont="1"/>
    <xf numFmtId="1" fontId="10" fillId="0" borderId="0" xfId="0" applyNumberFormat="1" applyFont="1"/>
    <xf numFmtId="167" fontId="10" fillId="0" borderId="0" xfId="0" applyNumberFormat="1" applyFont="1"/>
    <xf numFmtId="167" fontId="26" fillId="3" borderId="0" xfId="0" applyNumberFormat="1" applyFont="1" applyFill="1"/>
    <xf numFmtId="170" fontId="1" fillId="0" borderId="0" xfId="0" applyNumberFormat="1" applyFont="1"/>
    <xf numFmtId="1" fontId="10" fillId="0" borderId="12" xfId="0" applyNumberFormat="1" applyFont="1" applyBorder="1"/>
    <xf numFmtId="2" fontId="10" fillId="0" borderId="12" xfId="0" applyNumberFormat="1" applyFont="1" applyBorder="1"/>
    <xf numFmtId="167" fontId="10" fillId="0" borderId="12" xfId="0" applyNumberFormat="1" applyFont="1" applyBorder="1"/>
    <xf numFmtId="14" fontId="10" fillId="0" borderId="12" xfId="0" applyNumberFormat="1" applyFont="1" applyBorder="1"/>
    <xf numFmtId="167" fontId="26" fillId="3" borderId="12" xfId="0" applyNumberFormat="1" applyFont="1" applyFill="1" applyBorder="1"/>
    <xf numFmtId="0" fontId="18" fillId="0" borderId="0" xfId="3" applyFont="1" applyAlignment="1">
      <alignment horizontal="left" vertical="center" wrapText="1"/>
    </xf>
    <xf numFmtId="167" fontId="1" fillId="0" borderId="0" xfId="0" applyNumberFormat="1" applyFont="1"/>
    <xf numFmtId="0" fontId="10" fillId="25" borderId="0" xfId="0" applyFont="1" applyFill="1"/>
    <xf numFmtId="1" fontId="10" fillId="25" borderId="0" xfId="0" applyNumberFormat="1" applyFont="1" applyFill="1"/>
    <xf numFmtId="2" fontId="10" fillId="25" borderId="0" xfId="0" applyNumberFormat="1" applyFont="1" applyFill="1"/>
    <xf numFmtId="167" fontId="10" fillId="25" borderId="0" xfId="0" applyNumberFormat="1" applyFont="1" applyFill="1"/>
    <xf numFmtId="14" fontId="10" fillId="25" borderId="0" xfId="0" applyNumberFormat="1" applyFont="1" applyFill="1"/>
    <xf numFmtId="0" fontId="0" fillId="25" borderId="0" xfId="0" applyFill="1"/>
    <xf numFmtId="1" fontId="10" fillId="10" borderId="0" xfId="0" applyNumberFormat="1" applyFont="1" applyFill="1"/>
    <xf numFmtId="2" fontId="10" fillId="10" borderId="0" xfId="0" applyNumberFormat="1" applyFont="1" applyFill="1"/>
    <xf numFmtId="167" fontId="10" fillId="10" borderId="0" xfId="0" applyNumberFormat="1" applyFont="1" applyFill="1"/>
    <xf numFmtId="170" fontId="10" fillId="10" borderId="0" xfId="0" applyNumberFormat="1" applyFont="1" applyFill="1"/>
    <xf numFmtId="14" fontId="10" fillId="10" borderId="0" xfId="0" applyNumberFormat="1" applyFont="1" applyFill="1"/>
    <xf numFmtId="171" fontId="10" fillId="10" borderId="0" xfId="0" applyNumberFormat="1" applyFont="1" applyFill="1"/>
    <xf numFmtId="1" fontId="26" fillId="0" borderId="0" xfId="0" applyNumberFormat="1" applyFont="1"/>
    <xf numFmtId="174" fontId="26" fillId="0" borderId="0" xfId="0" applyNumberFormat="1" applyFont="1"/>
    <xf numFmtId="0" fontId="26" fillId="0" borderId="0" xfId="0" applyFont="1" applyAlignment="1">
      <alignment horizontal="center" vertical="center"/>
    </xf>
    <xf numFmtId="174" fontId="26" fillId="0" borderId="0" xfId="0" applyNumberFormat="1" applyFont="1" applyAlignment="1">
      <alignment horizontal="left"/>
    </xf>
    <xf numFmtId="1" fontId="26" fillId="0" borderId="0" xfId="0" applyNumberFormat="1" applyFont="1" applyAlignment="1">
      <alignment horizontal="left"/>
    </xf>
    <xf numFmtId="167" fontId="26" fillId="0" borderId="0" xfId="0" applyNumberFormat="1" applyFont="1" applyAlignment="1">
      <alignment horizontal="center"/>
    </xf>
    <xf numFmtId="14" fontId="2" fillId="0" borderId="0" xfId="0" applyNumberFormat="1" applyFont="1" applyAlignment="1">
      <alignment horizontal="left"/>
    </xf>
    <xf numFmtId="0" fontId="26" fillId="0" borderId="0" xfId="0" applyFont="1" applyAlignment="1">
      <alignment horizontal="center"/>
    </xf>
    <xf numFmtId="0" fontId="10" fillId="0" borderId="0" xfId="0" applyFont="1" applyAlignment="1">
      <alignment horizontal="left"/>
    </xf>
    <xf numFmtId="1" fontId="10" fillId="0" borderId="0" xfId="0" applyNumberFormat="1" applyFont="1" applyAlignment="1">
      <alignment horizontal="left"/>
    </xf>
    <xf numFmtId="174" fontId="10" fillId="0" borderId="0" xfId="0" applyNumberFormat="1" applyFont="1" applyAlignment="1">
      <alignment horizontal="left"/>
    </xf>
    <xf numFmtId="0" fontId="10" fillId="0" borderId="0" xfId="0" applyFont="1" applyAlignment="1">
      <alignment horizontal="left" vertical="center"/>
    </xf>
    <xf numFmtId="167" fontId="31" fillId="0" borderId="0" xfId="0" applyNumberFormat="1" applyFont="1" applyAlignment="1">
      <alignment horizontal="left"/>
    </xf>
    <xf numFmtId="14" fontId="18" fillId="0" borderId="0" xfId="0" applyNumberFormat="1" applyFont="1" applyAlignment="1">
      <alignment horizontal="left"/>
    </xf>
    <xf numFmtId="0" fontId="31" fillId="0" borderId="0" xfId="0" applyFont="1" applyAlignment="1">
      <alignment horizontal="left"/>
    </xf>
    <xf numFmtId="0" fontId="57" fillId="0" borderId="0" xfId="2" applyFont="1" applyAlignment="1">
      <alignment horizontal="left"/>
    </xf>
    <xf numFmtId="0" fontId="59" fillId="0" borderId="0" xfId="4" applyFont="1" applyFill="1"/>
    <xf numFmtId="1" fontId="10" fillId="3" borderId="0" xfId="0" applyNumberFormat="1" applyFont="1" applyFill="1" applyAlignment="1">
      <alignment horizontal="left"/>
    </xf>
    <xf numFmtId="0" fontId="3" fillId="0" borderId="0" xfId="0" applyFont="1" applyAlignment="1">
      <alignment horizontal="left"/>
    </xf>
    <xf numFmtId="1" fontId="31" fillId="0" borderId="0" xfId="0" applyNumberFormat="1" applyFont="1" applyAlignment="1">
      <alignment horizontal="left"/>
    </xf>
    <xf numFmtId="0" fontId="41" fillId="0" borderId="0" xfId="4" applyFont="1" applyFill="1"/>
    <xf numFmtId="0" fontId="31" fillId="0" borderId="0" xfId="0" quotePrefix="1" applyFont="1" applyAlignment="1">
      <alignment horizontal="left"/>
    </xf>
    <xf numFmtId="0" fontId="3" fillId="3" borderId="0" xfId="0" applyFont="1" applyFill="1" applyAlignment="1">
      <alignment horizontal="left"/>
    </xf>
    <xf numFmtId="174" fontId="3" fillId="0" borderId="0" xfId="0" applyNumberFormat="1" applyFont="1" applyAlignment="1">
      <alignment horizontal="left"/>
    </xf>
    <xf numFmtId="10" fontId="31" fillId="0" borderId="0" xfId="0" applyNumberFormat="1" applyFont="1" applyAlignment="1">
      <alignment horizontal="right"/>
    </xf>
    <xf numFmtId="175" fontId="31" fillId="0" borderId="0" xfId="1" applyNumberFormat="1" applyFont="1" applyFill="1" applyAlignment="1">
      <alignment horizontal="left"/>
    </xf>
    <xf numFmtId="2" fontId="31" fillId="0" borderId="0" xfId="0" applyNumberFormat="1" applyFont="1" applyAlignment="1">
      <alignment horizontal="left"/>
    </xf>
    <xf numFmtId="175" fontId="31" fillId="0" borderId="0" xfId="0" applyNumberFormat="1" applyFont="1" applyAlignment="1">
      <alignment horizontal="left"/>
    </xf>
    <xf numFmtId="0" fontId="18" fillId="0" borderId="0" xfId="0" applyFont="1" applyAlignment="1">
      <alignment horizontal="left" vertical="center"/>
    </xf>
    <xf numFmtId="0" fontId="10" fillId="3" borderId="0" xfId="0" applyFont="1" applyFill="1" applyAlignment="1">
      <alignment horizontal="left"/>
    </xf>
    <xf numFmtId="167" fontId="3" fillId="3" borderId="0" xfId="0" applyNumberFormat="1" applyFont="1" applyFill="1"/>
    <xf numFmtId="167" fontId="10" fillId="3" borderId="0" xfId="0" applyNumberFormat="1" applyFont="1" applyFill="1"/>
    <xf numFmtId="167" fontId="3" fillId="0" borderId="0" xfId="0" applyNumberFormat="1" applyFont="1"/>
    <xf numFmtId="1" fontId="3" fillId="0" borderId="0" xfId="0" applyNumberFormat="1" applyFont="1"/>
    <xf numFmtId="0" fontId="12" fillId="0" borderId="11" xfId="0" applyFont="1" applyBorder="1"/>
    <xf numFmtId="14" fontId="12" fillId="11" borderId="0" xfId="0" applyNumberFormat="1" applyFont="1" applyFill="1"/>
    <xf numFmtId="14" fontId="12" fillId="11" borderId="11" xfId="0" applyNumberFormat="1" applyFont="1" applyFill="1" applyBorder="1"/>
    <xf numFmtId="170" fontId="10" fillId="0" borderId="0" xfId="0" applyNumberFormat="1" applyFont="1"/>
    <xf numFmtId="164" fontId="37" fillId="0" borderId="0" xfId="0" applyNumberFormat="1" applyFont="1"/>
    <xf numFmtId="1" fontId="5" fillId="0" borderId="0" xfId="0" applyNumberFormat="1" applyFont="1"/>
    <xf numFmtId="167" fontId="39" fillId="0" borderId="0" xfId="0" quotePrefix="1" applyNumberFormat="1" applyFont="1"/>
    <xf numFmtId="164" fontId="40" fillId="0" borderId="0" xfId="0" applyNumberFormat="1" applyFont="1"/>
    <xf numFmtId="176" fontId="10" fillId="0" borderId="0" xfId="0" applyNumberFormat="1" applyFont="1"/>
    <xf numFmtId="0" fontId="1" fillId="0" borderId="1" xfId="0" applyFont="1" applyBorder="1"/>
    <xf numFmtId="0" fontId="1" fillId="0" borderId="10" xfId="0" applyFont="1" applyBorder="1"/>
    <xf numFmtId="14" fontId="1" fillId="11" borderId="10" xfId="0" applyNumberFormat="1" applyFont="1" applyFill="1" applyBorder="1"/>
    <xf numFmtId="0" fontId="1" fillId="0" borderId="3" xfId="0" applyFont="1" applyBorder="1"/>
    <xf numFmtId="0" fontId="1" fillId="0" borderId="4" xfId="0" applyFont="1" applyBorder="1"/>
    <xf numFmtId="14" fontId="1" fillId="11" borderId="0" xfId="0" applyNumberFormat="1" applyFont="1" applyFill="1"/>
    <xf numFmtId="0" fontId="0" fillId="0" borderId="6" xfId="0" applyBorder="1"/>
    <xf numFmtId="0" fontId="0" fillId="0" borderId="4" xfId="0" applyBorder="1"/>
    <xf numFmtId="0" fontId="1" fillId="0" borderId="6" xfId="0" applyFont="1" applyBorder="1"/>
    <xf numFmtId="0" fontId="0" fillId="0" borderId="7" xfId="0" applyBorder="1"/>
    <xf numFmtId="0" fontId="0" fillId="0" borderId="9" xfId="0" applyBorder="1"/>
    <xf numFmtId="0" fontId="0" fillId="0" borderId="1" xfId="0" applyBorder="1"/>
    <xf numFmtId="0" fontId="0" fillId="0" borderId="10" xfId="0" applyBorder="1"/>
    <xf numFmtId="14" fontId="0" fillId="11" borderId="10" xfId="0" applyNumberFormat="1" applyFill="1" applyBorder="1"/>
    <xf numFmtId="0" fontId="0" fillId="0" borderId="3" xfId="0" applyBorder="1"/>
    <xf numFmtId="0" fontId="10" fillId="0" borderId="7" xfId="0" applyFont="1" applyBorder="1"/>
    <xf numFmtId="0" fontId="10" fillId="0" borderId="11" xfId="0" applyFont="1" applyBorder="1"/>
    <xf numFmtId="0" fontId="1" fillId="0" borderId="9" xfId="0" applyFont="1" applyBorder="1"/>
    <xf numFmtId="14" fontId="0" fillId="11" borderId="3" xfId="0" applyNumberFormat="1" applyFill="1" applyBorder="1"/>
    <xf numFmtId="14" fontId="0" fillId="11" borderId="9" xfId="0" applyNumberFormat="1" applyFill="1" applyBorder="1"/>
    <xf numFmtId="14" fontId="0" fillId="11" borderId="6" xfId="0" applyNumberFormat="1" applyFill="1" applyBorder="1"/>
    <xf numFmtId="14" fontId="0" fillId="15" borderId="10" xfId="0" applyNumberFormat="1" applyFill="1" applyBorder="1"/>
    <xf numFmtId="14" fontId="12" fillId="0" borderId="0" xfId="0" applyNumberFormat="1" applyFont="1"/>
    <xf numFmtId="14" fontId="0" fillId="12" borderId="0" xfId="0" applyNumberFormat="1" applyFill="1"/>
    <xf numFmtId="14" fontId="0" fillId="0" borderId="23" xfId="0" applyNumberFormat="1" applyBorder="1"/>
    <xf numFmtId="14" fontId="0" fillId="13" borderId="0" xfId="0" applyNumberFormat="1" applyFill="1"/>
    <xf numFmtId="14" fontId="0" fillId="14" borderId="0" xfId="0" applyNumberFormat="1" applyFill="1"/>
    <xf numFmtId="14" fontId="0" fillId="16" borderId="0" xfId="0" applyNumberFormat="1" applyFill="1"/>
    <xf numFmtId="0" fontId="18" fillId="0" borderId="13" xfId="0" applyFont="1" applyBorder="1"/>
    <xf numFmtId="0" fontId="18" fillId="0" borderId="13" xfId="0" applyFont="1" applyBorder="1" applyAlignment="1">
      <alignment horizontal="center"/>
    </xf>
    <xf numFmtId="0" fontId="0" fillId="0" borderId="13" xfId="0" applyBorder="1" applyAlignment="1">
      <alignment horizontal="center"/>
    </xf>
    <xf numFmtId="0" fontId="35" fillId="0" borderId="13" xfId="0" applyFont="1" applyBorder="1"/>
    <xf numFmtId="0" fontId="18" fillId="0" borderId="14" xfId="0" applyFont="1" applyBorder="1"/>
    <xf numFmtId="0" fontId="0" fillId="0" borderId="14" xfId="0" applyBorder="1" applyAlignment="1">
      <alignment horizontal="center"/>
    </xf>
    <xf numFmtId="0" fontId="0" fillId="0" borderId="8" xfId="0" applyBorder="1" applyAlignment="1">
      <alignment horizontal="center"/>
    </xf>
    <xf numFmtId="172" fontId="18" fillId="0" borderId="13" xfId="0" applyNumberFormat="1" applyFont="1" applyBorder="1"/>
    <xf numFmtId="167" fontId="0" fillId="11" borderId="0" xfId="0" applyNumberFormat="1" applyFill="1"/>
    <xf numFmtId="0" fontId="2" fillId="0" borderId="0" xfId="3" applyFont="1"/>
    <xf numFmtId="0" fontId="2" fillId="0" borderId="0" xfId="3" applyFont="1" applyAlignment="1">
      <alignment wrapText="1"/>
    </xf>
    <xf numFmtId="167" fontId="3" fillId="0" borderId="12" xfId="0" applyNumberFormat="1" applyFont="1" applyBorder="1"/>
    <xf numFmtId="1" fontId="3" fillId="0" borderId="12" xfId="0" applyNumberFormat="1" applyFont="1" applyBorder="1"/>
    <xf numFmtId="0" fontId="26" fillId="3" borderId="0" xfId="0" applyFont="1" applyFill="1"/>
    <xf numFmtId="0" fontId="26" fillId="3" borderId="12" xfId="0" applyFont="1" applyFill="1" applyBorder="1"/>
    <xf numFmtId="0" fontId="9" fillId="0" borderId="15" xfId="0" applyFont="1" applyBorder="1" applyAlignment="1">
      <alignment vertical="top"/>
    </xf>
    <xf numFmtId="0" fontId="10" fillId="0" borderId="16" xfId="0" applyFont="1" applyBorder="1" applyAlignment="1">
      <alignment vertical="top"/>
    </xf>
    <xf numFmtId="0" fontId="10" fillId="0" borderId="17" xfId="0" applyFont="1" applyBorder="1"/>
    <xf numFmtId="0" fontId="9" fillId="0" borderId="18" xfId="0" applyFont="1" applyBorder="1" applyAlignment="1">
      <alignment vertical="top" wrapText="1"/>
    </xf>
    <xf numFmtId="2" fontId="26" fillId="0" borderId="4" xfId="0" applyNumberFormat="1" applyFont="1" applyBorder="1" applyAlignment="1">
      <alignment vertical="top" wrapText="1"/>
    </xf>
    <xf numFmtId="0" fontId="9" fillId="0" borderId="0" xfId="0" applyFont="1" applyAlignment="1">
      <alignment vertical="center" wrapText="1"/>
    </xf>
    <xf numFmtId="0" fontId="9" fillId="0" borderId="19" xfId="0" applyFont="1" applyBorder="1" applyAlignment="1">
      <alignment wrapText="1"/>
    </xf>
    <xf numFmtId="0" fontId="0" fillId="26" borderId="0" xfId="0" applyFill="1"/>
    <xf numFmtId="0" fontId="0" fillId="26" borderId="10" xfId="0" applyFill="1" applyBorder="1"/>
    <xf numFmtId="0" fontId="0" fillId="26" borderId="11" xfId="0" applyFill="1" applyBorder="1"/>
    <xf numFmtId="0" fontId="10" fillId="26" borderId="11" xfId="0" applyFont="1" applyFill="1" applyBorder="1"/>
    <xf numFmtId="167" fontId="10" fillId="3" borderId="12" xfId="0" applyNumberFormat="1" applyFont="1" applyFill="1" applyBorder="1"/>
    <xf numFmtId="0" fontId="0" fillId="24" borderId="0" xfId="0" applyFill="1"/>
    <xf numFmtId="167" fontId="10" fillId="24" borderId="0" xfId="0" applyNumberFormat="1" applyFont="1" applyFill="1"/>
    <xf numFmtId="0" fontId="0" fillId="7" borderId="0" xfId="0" applyFill="1"/>
    <xf numFmtId="0" fontId="3" fillId="7" borderId="0" xfId="0" applyFont="1" applyFill="1"/>
    <xf numFmtId="0" fontId="2" fillId="7" borderId="0" xfId="3" applyFont="1" applyFill="1" applyAlignment="1">
      <alignment wrapText="1"/>
    </xf>
    <xf numFmtId="0" fontId="9" fillId="0" borderId="0" xfId="0" applyFont="1" applyAlignment="1">
      <alignment horizontal="center" vertical="center" wrapText="1"/>
    </xf>
    <xf numFmtId="0" fontId="9" fillId="0" borderId="20" xfId="0" applyFont="1" applyBorder="1" applyAlignment="1">
      <alignment horizontal="center" vertical="center"/>
    </xf>
    <xf numFmtId="0" fontId="9" fillId="0" borderId="12" xfId="0" applyFont="1" applyBorder="1" applyAlignment="1">
      <alignment horizontal="center" vertical="center"/>
    </xf>
    <xf numFmtId="2" fontId="0" fillId="0" borderId="4" xfId="0" applyNumberFormat="1" applyBorder="1" applyAlignment="1">
      <alignment horizontal="center" vertical="top" wrapText="1"/>
    </xf>
    <xf numFmtId="2" fontId="0" fillId="0" borderId="0" xfId="0" applyNumberFormat="1" applyAlignment="1">
      <alignment horizontal="center" vertical="top" wrapText="1"/>
    </xf>
    <xf numFmtId="2" fontId="0" fillId="0" borderId="6" xfId="0" applyNumberFormat="1" applyBorder="1" applyAlignment="1">
      <alignment horizontal="center" vertical="top" wrapText="1"/>
    </xf>
    <xf numFmtId="0" fontId="12" fillId="0" borderId="0" xfId="0" applyFont="1" applyAlignment="1">
      <alignment horizontal="center" wrapText="1"/>
    </xf>
    <xf numFmtId="0" fontId="12" fillId="0" borderId="11" xfId="0" applyFont="1" applyBorder="1" applyAlignment="1">
      <alignment horizontal="center" wrapText="1"/>
    </xf>
    <xf numFmtId="0" fontId="2" fillId="0" borderId="0" xfId="0" applyFont="1" applyAlignment="1">
      <alignment horizontal="center" wrapText="1"/>
    </xf>
    <xf numFmtId="0" fontId="2" fillId="0" borderId="11" xfId="0" applyFont="1" applyBorder="1" applyAlignment="1">
      <alignment horizontal="center" wrapText="1"/>
    </xf>
    <xf numFmtId="0" fontId="61" fillId="0" borderId="0" xfId="0" applyFont="1" applyAlignment="1">
      <alignment horizontal="center" vertical="center" wrapText="1"/>
    </xf>
  </cellXfs>
  <cellStyles count="5">
    <cellStyle name="Hyperlink" xfId="4" builtinId="8"/>
    <cellStyle name="Normal" xfId="0" builtinId="0"/>
    <cellStyle name="Normal 2" xfId="2" xr:uid="{51C09B08-A9FB-4CF4-A381-CD837C62235C}"/>
    <cellStyle name="Normal 3" xfId="3" xr:uid="{FCE5DE6B-AFE6-4605-9893-0253BDD34C9B}"/>
    <cellStyle name="Percent" xfId="1" builtinId="5"/>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0.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5.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6.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7.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8.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9.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0.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7.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8.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9.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AU"/>
              <a:t>SAZ24 %CaCO3</a:t>
            </a:r>
          </a:p>
        </c:rich>
      </c:tx>
      <c:overlay val="0"/>
      <c:spPr>
        <a:noFill/>
        <a:ln w="25400">
          <a:noFill/>
        </a:ln>
      </c:spPr>
    </c:title>
    <c:autoTitleDeleted val="0"/>
    <c:plotArea>
      <c:layout/>
      <c:scatterChart>
        <c:scatterStyle val="lineMarker"/>
        <c:varyColors val="0"/>
        <c:ser>
          <c:idx val="0"/>
          <c:order val="0"/>
          <c:tx>
            <c:v>47_1000</c:v>
          </c:tx>
          <c:spPr>
            <a:ln w="19050">
              <a:noFill/>
            </a:ln>
          </c:spPr>
          <c:marker>
            <c:symbol val="circle"/>
            <c:size val="5"/>
            <c:spPr>
              <a:solidFill>
                <a:srgbClr val="00B050"/>
              </a:solidFill>
              <a:ln>
                <a:solidFill>
                  <a:srgbClr val="00B050"/>
                </a:solidFill>
                <a:prstDash val="solid"/>
              </a:ln>
            </c:spPr>
          </c:marker>
          <c:xVal>
            <c:numRef>
              <c:f>Main!$V$7:$V$27</c:f>
              <c:numCache>
                <c:formatCode>m/d/yyyy</c:formatCode>
                <c:ptCount val="21"/>
                <c:pt idx="0">
                  <c:v>44704.5</c:v>
                </c:pt>
                <c:pt idx="1">
                  <c:v>44721.5</c:v>
                </c:pt>
                <c:pt idx="2">
                  <c:v>44738.5</c:v>
                </c:pt>
                <c:pt idx="3">
                  <c:v>44755.5</c:v>
                </c:pt>
                <c:pt idx="4">
                  <c:v>44772.5</c:v>
                </c:pt>
                <c:pt idx="5">
                  <c:v>44789.5</c:v>
                </c:pt>
                <c:pt idx="6">
                  <c:v>44806.5</c:v>
                </c:pt>
                <c:pt idx="7">
                  <c:v>44823.5</c:v>
                </c:pt>
                <c:pt idx="8">
                  <c:v>44840.5</c:v>
                </c:pt>
                <c:pt idx="9">
                  <c:v>44857.5</c:v>
                </c:pt>
                <c:pt idx="10">
                  <c:v>44874.5</c:v>
                </c:pt>
                <c:pt idx="11">
                  <c:v>44891.5</c:v>
                </c:pt>
                <c:pt idx="12">
                  <c:v>44908.5</c:v>
                </c:pt>
                <c:pt idx="13">
                  <c:v>44925.5</c:v>
                </c:pt>
                <c:pt idx="14">
                  <c:v>44942.5</c:v>
                </c:pt>
                <c:pt idx="15">
                  <c:v>44959.5</c:v>
                </c:pt>
                <c:pt idx="16">
                  <c:v>44976.5</c:v>
                </c:pt>
                <c:pt idx="17">
                  <c:v>44993.5</c:v>
                </c:pt>
                <c:pt idx="18">
                  <c:v>45010.5</c:v>
                </c:pt>
                <c:pt idx="19">
                  <c:v>45027.5</c:v>
                </c:pt>
                <c:pt idx="20">
                  <c:v>45044.5</c:v>
                </c:pt>
              </c:numCache>
            </c:numRef>
          </c:xVal>
          <c:yVal>
            <c:numRef>
              <c:f>'PIC data'!$AF$8:$AF$28</c:f>
              <c:numCache>
                <c:formatCode>General</c:formatCode>
                <c:ptCount val="21"/>
                <c:pt idx="0">
                  <c:v>79.788805573288499</c:v>
                </c:pt>
                <c:pt idx="1">
                  <c:v>77.884081075626099</c:v>
                </c:pt>
                <c:pt idx="2">
                  <c:v>70.410326660009275</c:v>
                </c:pt>
                <c:pt idx="3">
                  <c:v>31.299571301191897</c:v>
                </c:pt>
                <c:pt idx="4">
                  <c:v>51.235828006705972</c:v>
                </c:pt>
                <c:pt idx="5">
                  <c:v>63.485311744443059</c:v>
                </c:pt>
                <c:pt idx="6">
                  <c:v>67.018420910104922</c:v>
                </c:pt>
                <c:pt idx="7">
                  <c:v>65.041725414352499</c:v>
                </c:pt>
                <c:pt idx="8">
                  <c:v>71.887348710119184</c:v>
                </c:pt>
                <c:pt idx="9">
                  <c:v>75.766457830914462</c:v>
                </c:pt>
                <c:pt idx="10">
                  <c:v>76.73413233234993</c:v>
                </c:pt>
                <c:pt idx="11">
                  <c:v>76.369384652830846</c:v>
                </c:pt>
                <c:pt idx="12">
                  <c:v>74.358317154949518</c:v>
                </c:pt>
                <c:pt idx="13">
                  <c:v>74.385778264381358</c:v>
                </c:pt>
                <c:pt idx="14">
                  <c:v>71.153571201162194</c:v>
                </c:pt>
                <c:pt idx="17">
                  <c:v>70.446478281874576</c:v>
                </c:pt>
                <c:pt idx="18">
                  <c:v>70.987032078938213</c:v>
                </c:pt>
                <c:pt idx="19">
                  <c:v>64.74330861420539</c:v>
                </c:pt>
                <c:pt idx="20">
                  <c:v>70.123018513013619</c:v>
                </c:pt>
              </c:numCache>
            </c:numRef>
          </c:yVal>
          <c:smooth val="0"/>
          <c:extLst>
            <c:ext xmlns:c16="http://schemas.microsoft.com/office/drawing/2014/chart" uri="{C3380CC4-5D6E-409C-BE32-E72D297353CC}">
              <c16:uniqueId val="{00000000-0E2F-4A49-9798-BD81176EF121}"/>
            </c:ext>
          </c:extLst>
        </c:ser>
        <c:ser>
          <c:idx val="1"/>
          <c:order val="1"/>
          <c:tx>
            <c:v>47_2000</c:v>
          </c:tx>
          <c:spPr>
            <a:ln w="19050">
              <a:noFill/>
            </a:ln>
          </c:spPr>
          <c:marker>
            <c:symbol val="circle"/>
            <c:size val="5"/>
            <c:spPr>
              <a:solidFill>
                <a:srgbClr val="C0504D"/>
              </a:solidFill>
              <a:ln>
                <a:solidFill>
                  <a:srgbClr val="993366"/>
                </a:solidFill>
                <a:prstDash val="solid"/>
              </a:ln>
            </c:spPr>
          </c:marker>
          <c:xVal>
            <c:numRef>
              <c:f>Main!$V$31:$V$51</c:f>
              <c:numCache>
                <c:formatCode>m/d/yyyy</c:formatCode>
                <c:ptCount val="21"/>
                <c:pt idx="0">
                  <c:v>44704.5</c:v>
                </c:pt>
                <c:pt idx="1">
                  <c:v>44721.5</c:v>
                </c:pt>
                <c:pt idx="2">
                  <c:v>44738.5</c:v>
                </c:pt>
                <c:pt idx="3">
                  <c:v>44755.5</c:v>
                </c:pt>
                <c:pt idx="4">
                  <c:v>44772.5</c:v>
                </c:pt>
                <c:pt idx="5">
                  <c:v>44789.5</c:v>
                </c:pt>
                <c:pt idx="6">
                  <c:v>44806.5</c:v>
                </c:pt>
                <c:pt idx="7">
                  <c:v>44823.5</c:v>
                </c:pt>
                <c:pt idx="8">
                  <c:v>44840.5</c:v>
                </c:pt>
                <c:pt idx="9">
                  <c:v>44857.5</c:v>
                </c:pt>
                <c:pt idx="10">
                  <c:v>44874.5</c:v>
                </c:pt>
                <c:pt idx="11">
                  <c:v>44891.5</c:v>
                </c:pt>
                <c:pt idx="12">
                  <c:v>44908.5</c:v>
                </c:pt>
                <c:pt idx="13">
                  <c:v>44925.5</c:v>
                </c:pt>
                <c:pt idx="14">
                  <c:v>44942.5</c:v>
                </c:pt>
                <c:pt idx="15">
                  <c:v>44959.5</c:v>
                </c:pt>
                <c:pt idx="16">
                  <c:v>44976.5</c:v>
                </c:pt>
                <c:pt idx="17">
                  <c:v>44993.5</c:v>
                </c:pt>
                <c:pt idx="18">
                  <c:v>45010.5</c:v>
                </c:pt>
                <c:pt idx="19">
                  <c:v>45027.5</c:v>
                </c:pt>
                <c:pt idx="20">
                  <c:v>45044.5</c:v>
                </c:pt>
              </c:numCache>
            </c:numRef>
          </c:xVal>
          <c:yVal>
            <c:numRef>
              <c:f>'PIC data'!$AF$29:$AF$49</c:f>
              <c:numCache>
                <c:formatCode>General</c:formatCode>
                <c:ptCount val="21"/>
                <c:pt idx="0">
                  <c:v>73.22242712567386</c:v>
                </c:pt>
                <c:pt idx="1">
                  <c:v>73.803397573722236</c:v>
                </c:pt>
                <c:pt idx="2">
                  <c:v>71.855473522521095</c:v>
                </c:pt>
                <c:pt idx="3">
                  <c:v>70.84442953702181</c:v>
                </c:pt>
                <c:pt idx="4">
                  <c:v>72.170712113184663</c:v>
                </c:pt>
                <c:pt idx="5">
                  <c:v>71.421985541200854</c:v>
                </c:pt>
                <c:pt idx="6">
                  <c:v>69.913179121790151</c:v>
                </c:pt>
                <c:pt idx="7">
                  <c:v>69.919599299434765</c:v>
                </c:pt>
                <c:pt idx="8">
                  <c:v>72.45048363979042</c:v>
                </c:pt>
                <c:pt idx="9">
                  <c:v>75.652797991872973</c:v>
                </c:pt>
                <c:pt idx="10">
                  <c:v>79.730332793076599</c:v>
                </c:pt>
                <c:pt idx="11">
                  <c:v>76.615845940403659</c:v>
                </c:pt>
                <c:pt idx="12">
                  <c:v>76.617145424792767</c:v>
                </c:pt>
                <c:pt idx="15">
                  <c:v>69.361820952840063</c:v>
                </c:pt>
                <c:pt idx="19">
                  <c:v>52.769539895909041</c:v>
                </c:pt>
                <c:pt idx="20">
                  <c:v>53.656208178012044</c:v>
                </c:pt>
              </c:numCache>
            </c:numRef>
          </c:yVal>
          <c:smooth val="0"/>
          <c:extLst>
            <c:ext xmlns:c16="http://schemas.microsoft.com/office/drawing/2014/chart" uri="{C3380CC4-5D6E-409C-BE32-E72D297353CC}">
              <c16:uniqueId val="{00000001-0E2F-4A49-9798-BD81176EF121}"/>
            </c:ext>
          </c:extLst>
        </c:ser>
        <c:ser>
          <c:idx val="3"/>
          <c:order val="2"/>
          <c:tx>
            <c:v>47_3800</c:v>
          </c:tx>
          <c:spPr>
            <a:ln w="19050">
              <a:noFill/>
            </a:ln>
          </c:spPr>
          <c:marker>
            <c:symbol val="circle"/>
            <c:size val="5"/>
            <c:spPr>
              <a:solidFill>
                <a:srgbClr val="8064A2"/>
              </a:solidFill>
              <a:ln>
                <a:solidFill>
                  <a:srgbClr val="666699"/>
                </a:solidFill>
                <a:prstDash val="solid"/>
              </a:ln>
            </c:spPr>
          </c:marker>
          <c:xVal>
            <c:numRef>
              <c:f>Main!$V$7:$V$27</c:f>
              <c:numCache>
                <c:formatCode>m/d/yyyy</c:formatCode>
                <c:ptCount val="21"/>
                <c:pt idx="0">
                  <c:v>44704.5</c:v>
                </c:pt>
                <c:pt idx="1">
                  <c:v>44721.5</c:v>
                </c:pt>
                <c:pt idx="2">
                  <c:v>44738.5</c:v>
                </c:pt>
                <c:pt idx="3">
                  <c:v>44755.5</c:v>
                </c:pt>
                <c:pt idx="4">
                  <c:v>44772.5</c:v>
                </c:pt>
                <c:pt idx="5">
                  <c:v>44789.5</c:v>
                </c:pt>
                <c:pt idx="6">
                  <c:v>44806.5</c:v>
                </c:pt>
                <c:pt idx="7">
                  <c:v>44823.5</c:v>
                </c:pt>
                <c:pt idx="8">
                  <c:v>44840.5</c:v>
                </c:pt>
                <c:pt idx="9">
                  <c:v>44857.5</c:v>
                </c:pt>
                <c:pt idx="10">
                  <c:v>44874.5</c:v>
                </c:pt>
                <c:pt idx="11">
                  <c:v>44891.5</c:v>
                </c:pt>
                <c:pt idx="12">
                  <c:v>44908.5</c:v>
                </c:pt>
                <c:pt idx="13">
                  <c:v>44925.5</c:v>
                </c:pt>
                <c:pt idx="14">
                  <c:v>44942.5</c:v>
                </c:pt>
                <c:pt idx="15">
                  <c:v>44959.5</c:v>
                </c:pt>
                <c:pt idx="16">
                  <c:v>44976.5</c:v>
                </c:pt>
                <c:pt idx="17">
                  <c:v>44993.5</c:v>
                </c:pt>
                <c:pt idx="18">
                  <c:v>45010.5</c:v>
                </c:pt>
                <c:pt idx="19">
                  <c:v>45027.5</c:v>
                </c:pt>
                <c:pt idx="20">
                  <c:v>45044.5</c:v>
                </c:pt>
              </c:numCache>
            </c:numRef>
          </c:xVal>
          <c:yVal>
            <c:numRef>
              <c:f>'PIC data'!$AF$50:$AF$70</c:f>
              <c:numCache>
                <c:formatCode>General</c:formatCode>
                <c:ptCount val="21"/>
                <c:pt idx="0">
                  <c:v>77.240276394885512</c:v>
                </c:pt>
                <c:pt idx="1">
                  <c:v>75.723805975172326</c:v>
                </c:pt>
                <c:pt idx="2">
                  <c:v>76.51639966988941</c:v>
                </c:pt>
                <c:pt idx="3">
                  <c:v>67.735738814733878</c:v>
                </c:pt>
                <c:pt idx="4">
                  <c:v>75.711748484861062</c:v>
                </c:pt>
                <c:pt idx="5">
                  <c:v>75.295200970962185</c:v>
                </c:pt>
                <c:pt idx="6">
                  <c:v>74.20951087100832</c:v>
                </c:pt>
                <c:pt idx="7">
                  <c:v>72.442754030685379</c:v>
                </c:pt>
                <c:pt idx="8">
                  <c:v>73.619368451657721</c:v>
                </c:pt>
                <c:pt idx="9">
                  <c:v>76.938564800678705</c:v>
                </c:pt>
                <c:pt idx="10">
                  <c:v>79.485647089526481</c:v>
                </c:pt>
                <c:pt idx="11">
                  <c:v>75.636855484811136</c:v>
                </c:pt>
                <c:pt idx="12">
                  <c:v>68.477854962532376</c:v>
                </c:pt>
                <c:pt idx="13">
                  <c:v>62.610764096180901</c:v>
                </c:pt>
                <c:pt idx="14">
                  <c:v>58.134403188382663</c:v>
                </c:pt>
                <c:pt idx="15">
                  <c:v>69.092146159357753</c:v>
                </c:pt>
                <c:pt idx="16">
                  <c:v>73.758637704020117</c:v>
                </c:pt>
                <c:pt idx="17">
                  <c:v>72.230456947285731</c:v>
                </c:pt>
                <c:pt idx="18">
                  <c:v>71.600591731346256</c:v>
                </c:pt>
                <c:pt idx="19">
                  <c:v>72.64540542238008</c:v>
                </c:pt>
                <c:pt idx="20">
                  <c:v>70.155290935984709</c:v>
                </c:pt>
              </c:numCache>
            </c:numRef>
          </c:yVal>
          <c:smooth val="0"/>
          <c:extLst>
            <c:ext xmlns:c16="http://schemas.microsoft.com/office/drawing/2014/chart" uri="{C3380CC4-5D6E-409C-BE32-E72D297353CC}">
              <c16:uniqueId val="{00000002-0E2F-4A49-9798-BD81176EF121}"/>
            </c:ext>
          </c:extLst>
        </c:ser>
        <c:dLbls>
          <c:showLegendKey val="0"/>
          <c:showVal val="0"/>
          <c:showCatName val="0"/>
          <c:showSerName val="0"/>
          <c:showPercent val="0"/>
          <c:showBubbleSize val="0"/>
        </c:dLbls>
        <c:axId val="-2091142344"/>
        <c:axId val="-2091133512"/>
      </c:scatterChart>
      <c:valAx>
        <c:axId val="-2091142344"/>
        <c:scaling>
          <c:orientation val="minMax"/>
        </c:scaling>
        <c:delete val="0"/>
        <c:axPos val="b"/>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Midpoint time</a:t>
                </a:r>
              </a:p>
            </c:rich>
          </c:tx>
          <c:overlay val="0"/>
          <c:spPr>
            <a:noFill/>
            <a:ln w="25400">
              <a:noFill/>
            </a:ln>
          </c:spPr>
        </c:title>
        <c:numFmt formatCode="m/d/yyyy"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33512"/>
        <c:crosses val="autoZero"/>
        <c:crossBetween val="midCat"/>
      </c:valAx>
      <c:valAx>
        <c:axId val="-2091133512"/>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%CaCO3</a:t>
                </a:r>
              </a:p>
            </c:rich>
          </c:tx>
          <c:overlay val="0"/>
          <c:spPr>
            <a:noFill/>
            <a:ln w="25400">
              <a:noFill/>
            </a:ln>
          </c:spPr>
        </c:title>
        <c:numFmt formatCode="General"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42344"/>
        <c:crosses val="autoZero"/>
        <c:crossBetween val="midCat"/>
      </c:valAx>
      <c:spPr>
        <a:noFill/>
        <a:ln w="25400">
          <a:noFill/>
        </a:ln>
      </c:spPr>
    </c:plotArea>
    <c:legend>
      <c:legendPos val="r"/>
      <c:layout>
        <c:manualLayout>
          <c:xMode val="edge"/>
          <c:yMode val="edge"/>
          <c:x val="0.90094136813020065"/>
          <c:y val="0.54778677140881904"/>
          <c:w val="8.4618613342703361E-2"/>
          <c:h val="0.188811678260497"/>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rgbClr val="FFFFFF"/>
    </a:solidFill>
    <a:ln w="3175">
      <a:solidFill>
        <a:srgbClr val="C0C0C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C/N - corrected!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1000m</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('CHN data'!$D$3:$D$20,'CHN data'!$D$22:$D$25)</c:f>
              <c:numCache>
                <c:formatCode>0.00</c:formatCode>
                <c:ptCount val="22"/>
                <c:pt idx="0">
                  <c:v>0.92014843225479126</c:v>
                </c:pt>
                <c:pt idx="1">
                  <c:v>0.86944180727005005</c:v>
                </c:pt>
                <c:pt idx="2">
                  <c:v>1.1249848604202271</c:v>
                </c:pt>
                <c:pt idx="3">
                  <c:v>5.0349807739257813</c:v>
                </c:pt>
                <c:pt idx="4">
                  <c:v>2.7771925926208496</c:v>
                </c:pt>
                <c:pt idx="5">
                  <c:v>1.430580735206604</c:v>
                </c:pt>
                <c:pt idx="6">
                  <c:v>1.3329753875732422</c:v>
                </c:pt>
                <c:pt idx="7">
                  <c:v>1.3836919069290161</c:v>
                </c:pt>
                <c:pt idx="8">
                  <c:v>0.8400733470916748</c:v>
                </c:pt>
                <c:pt idx="9">
                  <c:v>0.71678870916366577</c:v>
                </c:pt>
                <c:pt idx="10">
                  <c:v>0.60590004920959473</c:v>
                </c:pt>
                <c:pt idx="12">
                  <c:v>1.3371845483779907</c:v>
                </c:pt>
                <c:pt idx="13">
                  <c:v>0.68985587358474731</c:v>
                </c:pt>
                <c:pt idx="14">
                  <c:v>0.68538850545883179</c:v>
                </c:pt>
                <c:pt idx="15">
                  <c:v>0.71775048971176147</c:v>
                </c:pt>
                <c:pt idx="16">
                  <c:v>0.76607954502105713</c:v>
                </c:pt>
                <c:pt idx="17">
                  <c:v>0.9453589916229248</c:v>
                </c:pt>
                <c:pt idx="18">
                  <c:v>1.2483048439025879</c:v>
                </c:pt>
                <c:pt idx="19">
                  <c:v>0.86163246631622314</c:v>
                </c:pt>
                <c:pt idx="20">
                  <c:v>1.1338266134262085</c:v>
                </c:pt>
                <c:pt idx="21">
                  <c:v>0.89570164680480957</c:v>
                </c:pt>
              </c:numCache>
            </c:numRef>
          </c:xVal>
          <c:yVal>
            <c:numRef>
              <c:f>('CHN data'!$E$3:$E$20,'CHN data'!$E$22:$E$25)</c:f>
              <c:numCache>
                <c:formatCode>0.00</c:formatCode>
                <c:ptCount val="22"/>
                <c:pt idx="0">
                  <c:v>14.150093078613281</c:v>
                </c:pt>
                <c:pt idx="1">
                  <c:v>14.103673934936523</c:v>
                </c:pt>
                <c:pt idx="2">
                  <c:v>14.953019142150879</c:v>
                </c:pt>
                <c:pt idx="3">
                  <c:v>30.813896179199219</c:v>
                </c:pt>
                <c:pt idx="4">
                  <c:v>20.211074829101563</c:v>
                </c:pt>
                <c:pt idx="5">
                  <c:v>14.441088676452637</c:v>
                </c:pt>
                <c:pt idx="6">
                  <c:v>16.339384078979492</c:v>
                </c:pt>
                <c:pt idx="7">
                  <c:v>14.778889656066895</c:v>
                </c:pt>
                <c:pt idx="8">
                  <c:v>13.10334587097168</c:v>
                </c:pt>
                <c:pt idx="9">
                  <c:v>12.854622840881348</c:v>
                </c:pt>
                <c:pt idx="10">
                  <c:v>12.759049415588379</c:v>
                </c:pt>
                <c:pt idx="12">
                  <c:v>14.938075065612793</c:v>
                </c:pt>
                <c:pt idx="13">
                  <c:v>13.30765438079834</c:v>
                </c:pt>
                <c:pt idx="14">
                  <c:v>13.279589653015137</c:v>
                </c:pt>
                <c:pt idx="15">
                  <c:v>13.347002983093262</c:v>
                </c:pt>
                <c:pt idx="16">
                  <c:v>13.542201995849609</c:v>
                </c:pt>
                <c:pt idx="17">
                  <c:v>14.125909805297852</c:v>
                </c:pt>
                <c:pt idx="18">
                  <c:v>14.696099281311035</c:v>
                </c:pt>
                <c:pt idx="19">
                  <c:v>14.053082466125488</c:v>
                </c:pt>
                <c:pt idx="20">
                  <c:v>15.229901313781738</c:v>
                </c:pt>
                <c:pt idx="21">
                  <c:v>14.040099143981934</c:v>
                </c:pt>
              </c:numCache>
            </c:numRef>
          </c:yVal>
          <c:smooth val="0"/>
          <c:extLst>
            <c:ext xmlns:c16="http://schemas.microsoft.com/office/drawing/2014/chart" uri="{C3380CC4-5D6E-409C-BE32-E72D297353CC}">
              <c16:uniqueId val="{00000001-941B-4F59-989B-EB0E1E06D3CA}"/>
            </c:ext>
          </c:extLst>
        </c:ser>
        <c:ser>
          <c:idx val="1"/>
          <c:order val="1"/>
          <c:tx>
            <c:v>2000m</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8.0473151188204788E-3"/>
                  <c:y val="-0.1245023833089274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('CHN data'!$D$26:$D$28,'CHN data'!$D$30:$D$41,'CHN data'!$D$43:$D$46)</c:f>
              <c:numCache>
                <c:formatCode>0.00</c:formatCode>
                <c:ptCount val="19"/>
                <c:pt idx="0">
                  <c:v>0.78490573167800903</c:v>
                </c:pt>
                <c:pt idx="1">
                  <c:v>0.97619426250457764</c:v>
                </c:pt>
                <c:pt idx="2">
                  <c:v>0.88953083753585815</c:v>
                </c:pt>
                <c:pt idx="3">
                  <c:v>0.89602220058441162</c:v>
                </c:pt>
                <c:pt idx="4">
                  <c:v>0.72803771495819092</c:v>
                </c:pt>
                <c:pt idx="5">
                  <c:v>0.71530050039291382</c:v>
                </c:pt>
                <c:pt idx="6">
                  <c:v>0.75174504518508911</c:v>
                </c:pt>
                <c:pt idx="7">
                  <c:v>0.71574407815933228</c:v>
                </c:pt>
                <c:pt idx="8">
                  <c:v>0.59883177280426025</c:v>
                </c:pt>
                <c:pt idx="9">
                  <c:v>0.69182890653610229</c:v>
                </c:pt>
                <c:pt idx="10">
                  <c:v>0.47727426886558533</c:v>
                </c:pt>
                <c:pt idx="11">
                  <c:v>0.57263672351837158</c:v>
                </c:pt>
                <c:pt idx="13">
                  <c:v>0.71534091234207153</c:v>
                </c:pt>
                <c:pt idx="14">
                  <c:v>0.7191697359085083</c:v>
                </c:pt>
                <c:pt idx="15">
                  <c:v>0.86480331420898438</c:v>
                </c:pt>
                <c:pt idx="16">
                  <c:v>0.8928254246711731</c:v>
                </c:pt>
                <c:pt idx="17">
                  <c:v>1.3417773246765137</c:v>
                </c:pt>
                <c:pt idx="18">
                  <c:v>1.4059737920761108</c:v>
                </c:pt>
              </c:numCache>
            </c:numRef>
          </c:xVal>
          <c:yVal>
            <c:numRef>
              <c:f>('CHN data'!$E$26:$E$28,'CHN data'!$E$30:$E$41,'CHN data'!$E$43:$E$46)</c:f>
              <c:numCache>
                <c:formatCode>0.00</c:formatCode>
                <c:ptCount val="19"/>
                <c:pt idx="0">
                  <c:v>14.247434616088867</c:v>
                </c:pt>
                <c:pt idx="1">
                  <c:v>14.521237373352051</c:v>
                </c:pt>
                <c:pt idx="2">
                  <c:v>14.122218132019043</c:v>
                </c:pt>
                <c:pt idx="3">
                  <c:v>13.998252868652344</c:v>
                </c:pt>
                <c:pt idx="4">
                  <c:v>13.26401424407959</c:v>
                </c:pt>
                <c:pt idx="5">
                  <c:v>13.046916007995605</c:v>
                </c:pt>
                <c:pt idx="6">
                  <c:v>13.122382164001465</c:v>
                </c:pt>
                <c:pt idx="7">
                  <c:v>12.903997421264648</c:v>
                </c:pt>
                <c:pt idx="8">
                  <c:v>12.563013076782227</c:v>
                </c:pt>
                <c:pt idx="9">
                  <c:v>13.241850852966309</c:v>
                </c:pt>
                <c:pt idx="10">
                  <c:v>12.646408081054688</c:v>
                </c:pt>
                <c:pt idx="11">
                  <c:v>12.868570327758789</c:v>
                </c:pt>
                <c:pt idx="13">
                  <c:v>13.39105224609375</c:v>
                </c:pt>
                <c:pt idx="14">
                  <c:v>13.389961242675781</c:v>
                </c:pt>
                <c:pt idx="15">
                  <c:v>13.844083786010742</c:v>
                </c:pt>
                <c:pt idx="16">
                  <c:v>14.127402305603027</c:v>
                </c:pt>
                <c:pt idx="17">
                  <c:v>15.185502052307129</c:v>
                </c:pt>
                <c:pt idx="18">
                  <c:v>15.645127296447754</c:v>
                </c:pt>
              </c:numCache>
            </c:numRef>
          </c:yVal>
          <c:smooth val="0"/>
          <c:extLst>
            <c:ext xmlns:c16="http://schemas.microsoft.com/office/drawing/2014/chart" uri="{C3380CC4-5D6E-409C-BE32-E72D297353CC}">
              <c16:uniqueId val="{00000003-941B-4F59-989B-EB0E1E06D3CA}"/>
            </c:ext>
          </c:extLst>
        </c:ser>
        <c:ser>
          <c:idx val="2"/>
          <c:order val="2"/>
          <c:tx>
            <c:v>3800m</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0.10665117044871236"/>
                  <c:y val="0.1039577829016454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('CHN data'!$D$47:$D$56,'CHN data'!$D$58:$D$63,'CHN data'!$D$67:$D$68,'CHN data'!$D$69:$D$74)</c:f>
              <c:numCache>
                <c:formatCode>0.00</c:formatCode>
                <c:ptCount val="24"/>
                <c:pt idx="0">
                  <c:v>0.75171852111816406</c:v>
                </c:pt>
                <c:pt idx="1">
                  <c:v>0.72249287366867065</c:v>
                </c:pt>
                <c:pt idx="2">
                  <c:v>0.66684079170227051</c:v>
                </c:pt>
                <c:pt idx="3">
                  <c:v>1.2000707387924194</c:v>
                </c:pt>
                <c:pt idx="4">
                  <c:v>0.53777742385864258</c:v>
                </c:pt>
                <c:pt idx="6">
                  <c:v>0.45570942759513855</c:v>
                </c:pt>
                <c:pt idx="7">
                  <c:v>0.55595111846923828</c:v>
                </c:pt>
                <c:pt idx="8">
                  <c:v>0.58643555641174316</c:v>
                </c:pt>
                <c:pt idx="9">
                  <c:v>0.63776969909667969</c:v>
                </c:pt>
                <c:pt idx="10">
                  <c:v>0.49478974938392639</c:v>
                </c:pt>
                <c:pt idx="11">
                  <c:v>0.44762051105499268</c:v>
                </c:pt>
                <c:pt idx="12">
                  <c:v>0.65887707471847534</c:v>
                </c:pt>
                <c:pt idx="13">
                  <c:v>0.67238980531692505</c:v>
                </c:pt>
                <c:pt idx="14">
                  <c:v>0.66294419765472412</c:v>
                </c:pt>
                <c:pt idx="15">
                  <c:v>1.0213484764099121</c:v>
                </c:pt>
                <c:pt idx="16">
                  <c:v>0.78940832614898682</c:v>
                </c:pt>
                <c:pt idx="17">
                  <c:v>1.0370098352432251</c:v>
                </c:pt>
                <c:pt idx="18">
                  <c:v>0.75</c:v>
                </c:pt>
                <c:pt idx="19">
                  <c:v>0.59488427639007568</c:v>
                </c:pt>
                <c:pt idx="20">
                  <c:v>0.77587568759918213</c:v>
                </c:pt>
                <c:pt idx="21">
                  <c:v>0.64429038763046265</c:v>
                </c:pt>
                <c:pt idx="22">
                  <c:v>0.57904958724975586</c:v>
                </c:pt>
                <c:pt idx="23">
                  <c:v>0.97274410724639893</c:v>
                </c:pt>
              </c:numCache>
            </c:numRef>
          </c:xVal>
          <c:yVal>
            <c:numRef>
              <c:f>('CHN data'!$E$47:$E$56,'CHN data'!$E$58:$E$63,'CHN data'!$E$67:$E$68,'CHN data'!$E$69:$E$74)</c:f>
              <c:numCache>
                <c:formatCode>0.00</c:formatCode>
                <c:ptCount val="24"/>
                <c:pt idx="0">
                  <c:v>13.722061157226563</c:v>
                </c:pt>
                <c:pt idx="1">
                  <c:v>13.56171989440918</c:v>
                </c:pt>
                <c:pt idx="2">
                  <c:v>13.43907642364502</c:v>
                </c:pt>
                <c:pt idx="3">
                  <c:v>15.685426712036133</c:v>
                </c:pt>
                <c:pt idx="4">
                  <c:v>12.691935539245605</c:v>
                </c:pt>
                <c:pt idx="6">
                  <c:v>11.987616539001465</c:v>
                </c:pt>
                <c:pt idx="7">
                  <c:v>11.95491886138916</c:v>
                </c:pt>
                <c:pt idx="8">
                  <c:v>12.301887512207031</c:v>
                </c:pt>
                <c:pt idx="9">
                  <c:v>12.759530067443848</c:v>
                </c:pt>
                <c:pt idx="10">
                  <c:v>12.43962574005127</c:v>
                </c:pt>
                <c:pt idx="11">
                  <c:v>12.442903518676758</c:v>
                </c:pt>
                <c:pt idx="12">
                  <c:v>13.223359107971191</c:v>
                </c:pt>
                <c:pt idx="13">
                  <c:v>12.236926078796387</c:v>
                </c:pt>
                <c:pt idx="14">
                  <c:v>11.76308536529541</c:v>
                </c:pt>
                <c:pt idx="15">
                  <c:v>13.287544250488281</c:v>
                </c:pt>
                <c:pt idx="16">
                  <c:v>12.947148323059082</c:v>
                </c:pt>
                <c:pt idx="17">
                  <c:v>13.322731971740723</c:v>
                </c:pt>
                <c:pt idx="18">
                  <c:v>13.64</c:v>
                </c:pt>
                <c:pt idx="19">
                  <c:v>12.892898559570313</c:v>
                </c:pt>
                <c:pt idx="20">
                  <c:v>13.634238243103027</c:v>
                </c:pt>
                <c:pt idx="21">
                  <c:v>12.664948463439941</c:v>
                </c:pt>
                <c:pt idx="22">
                  <c:v>12.459025382995605</c:v>
                </c:pt>
                <c:pt idx="23">
                  <c:v>13.983448028564453</c:v>
                </c:pt>
              </c:numCache>
            </c:numRef>
          </c:yVal>
          <c:smooth val="0"/>
          <c:extLst>
            <c:ext xmlns:c16="http://schemas.microsoft.com/office/drawing/2014/chart" uri="{C3380CC4-5D6E-409C-BE32-E72D297353CC}">
              <c16:uniqueId val="{00000005-941B-4F59-989B-EB0E1E06D3CA}"/>
            </c:ext>
          </c:extLst>
        </c:ser>
        <c:ser>
          <c:idx val="3"/>
          <c:order val="3"/>
          <c:tx>
            <c:v>PACS-2</c:v>
          </c:tx>
          <c:spPr>
            <a:ln w="25400" cap="rnd">
              <a:noFill/>
              <a:round/>
            </a:ln>
            <a:effectLst/>
          </c:spPr>
          <c:marker>
            <c:symbol val="circle"/>
            <c:size val="5"/>
            <c:spPr>
              <a:solidFill>
                <a:schemeClr val="accent4"/>
              </a:solidFill>
              <a:ln w="9525">
                <a:solidFill>
                  <a:schemeClr val="accent4"/>
                </a:solidFill>
              </a:ln>
              <a:effectLst/>
            </c:spPr>
          </c:marker>
          <c:xVal>
            <c:numRef>
              <c:f>('CHN data'!$D$21,'CHN data'!$D$29,'CHN data'!$D$64:$D$66)</c:f>
              <c:numCache>
                <c:formatCode>0.00</c:formatCode>
                <c:ptCount val="5"/>
                <c:pt idx="0">
                  <c:v>0.27425473928451538</c:v>
                </c:pt>
                <c:pt idx="1">
                  <c:v>0.27332425117492676</c:v>
                </c:pt>
                <c:pt idx="2">
                  <c:v>0.28835150599479675</c:v>
                </c:pt>
                <c:pt idx="4">
                  <c:v>0.28253743052482605</c:v>
                </c:pt>
              </c:numCache>
            </c:numRef>
          </c:xVal>
          <c:yVal>
            <c:numRef>
              <c:f>('CHN data'!$E$21,'CHN data'!$E$29,'CHN data'!$E$64:$E$66)</c:f>
              <c:numCache>
                <c:formatCode>0.00</c:formatCode>
                <c:ptCount val="5"/>
                <c:pt idx="0">
                  <c:v>3.19893389701843</c:v>
                </c:pt>
                <c:pt idx="1">
                  <c:v>3.2330312728881836</c:v>
                </c:pt>
                <c:pt idx="2">
                  <c:v>3.24717750549316</c:v>
                </c:pt>
                <c:pt idx="4">
                  <c:v>3.2185087203979492</c:v>
                </c:pt>
              </c:numCache>
            </c:numRef>
          </c:yVal>
          <c:smooth val="0"/>
          <c:extLst>
            <c:ext xmlns:c16="http://schemas.microsoft.com/office/drawing/2014/chart" uri="{C3380CC4-5D6E-409C-BE32-E72D297353CC}">
              <c16:uniqueId val="{00000006-941B-4F59-989B-EB0E1E06D3CA}"/>
            </c:ext>
          </c:extLst>
        </c:ser>
        <c:dLbls>
          <c:showLegendKey val="0"/>
          <c:showVal val="0"/>
          <c:showCatName val="0"/>
          <c:showSerName val="0"/>
          <c:showPercent val="0"/>
          <c:showBubbleSize val="0"/>
        </c:dLbls>
        <c:axId val="467551343"/>
        <c:axId val="2036511647"/>
      </c:scatterChart>
      <c:valAx>
        <c:axId val="467551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511647"/>
        <c:crosses val="autoZero"/>
        <c:crossBetween val="midCat"/>
      </c:valAx>
      <c:valAx>
        <c:axId val="2036511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55134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SAZ24 bSi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1000m</c:v>
          </c:tx>
          <c:spPr>
            <a:ln w="25400" cap="rnd">
              <a:noFill/>
              <a:round/>
            </a:ln>
            <a:effectLst/>
          </c:spPr>
          <c:marker>
            <c:symbol val="circle"/>
            <c:size val="5"/>
            <c:spPr>
              <a:solidFill>
                <a:schemeClr val="accent1"/>
              </a:solidFill>
              <a:ln w="9525">
                <a:solidFill>
                  <a:schemeClr val="accent1"/>
                </a:solidFill>
              </a:ln>
              <a:effectLst/>
            </c:spPr>
          </c:marker>
          <c:xVal>
            <c:numRef>
              <c:f>Main!$V$7:$V$27</c:f>
              <c:numCache>
                <c:formatCode>m/d/yyyy</c:formatCode>
                <c:ptCount val="21"/>
                <c:pt idx="0">
                  <c:v>44704.5</c:v>
                </c:pt>
                <c:pt idx="1">
                  <c:v>44721.5</c:v>
                </c:pt>
                <c:pt idx="2">
                  <c:v>44738.5</c:v>
                </c:pt>
                <c:pt idx="3">
                  <c:v>44755.5</c:v>
                </c:pt>
                <c:pt idx="4">
                  <c:v>44772.5</c:v>
                </c:pt>
                <c:pt idx="5">
                  <c:v>44789.5</c:v>
                </c:pt>
                <c:pt idx="6">
                  <c:v>44806.5</c:v>
                </c:pt>
                <c:pt idx="7">
                  <c:v>44823.5</c:v>
                </c:pt>
                <c:pt idx="8">
                  <c:v>44840.5</c:v>
                </c:pt>
                <c:pt idx="9">
                  <c:v>44857.5</c:v>
                </c:pt>
                <c:pt idx="10">
                  <c:v>44874.5</c:v>
                </c:pt>
                <c:pt idx="11">
                  <c:v>44891.5</c:v>
                </c:pt>
                <c:pt idx="12">
                  <c:v>44908.5</c:v>
                </c:pt>
                <c:pt idx="13">
                  <c:v>44925.5</c:v>
                </c:pt>
                <c:pt idx="14">
                  <c:v>44942.5</c:v>
                </c:pt>
                <c:pt idx="15">
                  <c:v>44959.5</c:v>
                </c:pt>
                <c:pt idx="16">
                  <c:v>44976.5</c:v>
                </c:pt>
                <c:pt idx="17">
                  <c:v>44993.5</c:v>
                </c:pt>
                <c:pt idx="18">
                  <c:v>45010.5</c:v>
                </c:pt>
                <c:pt idx="19">
                  <c:v>45027.5</c:v>
                </c:pt>
                <c:pt idx="20">
                  <c:v>45044.5</c:v>
                </c:pt>
              </c:numCache>
            </c:numRef>
          </c:xVal>
          <c:yVal>
            <c:numRef>
              <c:f>'BSi data'!$W$22:$W$42</c:f>
              <c:numCache>
                <c:formatCode>General</c:formatCode>
                <c:ptCount val="21"/>
                <c:pt idx="0">
                  <c:v>1.8543522121202669</c:v>
                </c:pt>
                <c:pt idx="1">
                  <c:v>1.7915246792626323</c:v>
                </c:pt>
                <c:pt idx="2">
                  <c:v>3.1310526065667879</c:v>
                </c:pt>
                <c:pt idx="3">
                  <c:v>1.934019153225806</c:v>
                </c:pt>
                <c:pt idx="4">
                  <c:v>1.8483369850271214</c:v>
                </c:pt>
                <c:pt idx="5">
                  <c:v>3.0757947641172265</c:v>
                </c:pt>
                <c:pt idx="6">
                  <c:v>5.3487334403046445</c:v>
                </c:pt>
                <c:pt idx="7">
                  <c:v>5.3750628333004151</c:v>
                </c:pt>
                <c:pt idx="8">
                  <c:v>5.1767490087646078</c:v>
                </c:pt>
                <c:pt idx="9">
                  <c:v>4.3175467618466623</c:v>
                </c:pt>
                <c:pt idx="10">
                  <c:v>4.2591301201049454</c:v>
                </c:pt>
                <c:pt idx="11">
                  <c:v>4.2868025379068051</c:v>
                </c:pt>
                <c:pt idx="12">
                  <c:v>4.7014176811045587</c:v>
                </c:pt>
                <c:pt idx="13">
                  <c:v>4.973403262402373</c:v>
                </c:pt>
                <c:pt idx="14">
                  <c:v>4.977959752796111</c:v>
                </c:pt>
                <c:pt idx="17">
                  <c:v>4.2674737577164423</c:v>
                </c:pt>
                <c:pt idx="18">
                  <c:v>5.1010525235217781</c:v>
                </c:pt>
                <c:pt idx="19">
                  <c:v>5.4600241216327543</c:v>
                </c:pt>
                <c:pt idx="20">
                  <c:v>5.6766506118327262</c:v>
                </c:pt>
              </c:numCache>
            </c:numRef>
          </c:yVal>
          <c:smooth val="0"/>
          <c:extLst>
            <c:ext xmlns:c16="http://schemas.microsoft.com/office/drawing/2014/chart" uri="{C3380CC4-5D6E-409C-BE32-E72D297353CC}">
              <c16:uniqueId val="{00000000-774C-4912-9B52-CD5BB47BBF2E}"/>
            </c:ext>
          </c:extLst>
        </c:ser>
        <c:ser>
          <c:idx val="1"/>
          <c:order val="1"/>
          <c:tx>
            <c:v>2000m</c:v>
          </c:tx>
          <c:spPr>
            <a:ln w="25400" cap="rnd">
              <a:noFill/>
              <a:round/>
            </a:ln>
            <a:effectLst/>
          </c:spPr>
          <c:marker>
            <c:symbol val="circle"/>
            <c:size val="5"/>
            <c:spPr>
              <a:solidFill>
                <a:schemeClr val="accent2"/>
              </a:solidFill>
              <a:ln w="9525">
                <a:solidFill>
                  <a:schemeClr val="accent2"/>
                </a:solidFill>
              </a:ln>
              <a:effectLst/>
            </c:spPr>
          </c:marker>
          <c:xVal>
            <c:numRef>
              <c:f>Main!$V$31:$V$51</c:f>
              <c:numCache>
                <c:formatCode>m/d/yyyy</c:formatCode>
                <c:ptCount val="21"/>
                <c:pt idx="0">
                  <c:v>44704.5</c:v>
                </c:pt>
                <c:pt idx="1">
                  <c:v>44721.5</c:v>
                </c:pt>
                <c:pt idx="2">
                  <c:v>44738.5</c:v>
                </c:pt>
                <c:pt idx="3">
                  <c:v>44755.5</c:v>
                </c:pt>
                <c:pt idx="4">
                  <c:v>44772.5</c:v>
                </c:pt>
                <c:pt idx="5">
                  <c:v>44789.5</c:v>
                </c:pt>
                <c:pt idx="6">
                  <c:v>44806.5</c:v>
                </c:pt>
                <c:pt idx="7">
                  <c:v>44823.5</c:v>
                </c:pt>
                <c:pt idx="8">
                  <c:v>44840.5</c:v>
                </c:pt>
                <c:pt idx="9">
                  <c:v>44857.5</c:v>
                </c:pt>
                <c:pt idx="10">
                  <c:v>44874.5</c:v>
                </c:pt>
                <c:pt idx="11">
                  <c:v>44891.5</c:v>
                </c:pt>
                <c:pt idx="12">
                  <c:v>44908.5</c:v>
                </c:pt>
                <c:pt idx="13">
                  <c:v>44925.5</c:v>
                </c:pt>
                <c:pt idx="14">
                  <c:v>44942.5</c:v>
                </c:pt>
                <c:pt idx="15">
                  <c:v>44959.5</c:v>
                </c:pt>
                <c:pt idx="16">
                  <c:v>44976.5</c:v>
                </c:pt>
                <c:pt idx="17">
                  <c:v>44993.5</c:v>
                </c:pt>
                <c:pt idx="18">
                  <c:v>45010.5</c:v>
                </c:pt>
                <c:pt idx="19">
                  <c:v>45027.5</c:v>
                </c:pt>
                <c:pt idx="20">
                  <c:v>45044.5</c:v>
                </c:pt>
              </c:numCache>
            </c:numRef>
          </c:xVal>
          <c:yVal>
            <c:numRef>
              <c:f>'BSi data'!$W$43:$W$63</c:f>
              <c:numCache>
                <c:formatCode>General</c:formatCode>
                <c:ptCount val="21"/>
                <c:pt idx="0">
                  <c:v>3.3140649126838242</c:v>
                </c:pt>
                <c:pt idx="1">
                  <c:v>3.2412076763807076</c:v>
                </c:pt>
                <c:pt idx="2">
                  <c:v>3.26793294016983</c:v>
                </c:pt>
                <c:pt idx="3">
                  <c:v>3.793839700254102</c:v>
                </c:pt>
                <c:pt idx="4">
                  <c:v>4.1620038469748124</c:v>
                </c:pt>
                <c:pt idx="5">
                  <c:v>5.2782304471750763</c:v>
                </c:pt>
                <c:pt idx="6">
                  <c:v>5.5786419239799363</c:v>
                </c:pt>
                <c:pt idx="7">
                  <c:v>6.1372690011809432</c:v>
                </c:pt>
                <c:pt idx="8">
                  <c:v>5.7415043245843318</c:v>
                </c:pt>
                <c:pt idx="9">
                  <c:v>4.3357834628471599</c:v>
                </c:pt>
                <c:pt idx="10">
                  <c:v>3.8108573990090702</c:v>
                </c:pt>
                <c:pt idx="11">
                  <c:v>3.8582195390873464</c:v>
                </c:pt>
                <c:pt idx="12">
                  <c:v>4.0036366194561639</c:v>
                </c:pt>
                <c:pt idx="15">
                  <c:v>5.1309134890670283</c:v>
                </c:pt>
                <c:pt idx="19">
                  <c:v>8.4289366031335415</c:v>
                </c:pt>
                <c:pt idx="20">
                  <c:v>6.8890644374282441</c:v>
                </c:pt>
              </c:numCache>
            </c:numRef>
          </c:yVal>
          <c:smooth val="0"/>
          <c:extLst>
            <c:ext xmlns:c16="http://schemas.microsoft.com/office/drawing/2014/chart" uri="{C3380CC4-5D6E-409C-BE32-E72D297353CC}">
              <c16:uniqueId val="{00000001-774C-4912-9B52-CD5BB47BBF2E}"/>
            </c:ext>
          </c:extLst>
        </c:ser>
        <c:ser>
          <c:idx val="2"/>
          <c:order val="2"/>
          <c:tx>
            <c:v>3800m</c:v>
          </c:tx>
          <c:spPr>
            <a:ln w="25400" cap="rnd">
              <a:noFill/>
              <a:round/>
            </a:ln>
            <a:effectLst/>
          </c:spPr>
          <c:marker>
            <c:symbol val="circle"/>
            <c:size val="5"/>
            <c:spPr>
              <a:solidFill>
                <a:schemeClr val="accent3"/>
              </a:solidFill>
              <a:ln w="9525">
                <a:solidFill>
                  <a:schemeClr val="accent3"/>
                </a:solidFill>
              </a:ln>
              <a:effectLst/>
            </c:spPr>
          </c:marker>
          <c:xVal>
            <c:numRef>
              <c:f>Main!$V$55:$V$75</c:f>
              <c:numCache>
                <c:formatCode>m/d/yyyy</c:formatCode>
                <c:ptCount val="21"/>
                <c:pt idx="0">
                  <c:v>44704.5</c:v>
                </c:pt>
                <c:pt idx="1">
                  <c:v>44721.5</c:v>
                </c:pt>
                <c:pt idx="2">
                  <c:v>44738.5</c:v>
                </c:pt>
                <c:pt idx="3">
                  <c:v>44755.5</c:v>
                </c:pt>
                <c:pt idx="4">
                  <c:v>44772.5</c:v>
                </c:pt>
                <c:pt idx="5">
                  <c:v>44789.5</c:v>
                </c:pt>
                <c:pt idx="6">
                  <c:v>44806.5</c:v>
                </c:pt>
                <c:pt idx="7">
                  <c:v>44823.5</c:v>
                </c:pt>
                <c:pt idx="8">
                  <c:v>44840.5</c:v>
                </c:pt>
                <c:pt idx="9">
                  <c:v>44857.5</c:v>
                </c:pt>
                <c:pt idx="10">
                  <c:v>44874.5</c:v>
                </c:pt>
                <c:pt idx="11">
                  <c:v>44891.5</c:v>
                </c:pt>
                <c:pt idx="12">
                  <c:v>44908.5</c:v>
                </c:pt>
                <c:pt idx="13">
                  <c:v>44925.5</c:v>
                </c:pt>
                <c:pt idx="14">
                  <c:v>44942.5</c:v>
                </c:pt>
                <c:pt idx="15">
                  <c:v>44959.5</c:v>
                </c:pt>
                <c:pt idx="16">
                  <c:v>44976.5</c:v>
                </c:pt>
                <c:pt idx="17">
                  <c:v>44993.5</c:v>
                </c:pt>
                <c:pt idx="18">
                  <c:v>45010.5</c:v>
                </c:pt>
                <c:pt idx="19">
                  <c:v>45027.5</c:v>
                </c:pt>
                <c:pt idx="20">
                  <c:v>45044.5</c:v>
                </c:pt>
              </c:numCache>
            </c:numRef>
          </c:xVal>
          <c:yVal>
            <c:numRef>
              <c:f>'BSi data'!$W$64:$W$84</c:f>
              <c:numCache>
                <c:formatCode>General</c:formatCode>
                <c:ptCount val="21"/>
                <c:pt idx="0">
                  <c:v>2.9817780428992289</c:v>
                </c:pt>
                <c:pt idx="1">
                  <c:v>3.1893919758275429</c:v>
                </c:pt>
                <c:pt idx="2">
                  <c:v>2.8857565008631845</c:v>
                </c:pt>
                <c:pt idx="3">
                  <c:v>3.1093136535900041</c:v>
                </c:pt>
                <c:pt idx="4">
                  <c:v>3.5649032282377582</c:v>
                </c:pt>
                <c:pt idx="5">
                  <c:v>4.8161621418845755</c:v>
                </c:pt>
                <c:pt idx="6">
                  <c:v>4.8313627272540316</c:v>
                </c:pt>
                <c:pt idx="7">
                  <c:v>4.9919887118528061</c:v>
                </c:pt>
                <c:pt idx="8">
                  <c:v>5.1377537829064073</c:v>
                </c:pt>
                <c:pt idx="9">
                  <c:v>4.5738479734292179</c:v>
                </c:pt>
                <c:pt idx="10">
                  <c:v>4.3048398969958983</c:v>
                </c:pt>
                <c:pt idx="11">
                  <c:v>3.847949771234386</c:v>
                </c:pt>
                <c:pt idx="12">
                  <c:v>7.3716944065287597</c:v>
                </c:pt>
                <c:pt idx="13">
                  <c:v>9.5316443569085969</c:v>
                </c:pt>
                <c:pt idx="14">
                  <c:v>9.4117479666618653</c:v>
                </c:pt>
                <c:pt idx="15">
                  <c:v>6.4618643680017236</c:v>
                </c:pt>
                <c:pt idx="16">
                  <c:v>4.1185132049686688</c:v>
                </c:pt>
                <c:pt idx="17">
                  <c:v>5.387426142924153</c:v>
                </c:pt>
                <c:pt idx="18">
                  <c:v>5.1655244267323752</c:v>
                </c:pt>
                <c:pt idx="19">
                  <c:v>4.7855142405063296</c:v>
                </c:pt>
                <c:pt idx="20">
                  <c:v>4.3909189112546629</c:v>
                </c:pt>
              </c:numCache>
            </c:numRef>
          </c:yVal>
          <c:smooth val="0"/>
          <c:extLst>
            <c:ext xmlns:c16="http://schemas.microsoft.com/office/drawing/2014/chart" uri="{C3380CC4-5D6E-409C-BE32-E72D297353CC}">
              <c16:uniqueId val="{00000002-774C-4912-9B52-CD5BB47BBF2E}"/>
            </c:ext>
          </c:extLst>
        </c:ser>
        <c:dLbls>
          <c:showLegendKey val="0"/>
          <c:showVal val="0"/>
          <c:showCatName val="0"/>
          <c:showSerName val="0"/>
          <c:showPercent val="0"/>
          <c:showBubbleSize val="0"/>
        </c:dLbls>
        <c:axId val="1403119904"/>
        <c:axId val="1403121824"/>
      </c:scatterChart>
      <c:valAx>
        <c:axId val="1403119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Midpoint</a:t>
                </a:r>
                <a:r>
                  <a:rPr lang="en-AU" baseline="0"/>
                  <a:t> time</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121824"/>
        <c:crosses val="autoZero"/>
        <c:crossBetween val="midCat"/>
      </c:valAx>
      <c:valAx>
        <c:axId val="1403121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11990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%BSi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1000m</c:v>
          </c:tx>
          <c:spPr>
            <a:ln w="25400" cap="rnd">
              <a:noFill/>
              <a:round/>
            </a:ln>
            <a:effectLst/>
          </c:spPr>
          <c:marker>
            <c:symbol val="circle"/>
            <c:size val="5"/>
            <c:spPr>
              <a:solidFill>
                <a:schemeClr val="accent1"/>
              </a:solidFill>
              <a:ln w="9525">
                <a:solidFill>
                  <a:schemeClr val="accent1"/>
                </a:solidFill>
              </a:ln>
              <a:effectLst/>
            </c:spPr>
          </c:marker>
          <c:xVal>
            <c:numRef>
              <c:f>Main!$V$7:$V$27</c:f>
              <c:numCache>
                <c:formatCode>m/d/yyyy</c:formatCode>
                <c:ptCount val="21"/>
                <c:pt idx="0">
                  <c:v>44704.5</c:v>
                </c:pt>
                <c:pt idx="1">
                  <c:v>44721.5</c:v>
                </c:pt>
                <c:pt idx="2">
                  <c:v>44738.5</c:v>
                </c:pt>
                <c:pt idx="3">
                  <c:v>44755.5</c:v>
                </c:pt>
                <c:pt idx="4">
                  <c:v>44772.5</c:v>
                </c:pt>
                <c:pt idx="5">
                  <c:v>44789.5</c:v>
                </c:pt>
                <c:pt idx="6">
                  <c:v>44806.5</c:v>
                </c:pt>
                <c:pt idx="7">
                  <c:v>44823.5</c:v>
                </c:pt>
                <c:pt idx="8">
                  <c:v>44840.5</c:v>
                </c:pt>
                <c:pt idx="9">
                  <c:v>44857.5</c:v>
                </c:pt>
                <c:pt idx="10">
                  <c:v>44874.5</c:v>
                </c:pt>
                <c:pt idx="11">
                  <c:v>44891.5</c:v>
                </c:pt>
                <c:pt idx="12">
                  <c:v>44908.5</c:v>
                </c:pt>
                <c:pt idx="13">
                  <c:v>44925.5</c:v>
                </c:pt>
                <c:pt idx="14">
                  <c:v>44942.5</c:v>
                </c:pt>
                <c:pt idx="15">
                  <c:v>44959.5</c:v>
                </c:pt>
                <c:pt idx="16">
                  <c:v>44976.5</c:v>
                </c:pt>
                <c:pt idx="17">
                  <c:v>44993.5</c:v>
                </c:pt>
                <c:pt idx="18">
                  <c:v>45010.5</c:v>
                </c:pt>
                <c:pt idx="19">
                  <c:v>45027.5</c:v>
                </c:pt>
                <c:pt idx="20">
                  <c:v>45044.5</c:v>
                </c:pt>
              </c:numCache>
            </c:numRef>
          </c:xVal>
          <c:yVal>
            <c:numRef>
              <c:f>'BSi data'!$W$22:$W$42</c:f>
              <c:numCache>
                <c:formatCode>General</c:formatCode>
                <c:ptCount val="21"/>
                <c:pt idx="0">
                  <c:v>1.8543522121202669</c:v>
                </c:pt>
                <c:pt idx="1">
                  <c:v>1.7915246792626323</c:v>
                </c:pt>
                <c:pt idx="2">
                  <c:v>3.1310526065667879</c:v>
                </c:pt>
                <c:pt idx="3">
                  <c:v>1.934019153225806</c:v>
                </c:pt>
                <c:pt idx="4">
                  <c:v>1.8483369850271214</c:v>
                </c:pt>
                <c:pt idx="5">
                  <c:v>3.0757947641172265</c:v>
                </c:pt>
                <c:pt idx="6">
                  <c:v>5.3487334403046445</c:v>
                </c:pt>
                <c:pt idx="7">
                  <c:v>5.3750628333004151</c:v>
                </c:pt>
                <c:pt idx="8">
                  <c:v>5.1767490087646078</c:v>
                </c:pt>
                <c:pt idx="9">
                  <c:v>4.3175467618466623</c:v>
                </c:pt>
                <c:pt idx="10">
                  <c:v>4.2591301201049454</c:v>
                </c:pt>
                <c:pt idx="11">
                  <c:v>4.2868025379068051</c:v>
                </c:pt>
                <c:pt idx="12">
                  <c:v>4.7014176811045587</c:v>
                </c:pt>
                <c:pt idx="13">
                  <c:v>4.973403262402373</c:v>
                </c:pt>
                <c:pt idx="14">
                  <c:v>4.977959752796111</c:v>
                </c:pt>
                <c:pt idx="17">
                  <c:v>4.2674737577164423</c:v>
                </c:pt>
                <c:pt idx="18">
                  <c:v>5.1010525235217781</c:v>
                </c:pt>
                <c:pt idx="19">
                  <c:v>5.4600241216327543</c:v>
                </c:pt>
                <c:pt idx="20">
                  <c:v>5.6766506118327262</c:v>
                </c:pt>
              </c:numCache>
            </c:numRef>
          </c:yVal>
          <c:smooth val="0"/>
          <c:extLst>
            <c:ext xmlns:c16="http://schemas.microsoft.com/office/drawing/2014/chart" uri="{C3380CC4-5D6E-409C-BE32-E72D297353CC}">
              <c16:uniqueId val="{00000000-8931-4986-815D-CB501F85EBF4}"/>
            </c:ext>
          </c:extLst>
        </c:ser>
        <c:ser>
          <c:idx val="1"/>
          <c:order val="1"/>
          <c:tx>
            <c:v>2000m</c:v>
          </c:tx>
          <c:spPr>
            <a:ln w="25400" cap="rnd">
              <a:noFill/>
              <a:round/>
            </a:ln>
            <a:effectLst/>
          </c:spPr>
          <c:marker>
            <c:symbol val="circle"/>
            <c:size val="5"/>
            <c:spPr>
              <a:solidFill>
                <a:schemeClr val="accent2"/>
              </a:solidFill>
              <a:ln w="9525">
                <a:solidFill>
                  <a:schemeClr val="accent2"/>
                </a:solidFill>
              </a:ln>
              <a:effectLst/>
            </c:spPr>
          </c:marker>
          <c:xVal>
            <c:numRef>
              <c:f>Main!$V$31:$V$51</c:f>
              <c:numCache>
                <c:formatCode>m/d/yyyy</c:formatCode>
                <c:ptCount val="21"/>
                <c:pt idx="0">
                  <c:v>44704.5</c:v>
                </c:pt>
                <c:pt idx="1">
                  <c:v>44721.5</c:v>
                </c:pt>
                <c:pt idx="2">
                  <c:v>44738.5</c:v>
                </c:pt>
                <c:pt idx="3">
                  <c:v>44755.5</c:v>
                </c:pt>
                <c:pt idx="4">
                  <c:v>44772.5</c:v>
                </c:pt>
                <c:pt idx="5">
                  <c:v>44789.5</c:v>
                </c:pt>
                <c:pt idx="6">
                  <c:v>44806.5</c:v>
                </c:pt>
                <c:pt idx="7">
                  <c:v>44823.5</c:v>
                </c:pt>
                <c:pt idx="8">
                  <c:v>44840.5</c:v>
                </c:pt>
                <c:pt idx="9">
                  <c:v>44857.5</c:v>
                </c:pt>
                <c:pt idx="10">
                  <c:v>44874.5</c:v>
                </c:pt>
                <c:pt idx="11">
                  <c:v>44891.5</c:v>
                </c:pt>
                <c:pt idx="12">
                  <c:v>44908.5</c:v>
                </c:pt>
                <c:pt idx="13">
                  <c:v>44925.5</c:v>
                </c:pt>
                <c:pt idx="14">
                  <c:v>44942.5</c:v>
                </c:pt>
                <c:pt idx="15">
                  <c:v>44959.5</c:v>
                </c:pt>
                <c:pt idx="16">
                  <c:v>44976.5</c:v>
                </c:pt>
                <c:pt idx="17">
                  <c:v>44993.5</c:v>
                </c:pt>
                <c:pt idx="18">
                  <c:v>45010.5</c:v>
                </c:pt>
                <c:pt idx="19">
                  <c:v>45027.5</c:v>
                </c:pt>
                <c:pt idx="20">
                  <c:v>45044.5</c:v>
                </c:pt>
              </c:numCache>
            </c:numRef>
          </c:xVal>
          <c:yVal>
            <c:numRef>
              <c:f>'BSi data'!$W$43:$W$63</c:f>
              <c:numCache>
                <c:formatCode>General</c:formatCode>
                <c:ptCount val="21"/>
                <c:pt idx="0">
                  <c:v>3.3140649126838242</c:v>
                </c:pt>
                <c:pt idx="1">
                  <c:v>3.2412076763807076</c:v>
                </c:pt>
                <c:pt idx="2">
                  <c:v>3.26793294016983</c:v>
                </c:pt>
                <c:pt idx="3">
                  <c:v>3.793839700254102</c:v>
                </c:pt>
                <c:pt idx="4">
                  <c:v>4.1620038469748124</c:v>
                </c:pt>
                <c:pt idx="5">
                  <c:v>5.2782304471750763</c:v>
                </c:pt>
                <c:pt idx="6">
                  <c:v>5.5786419239799363</c:v>
                </c:pt>
                <c:pt idx="7">
                  <c:v>6.1372690011809432</c:v>
                </c:pt>
                <c:pt idx="8">
                  <c:v>5.7415043245843318</c:v>
                </c:pt>
                <c:pt idx="9">
                  <c:v>4.3357834628471599</c:v>
                </c:pt>
                <c:pt idx="10">
                  <c:v>3.8108573990090702</c:v>
                </c:pt>
                <c:pt idx="11">
                  <c:v>3.8582195390873464</c:v>
                </c:pt>
                <c:pt idx="12">
                  <c:v>4.0036366194561639</c:v>
                </c:pt>
                <c:pt idx="15">
                  <c:v>5.1309134890670283</c:v>
                </c:pt>
                <c:pt idx="19">
                  <c:v>8.4289366031335415</c:v>
                </c:pt>
                <c:pt idx="20">
                  <c:v>6.8890644374282441</c:v>
                </c:pt>
              </c:numCache>
            </c:numRef>
          </c:yVal>
          <c:smooth val="0"/>
          <c:extLst>
            <c:ext xmlns:c16="http://schemas.microsoft.com/office/drawing/2014/chart" uri="{C3380CC4-5D6E-409C-BE32-E72D297353CC}">
              <c16:uniqueId val="{00000001-8931-4986-815D-CB501F85EBF4}"/>
            </c:ext>
          </c:extLst>
        </c:ser>
        <c:ser>
          <c:idx val="2"/>
          <c:order val="2"/>
          <c:tx>
            <c:v>3800m</c:v>
          </c:tx>
          <c:spPr>
            <a:ln w="25400" cap="rnd">
              <a:noFill/>
              <a:round/>
            </a:ln>
            <a:effectLst/>
          </c:spPr>
          <c:marker>
            <c:symbol val="circle"/>
            <c:size val="5"/>
            <c:spPr>
              <a:solidFill>
                <a:schemeClr val="accent3"/>
              </a:solidFill>
              <a:ln w="9525">
                <a:solidFill>
                  <a:schemeClr val="accent3"/>
                </a:solidFill>
              </a:ln>
              <a:effectLst/>
            </c:spPr>
          </c:marker>
          <c:xVal>
            <c:numRef>
              <c:f>Main!$V$55:$V$75</c:f>
              <c:numCache>
                <c:formatCode>m/d/yyyy</c:formatCode>
                <c:ptCount val="21"/>
                <c:pt idx="0">
                  <c:v>44704.5</c:v>
                </c:pt>
                <c:pt idx="1">
                  <c:v>44721.5</c:v>
                </c:pt>
                <c:pt idx="2">
                  <c:v>44738.5</c:v>
                </c:pt>
                <c:pt idx="3">
                  <c:v>44755.5</c:v>
                </c:pt>
                <c:pt idx="4">
                  <c:v>44772.5</c:v>
                </c:pt>
                <c:pt idx="5">
                  <c:v>44789.5</c:v>
                </c:pt>
                <c:pt idx="6">
                  <c:v>44806.5</c:v>
                </c:pt>
                <c:pt idx="7">
                  <c:v>44823.5</c:v>
                </c:pt>
                <c:pt idx="8">
                  <c:v>44840.5</c:v>
                </c:pt>
                <c:pt idx="9">
                  <c:v>44857.5</c:v>
                </c:pt>
                <c:pt idx="10">
                  <c:v>44874.5</c:v>
                </c:pt>
                <c:pt idx="11">
                  <c:v>44891.5</c:v>
                </c:pt>
                <c:pt idx="12">
                  <c:v>44908.5</c:v>
                </c:pt>
                <c:pt idx="13">
                  <c:v>44925.5</c:v>
                </c:pt>
                <c:pt idx="14">
                  <c:v>44942.5</c:v>
                </c:pt>
                <c:pt idx="15">
                  <c:v>44959.5</c:v>
                </c:pt>
                <c:pt idx="16">
                  <c:v>44976.5</c:v>
                </c:pt>
                <c:pt idx="17">
                  <c:v>44993.5</c:v>
                </c:pt>
                <c:pt idx="18">
                  <c:v>45010.5</c:v>
                </c:pt>
                <c:pt idx="19">
                  <c:v>45027.5</c:v>
                </c:pt>
                <c:pt idx="20">
                  <c:v>45044.5</c:v>
                </c:pt>
              </c:numCache>
            </c:numRef>
          </c:xVal>
          <c:yVal>
            <c:numRef>
              <c:f>'BSi data'!$W$64:$W$84</c:f>
              <c:numCache>
                <c:formatCode>General</c:formatCode>
                <c:ptCount val="21"/>
                <c:pt idx="0">
                  <c:v>2.9817780428992289</c:v>
                </c:pt>
                <c:pt idx="1">
                  <c:v>3.1893919758275429</c:v>
                </c:pt>
                <c:pt idx="2">
                  <c:v>2.8857565008631845</c:v>
                </c:pt>
                <c:pt idx="3">
                  <c:v>3.1093136535900041</c:v>
                </c:pt>
                <c:pt idx="4">
                  <c:v>3.5649032282377582</c:v>
                </c:pt>
                <c:pt idx="5">
                  <c:v>4.8161621418845755</c:v>
                </c:pt>
                <c:pt idx="6">
                  <c:v>4.8313627272540316</c:v>
                </c:pt>
                <c:pt idx="7">
                  <c:v>4.9919887118528061</c:v>
                </c:pt>
                <c:pt idx="8">
                  <c:v>5.1377537829064073</c:v>
                </c:pt>
                <c:pt idx="9">
                  <c:v>4.5738479734292179</c:v>
                </c:pt>
                <c:pt idx="10">
                  <c:v>4.3048398969958983</c:v>
                </c:pt>
                <c:pt idx="11">
                  <c:v>3.847949771234386</c:v>
                </c:pt>
                <c:pt idx="12">
                  <c:v>7.3716944065287597</c:v>
                </c:pt>
                <c:pt idx="13">
                  <c:v>9.5316443569085969</c:v>
                </c:pt>
                <c:pt idx="14">
                  <c:v>9.4117479666618653</c:v>
                </c:pt>
                <c:pt idx="15">
                  <c:v>6.4618643680017236</c:v>
                </c:pt>
                <c:pt idx="16">
                  <c:v>4.1185132049686688</c:v>
                </c:pt>
                <c:pt idx="17">
                  <c:v>5.387426142924153</c:v>
                </c:pt>
                <c:pt idx="18">
                  <c:v>5.1655244267323752</c:v>
                </c:pt>
                <c:pt idx="19">
                  <c:v>4.7855142405063296</c:v>
                </c:pt>
                <c:pt idx="20">
                  <c:v>4.3909189112546629</c:v>
                </c:pt>
              </c:numCache>
            </c:numRef>
          </c:yVal>
          <c:smooth val="0"/>
          <c:extLst>
            <c:ext xmlns:c16="http://schemas.microsoft.com/office/drawing/2014/chart" uri="{C3380CC4-5D6E-409C-BE32-E72D297353CC}">
              <c16:uniqueId val="{00000002-8931-4986-815D-CB501F85EBF4}"/>
            </c:ext>
          </c:extLst>
        </c:ser>
        <c:dLbls>
          <c:showLegendKey val="0"/>
          <c:showVal val="0"/>
          <c:showCatName val="0"/>
          <c:showSerName val="0"/>
          <c:showPercent val="0"/>
          <c:showBubbleSize val="0"/>
        </c:dLbls>
        <c:axId val="1403119904"/>
        <c:axId val="1403121824"/>
      </c:scatterChart>
      <c:valAx>
        <c:axId val="1403119904"/>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121824"/>
        <c:crosses val="autoZero"/>
        <c:crossBetween val="midCat"/>
      </c:valAx>
      <c:valAx>
        <c:axId val="1403121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11990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1000m</c:v>
          </c:tx>
          <c:spPr>
            <a:ln w="25400" cap="rnd">
              <a:noFill/>
              <a:round/>
            </a:ln>
            <a:effectLst/>
          </c:spPr>
          <c:marker>
            <c:symbol val="circle"/>
            <c:size val="5"/>
            <c:spPr>
              <a:solidFill>
                <a:schemeClr val="accent1"/>
              </a:solidFill>
              <a:ln w="9525">
                <a:solidFill>
                  <a:schemeClr val="accent1"/>
                </a:solidFill>
              </a:ln>
              <a:effectLst/>
            </c:spPr>
          </c:marker>
          <c:xVal>
            <c:numRef>
              <c:f>Main!$V$7:$V$27</c:f>
              <c:numCache>
                <c:formatCode>m/d/yyyy</c:formatCode>
                <c:ptCount val="21"/>
                <c:pt idx="0">
                  <c:v>44704.5</c:v>
                </c:pt>
                <c:pt idx="1">
                  <c:v>44721.5</c:v>
                </c:pt>
                <c:pt idx="2">
                  <c:v>44738.5</c:v>
                </c:pt>
                <c:pt idx="3">
                  <c:v>44755.5</c:v>
                </c:pt>
                <c:pt idx="4">
                  <c:v>44772.5</c:v>
                </c:pt>
                <c:pt idx="5">
                  <c:v>44789.5</c:v>
                </c:pt>
                <c:pt idx="6">
                  <c:v>44806.5</c:v>
                </c:pt>
                <c:pt idx="7">
                  <c:v>44823.5</c:v>
                </c:pt>
                <c:pt idx="8">
                  <c:v>44840.5</c:v>
                </c:pt>
                <c:pt idx="9">
                  <c:v>44857.5</c:v>
                </c:pt>
                <c:pt idx="10">
                  <c:v>44874.5</c:v>
                </c:pt>
                <c:pt idx="11">
                  <c:v>44891.5</c:v>
                </c:pt>
                <c:pt idx="12">
                  <c:v>44908.5</c:v>
                </c:pt>
                <c:pt idx="13">
                  <c:v>44925.5</c:v>
                </c:pt>
                <c:pt idx="14">
                  <c:v>44942.5</c:v>
                </c:pt>
                <c:pt idx="15">
                  <c:v>44959.5</c:v>
                </c:pt>
                <c:pt idx="16">
                  <c:v>44976.5</c:v>
                </c:pt>
                <c:pt idx="17">
                  <c:v>44993.5</c:v>
                </c:pt>
                <c:pt idx="18">
                  <c:v>45010.5</c:v>
                </c:pt>
                <c:pt idx="19">
                  <c:v>45027.5</c:v>
                </c:pt>
                <c:pt idx="20">
                  <c:v>45044.5</c:v>
                </c:pt>
              </c:numCache>
            </c:numRef>
          </c:xVal>
          <c:yVal>
            <c:numRef>
              <c:f>Main!$M$7:$M$27</c:f>
              <c:numCache>
                <c:formatCode>0.00</c:formatCode>
                <c:ptCount val="21"/>
                <c:pt idx="0">
                  <c:v>14.902379035949707</c:v>
                </c:pt>
                <c:pt idx="1">
                  <c:v>14.881267070770264</c:v>
                </c:pt>
                <c:pt idx="2">
                  <c:v>15.738003730773926</c:v>
                </c:pt>
                <c:pt idx="3">
                  <c:v>32.558025360107422</c:v>
                </c:pt>
                <c:pt idx="4">
                  <c:v>21.180381774902344</c:v>
                </c:pt>
                <c:pt idx="5">
                  <c:v>15.060200214385986</c:v>
                </c:pt>
                <c:pt idx="6">
                  <c:v>14.974660873413086</c:v>
                </c:pt>
                <c:pt idx="7">
                  <c:v>15.46688175201416</c:v>
                </c:pt>
                <c:pt idx="8">
                  <c:v>13.881094932556152</c:v>
                </c:pt>
                <c:pt idx="9">
                  <c:v>13.525103569030762</c:v>
                </c:pt>
                <c:pt idx="10">
                  <c:v>13.522268295288086</c:v>
                </c:pt>
                <c:pt idx="11">
                  <c:v>13.635256767272949</c:v>
                </c:pt>
                <c:pt idx="12">
                  <c:v>13.721451759338379</c:v>
                </c:pt>
                <c:pt idx="13">
                  <c:v>13.653738021850586</c:v>
                </c:pt>
                <c:pt idx="14">
                  <c:v>14.125909805297852</c:v>
                </c:pt>
                <c:pt idx="15">
                  <c:v>0</c:v>
                </c:pt>
                <c:pt idx="16">
                  <c:v>0</c:v>
                </c:pt>
                <c:pt idx="17">
                  <c:v>14.696099281311035</c:v>
                </c:pt>
                <c:pt idx="18">
                  <c:v>14.053082466125488</c:v>
                </c:pt>
                <c:pt idx="19">
                  <c:v>15.229901313781738</c:v>
                </c:pt>
                <c:pt idx="20">
                  <c:v>14.040099143981934</c:v>
                </c:pt>
              </c:numCache>
            </c:numRef>
          </c:yVal>
          <c:smooth val="0"/>
          <c:extLst>
            <c:ext xmlns:c16="http://schemas.microsoft.com/office/drawing/2014/chart" uri="{C3380CC4-5D6E-409C-BE32-E72D297353CC}">
              <c16:uniqueId val="{00000000-3AB3-4B9E-93D3-AE6B60AF5CC3}"/>
            </c:ext>
          </c:extLst>
        </c:ser>
        <c:ser>
          <c:idx val="1"/>
          <c:order val="1"/>
          <c:tx>
            <c:v>2000m</c:v>
          </c:tx>
          <c:spPr>
            <a:ln w="25400" cap="rnd">
              <a:noFill/>
              <a:round/>
            </a:ln>
            <a:effectLst/>
          </c:spPr>
          <c:marker>
            <c:symbol val="circle"/>
            <c:size val="5"/>
            <c:spPr>
              <a:solidFill>
                <a:schemeClr val="accent2"/>
              </a:solidFill>
              <a:ln w="9525">
                <a:solidFill>
                  <a:schemeClr val="accent2"/>
                </a:solidFill>
              </a:ln>
              <a:effectLst/>
            </c:spPr>
          </c:marker>
          <c:xVal>
            <c:numRef>
              <c:f>Main!$V$31:$V$51</c:f>
              <c:numCache>
                <c:formatCode>m/d/yyyy</c:formatCode>
                <c:ptCount val="21"/>
                <c:pt idx="0">
                  <c:v>44704.5</c:v>
                </c:pt>
                <c:pt idx="1">
                  <c:v>44721.5</c:v>
                </c:pt>
                <c:pt idx="2">
                  <c:v>44738.5</c:v>
                </c:pt>
                <c:pt idx="3">
                  <c:v>44755.5</c:v>
                </c:pt>
                <c:pt idx="4">
                  <c:v>44772.5</c:v>
                </c:pt>
                <c:pt idx="5">
                  <c:v>44789.5</c:v>
                </c:pt>
                <c:pt idx="6">
                  <c:v>44806.5</c:v>
                </c:pt>
                <c:pt idx="7">
                  <c:v>44823.5</c:v>
                </c:pt>
                <c:pt idx="8">
                  <c:v>44840.5</c:v>
                </c:pt>
                <c:pt idx="9">
                  <c:v>44857.5</c:v>
                </c:pt>
                <c:pt idx="10">
                  <c:v>44874.5</c:v>
                </c:pt>
                <c:pt idx="11">
                  <c:v>44891.5</c:v>
                </c:pt>
                <c:pt idx="12">
                  <c:v>44908.5</c:v>
                </c:pt>
                <c:pt idx="13">
                  <c:v>44925.5</c:v>
                </c:pt>
                <c:pt idx="14">
                  <c:v>44942.5</c:v>
                </c:pt>
                <c:pt idx="15">
                  <c:v>44959.5</c:v>
                </c:pt>
                <c:pt idx="16">
                  <c:v>44976.5</c:v>
                </c:pt>
                <c:pt idx="17">
                  <c:v>44993.5</c:v>
                </c:pt>
                <c:pt idx="18">
                  <c:v>45010.5</c:v>
                </c:pt>
                <c:pt idx="19">
                  <c:v>45027.5</c:v>
                </c:pt>
                <c:pt idx="20">
                  <c:v>45044.5</c:v>
                </c:pt>
              </c:numCache>
            </c:numRef>
          </c:xVal>
          <c:yVal>
            <c:numRef>
              <c:f>Main!$M$31:$M$51</c:f>
              <c:numCache>
                <c:formatCode>0.00</c:formatCode>
                <c:ptCount val="21"/>
                <c:pt idx="0">
                  <c:v>14.247434616088867</c:v>
                </c:pt>
                <c:pt idx="1">
                  <c:v>14.521237373352051</c:v>
                </c:pt>
                <c:pt idx="2">
                  <c:v>14.124810218811035</c:v>
                </c:pt>
                <c:pt idx="3">
                  <c:v>13.998252868652344</c:v>
                </c:pt>
                <c:pt idx="4">
                  <c:v>13.26401424407959</c:v>
                </c:pt>
                <c:pt idx="5">
                  <c:v>13.046916007995605</c:v>
                </c:pt>
                <c:pt idx="6">
                  <c:v>13.122382164001465</c:v>
                </c:pt>
                <c:pt idx="7">
                  <c:v>12.903997421264648</c:v>
                </c:pt>
                <c:pt idx="8">
                  <c:v>12.563013076782227</c:v>
                </c:pt>
                <c:pt idx="9">
                  <c:v>13.241850852966309</c:v>
                </c:pt>
                <c:pt idx="10">
                  <c:v>12.646408081054688</c:v>
                </c:pt>
                <c:pt idx="11">
                  <c:v>12.868570327758789</c:v>
                </c:pt>
                <c:pt idx="12">
                  <c:v>13.390506744384766</c:v>
                </c:pt>
                <c:pt idx="13" formatCode="General">
                  <c:v>0</c:v>
                </c:pt>
                <c:pt idx="14" formatCode="General">
                  <c:v>0</c:v>
                </c:pt>
                <c:pt idx="15">
                  <c:v>13.844083786010742</c:v>
                </c:pt>
                <c:pt idx="16" formatCode="General">
                  <c:v>0</c:v>
                </c:pt>
                <c:pt idx="17" formatCode="General">
                  <c:v>0</c:v>
                </c:pt>
                <c:pt idx="18" formatCode="General">
                  <c:v>0</c:v>
                </c:pt>
                <c:pt idx="19">
                  <c:v>15.185502052307129</c:v>
                </c:pt>
                <c:pt idx="20">
                  <c:v>15.645127296447754</c:v>
                </c:pt>
              </c:numCache>
            </c:numRef>
          </c:yVal>
          <c:smooth val="0"/>
          <c:extLst>
            <c:ext xmlns:c16="http://schemas.microsoft.com/office/drawing/2014/chart" uri="{C3380CC4-5D6E-409C-BE32-E72D297353CC}">
              <c16:uniqueId val="{00000001-3AB3-4B9E-93D3-AE6B60AF5CC3}"/>
            </c:ext>
          </c:extLst>
        </c:ser>
        <c:ser>
          <c:idx val="2"/>
          <c:order val="2"/>
          <c:tx>
            <c:v>3800m</c:v>
          </c:tx>
          <c:spPr>
            <a:ln w="25400" cap="rnd">
              <a:noFill/>
              <a:round/>
            </a:ln>
            <a:effectLst/>
          </c:spPr>
          <c:marker>
            <c:symbol val="circle"/>
            <c:size val="5"/>
            <c:spPr>
              <a:solidFill>
                <a:schemeClr val="accent3"/>
              </a:solidFill>
              <a:ln w="9525">
                <a:solidFill>
                  <a:schemeClr val="accent3"/>
                </a:solidFill>
              </a:ln>
              <a:effectLst/>
            </c:spPr>
          </c:marker>
          <c:xVal>
            <c:numRef>
              <c:f>Main!$V$55:$V$75</c:f>
              <c:numCache>
                <c:formatCode>m/d/yyyy</c:formatCode>
                <c:ptCount val="21"/>
                <c:pt idx="0">
                  <c:v>44704.5</c:v>
                </c:pt>
                <c:pt idx="1">
                  <c:v>44721.5</c:v>
                </c:pt>
                <c:pt idx="2">
                  <c:v>44738.5</c:v>
                </c:pt>
                <c:pt idx="3">
                  <c:v>44755.5</c:v>
                </c:pt>
                <c:pt idx="4">
                  <c:v>44772.5</c:v>
                </c:pt>
                <c:pt idx="5">
                  <c:v>44789.5</c:v>
                </c:pt>
                <c:pt idx="6">
                  <c:v>44806.5</c:v>
                </c:pt>
                <c:pt idx="7">
                  <c:v>44823.5</c:v>
                </c:pt>
                <c:pt idx="8">
                  <c:v>44840.5</c:v>
                </c:pt>
                <c:pt idx="9">
                  <c:v>44857.5</c:v>
                </c:pt>
                <c:pt idx="10">
                  <c:v>44874.5</c:v>
                </c:pt>
                <c:pt idx="11">
                  <c:v>44891.5</c:v>
                </c:pt>
                <c:pt idx="12">
                  <c:v>44908.5</c:v>
                </c:pt>
                <c:pt idx="13">
                  <c:v>44925.5</c:v>
                </c:pt>
                <c:pt idx="14">
                  <c:v>44942.5</c:v>
                </c:pt>
                <c:pt idx="15">
                  <c:v>44959.5</c:v>
                </c:pt>
                <c:pt idx="16">
                  <c:v>44976.5</c:v>
                </c:pt>
                <c:pt idx="17">
                  <c:v>44993.5</c:v>
                </c:pt>
                <c:pt idx="18">
                  <c:v>45010.5</c:v>
                </c:pt>
                <c:pt idx="19">
                  <c:v>45027.5</c:v>
                </c:pt>
                <c:pt idx="20">
                  <c:v>45044.5</c:v>
                </c:pt>
              </c:numCache>
            </c:numRef>
          </c:xVal>
          <c:yVal>
            <c:numRef>
              <c:f>Main!$M$55:$M$75</c:f>
              <c:numCache>
                <c:formatCode>0.00</c:formatCode>
                <c:ptCount val="21"/>
                <c:pt idx="0">
                  <c:v>13.722061157226563</c:v>
                </c:pt>
                <c:pt idx="1">
                  <c:v>13.56171989440918</c:v>
                </c:pt>
                <c:pt idx="2">
                  <c:v>13.43907642364502</c:v>
                </c:pt>
                <c:pt idx="3">
                  <c:v>15.685426712036133</c:v>
                </c:pt>
                <c:pt idx="4">
                  <c:v>12.691935539245605</c:v>
                </c:pt>
                <c:pt idx="5">
                  <c:v>11.987616539001465</c:v>
                </c:pt>
                <c:pt idx="6">
                  <c:v>11.95491886138916</c:v>
                </c:pt>
                <c:pt idx="7">
                  <c:v>12.301887512207031</c:v>
                </c:pt>
                <c:pt idx="8">
                  <c:v>12.759530067443848</c:v>
                </c:pt>
                <c:pt idx="9">
                  <c:v>12.43962574005127</c:v>
                </c:pt>
                <c:pt idx="10">
                  <c:v>12.442903518676758</c:v>
                </c:pt>
                <c:pt idx="11">
                  <c:v>13.223359107971191</c:v>
                </c:pt>
                <c:pt idx="12">
                  <c:v>12.236926078796387</c:v>
                </c:pt>
                <c:pt idx="13">
                  <c:v>11.76308536529541</c:v>
                </c:pt>
                <c:pt idx="14">
                  <c:v>13.305138111114502</c:v>
                </c:pt>
                <c:pt idx="15">
                  <c:v>12.947148323059082</c:v>
                </c:pt>
                <c:pt idx="16">
                  <c:v>13.637119121551514</c:v>
                </c:pt>
                <c:pt idx="17">
                  <c:v>12.892898559570313</c:v>
                </c:pt>
                <c:pt idx="18">
                  <c:v>12.664948463439941</c:v>
                </c:pt>
                <c:pt idx="19">
                  <c:v>12.459025382995605</c:v>
                </c:pt>
                <c:pt idx="20">
                  <c:v>13.983448028564453</c:v>
                </c:pt>
              </c:numCache>
            </c:numRef>
          </c:yVal>
          <c:smooth val="0"/>
          <c:extLst>
            <c:ext xmlns:c16="http://schemas.microsoft.com/office/drawing/2014/chart" uri="{C3380CC4-5D6E-409C-BE32-E72D297353CC}">
              <c16:uniqueId val="{00000002-3AB3-4B9E-93D3-AE6B60AF5CC3}"/>
            </c:ext>
          </c:extLst>
        </c:ser>
        <c:dLbls>
          <c:showLegendKey val="0"/>
          <c:showVal val="0"/>
          <c:showCatName val="0"/>
          <c:showSerName val="0"/>
          <c:showPercent val="0"/>
          <c:showBubbleSize val="0"/>
        </c:dLbls>
        <c:axId val="1403119904"/>
        <c:axId val="1403121824"/>
      </c:scatterChart>
      <c:valAx>
        <c:axId val="1403119904"/>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121824"/>
        <c:crosses val="autoZero"/>
        <c:crossBetween val="midCat"/>
      </c:valAx>
      <c:valAx>
        <c:axId val="14031218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11990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1000m</c:v>
          </c:tx>
          <c:spPr>
            <a:ln w="25400" cap="rnd">
              <a:noFill/>
              <a:round/>
            </a:ln>
            <a:effectLst/>
          </c:spPr>
          <c:marker>
            <c:symbol val="circle"/>
            <c:size val="5"/>
            <c:spPr>
              <a:solidFill>
                <a:schemeClr val="accent1"/>
              </a:solidFill>
              <a:ln w="9525">
                <a:solidFill>
                  <a:schemeClr val="accent1"/>
                </a:solidFill>
              </a:ln>
              <a:effectLst/>
            </c:spPr>
          </c:marker>
          <c:xVal>
            <c:numRef>
              <c:f>Main!$V$7:$V$27</c:f>
              <c:numCache>
                <c:formatCode>m/d/yyyy</c:formatCode>
                <c:ptCount val="21"/>
                <c:pt idx="0">
                  <c:v>44704.5</c:v>
                </c:pt>
                <c:pt idx="1">
                  <c:v>44721.5</c:v>
                </c:pt>
                <c:pt idx="2">
                  <c:v>44738.5</c:v>
                </c:pt>
                <c:pt idx="3">
                  <c:v>44755.5</c:v>
                </c:pt>
                <c:pt idx="4">
                  <c:v>44772.5</c:v>
                </c:pt>
                <c:pt idx="5">
                  <c:v>44789.5</c:v>
                </c:pt>
                <c:pt idx="6">
                  <c:v>44806.5</c:v>
                </c:pt>
                <c:pt idx="7">
                  <c:v>44823.5</c:v>
                </c:pt>
                <c:pt idx="8">
                  <c:v>44840.5</c:v>
                </c:pt>
                <c:pt idx="9">
                  <c:v>44857.5</c:v>
                </c:pt>
                <c:pt idx="10">
                  <c:v>44874.5</c:v>
                </c:pt>
                <c:pt idx="11">
                  <c:v>44891.5</c:v>
                </c:pt>
                <c:pt idx="12">
                  <c:v>44908.5</c:v>
                </c:pt>
                <c:pt idx="13">
                  <c:v>44925.5</c:v>
                </c:pt>
                <c:pt idx="14">
                  <c:v>44942.5</c:v>
                </c:pt>
                <c:pt idx="15">
                  <c:v>44959.5</c:v>
                </c:pt>
                <c:pt idx="16">
                  <c:v>44976.5</c:v>
                </c:pt>
                <c:pt idx="17">
                  <c:v>44993.5</c:v>
                </c:pt>
                <c:pt idx="18">
                  <c:v>45010.5</c:v>
                </c:pt>
                <c:pt idx="19">
                  <c:v>45027.5</c:v>
                </c:pt>
                <c:pt idx="20">
                  <c:v>45044.5</c:v>
                </c:pt>
              </c:numCache>
            </c:numRef>
          </c:xVal>
          <c:yVal>
            <c:numRef>
              <c:f>Main!$O$7:$O$27</c:f>
              <c:numCache>
                <c:formatCode>0.00</c:formatCode>
                <c:ptCount val="21"/>
                <c:pt idx="0">
                  <c:v>0.90104067325592041</c:v>
                </c:pt>
                <c:pt idx="1">
                  <c:v>0.86952000856399536</c:v>
                </c:pt>
                <c:pt idx="2">
                  <c:v>1.1210634708404541</c:v>
                </c:pt>
                <c:pt idx="3">
                  <c:v>5.1731257438659668</c:v>
                </c:pt>
                <c:pt idx="4">
                  <c:v>2.7678661346435547</c:v>
                </c:pt>
                <c:pt idx="5">
                  <c:v>1.454541027545929</c:v>
                </c:pt>
                <c:pt idx="6">
                  <c:v>1.1620010137557983</c:v>
                </c:pt>
                <c:pt idx="7">
                  <c:v>1.3534483909606934</c:v>
                </c:pt>
                <c:pt idx="8">
                  <c:v>0.83412986993789673</c:v>
                </c:pt>
                <c:pt idx="9">
                  <c:v>0.68007773160934448</c:v>
                </c:pt>
                <c:pt idx="10">
                  <c:v>0.61902719736099243</c:v>
                </c:pt>
                <c:pt idx="11">
                  <c:v>0.66877591609954834</c:v>
                </c:pt>
                <c:pt idx="12">
                  <c:v>0.70274358987808228</c:v>
                </c:pt>
                <c:pt idx="13">
                  <c:v>0.7718701958656311</c:v>
                </c:pt>
                <c:pt idx="14">
                  <c:v>0.9453589916229248</c:v>
                </c:pt>
                <c:pt idx="15">
                  <c:v>0</c:v>
                </c:pt>
                <c:pt idx="16">
                  <c:v>0</c:v>
                </c:pt>
                <c:pt idx="17">
                  <c:v>1.2483048439025879</c:v>
                </c:pt>
                <c:pt idx="18">
                  <c:v>0.86163246631622314</c:v>
                </c:pt>
                <c:pt idx="19">
                  <c:v>1.1338266134262085</c:v>
                </c:pt>
                <c:pt idx="20">
                  <c:v>0.89570164680480957</c:v>
                </c:pt>
              </c:numCache>
            </c:numRef>
          </c:yVal>
          <c:smooth val="0"/>
          <c:extLst>
            <c:ext xmlns:c16="http://schemas.microsoft.com/office/drawing/2014/chart" uri="{C3380CC4-5D6E-409C-BE32-E72D297353CC}">
              <c16:uniqueId val="{00000000-D7B3-461A-B92F-66DB18B4AB4D}"/>
            </c:ext>
          </c:extLst>
        </c:ser>
        <c:ser>
          <c:idx val="1"/>
          <c:order val="1"/>
          <c:tx>
            <c:v>2000m</c:v>
          </c:tx>
          <c:spPr>
            <a:ln w="25400" cap="rnd">
              <a:noFill/>
              <a:round/>
            </a:ln>
            <a:effectLst/>
          </c:spPr>
          <c:marker>
            <c:symbol val="circle"/>
            <c:size val="5"/>
            <c:spPr>
              <a:solidFill>
                <a:schemeClr val="accent2"/>
              </a:solidFill>
              <a:ln w="9525">
                <a:solidFill>
                  <a:schemeClr val="accent2"/>
                </a:solidFill>
              </a:ln>
              <a:effectLst/>
            </c:spPr>
          </c:marker>
          <c:xVal>
            <c:numRef>
              <c:f>Main!$V$31:$V$51</c:f>
              <c:numCache>
                <c:formatCode>m/d/yyyy</c:formatCode>
                <c:ptCount val="21"/>
                <c:pt idx="0">
                  <c:v>44704.5</c:v>
                </c:pt>
                <c:pt idx="1">
                  <c:v>44721.5</c:v>
                </c:pt>
                <c:pt idx="2">
                  <c:v>44738.5</c:v>
                </c:pt>
                <c:pt idx="3">
                  <c:v>44755.5</c:v>
                </c:pt>
                <c:pt idx="4">
                  <c:v>44772.5</c:v>
                </c:pt>
                <c:pt idx="5">
                  <c:v>44789.5</c:v>
                </c:pt>
                <c:pt idx="6">
                  <c:v>44806.5</c:v>
                </c:pt>
                <c:pt idx="7">
                  <c:v>44823.5</c:v>
                </c:pt>
                <c:pt idx="8">
                  <c:v>44840.5</c:v>
                </c:pt>
                <c:pt idx="9">
                  <c:v>44857.5</c:v>
                </c:pt>
                <c:pt idx="10">
                  <c:v>44874.5</c:v>
                </c:pt>
                <c:pt idx="11">
                  <c:v>44891.5</c:v>
                </c:pt>
                <c:pt idx="12">
                  <c:v>44908.5</c:v>
                </c:pt>
                <c:pt idx="13">
                  <c:v>44925.5</c:v>
                </c:pt>
                <c:pt idx="14">
                  <c:v>44942.5</c:v>
                </c:pt>
                <c:pt idx="15">
                  <c:v>44959.5</c:v>
                </c:pt>
                <c:pt idx="16">
                  <c:v>44976.5</c:v>
                </c:pt>
                <c:pt idx="17">
                  <c:v>44993.5</c:v>
                </c:pt>
                <c:pt idx="18">
                  <c:v>45010.5</c:v>
                </c:pt>
                <c:pt idx="19">
                  <c:v>45027.5</c:v>
                </c:pt>
                <c:pt idx="20">
                  <c:v>45044.5</c:v>
                </c:pt>
              </c:numCache>
            </c:numRef>
          </c:xVal>
          <c:yVal>
            <c:numRef>
              <c:f>Main!$O$31:$O$51</c:f>
              <c:numCache>
                <c:formatCode>0.00</c:formatCode>
                <c:ptCount val="21"/>
                <c:pt idx="0">
                  <c:v>0.78490573167800903</c:v>
                </c:pt>
                <c:pt idx="1">
                  <c:v>0.97619426250457764</c:v>
                </c:pt>
                <c:pt idx="2">
                  <c:v>0.89117813110351563</c:v>
                </c:pt>
                <c:pt idx="3">
                  <c:v>0.89602220058441162</c:v>
                </c:pt>
                <c:pt idx="4">
                  <c:v>0.72803771495819092</c:v>
                </c:pt>
                <c:pt idx="5">
                  <c:v>0.71530050039291382</c:v>
                </c:pt>
                <c:pt idx="6">
                  <c:v>0.75174504518508911</c:v>
                </c:pt>
                <c:pt idx="7">
                  <c:v>0.71574407815933228</c:v>
                </c:pt>
                <c:pt idx="8">
                  <c:v>0.59883177280426025</c:v>
                </c:pt>
                <c:pt idx="9">
                  <c:v>0.69182890653610229</c:v>
                </c:pt>
                <c:pt idx="10">
                  <c:v>0.47727426886558533</c:v>
                </c:pt>
                <c:pt idx="11">
                  <c:v>0.57263672351837158</c:v>
                </c:pt>
                <c:pt idx="12">
                  <c:v>0.71725532412528992</c:v>
                </c:pt>
                <c:pt idx="13" formatCode="General">
                  <c:v>0</c:v>
                </c:pt>
                <c:pt idx="14" formatCode="General">
                  <c:v>0</c:v>
                </c:pt>
                <c:pt idx="15">
                  <c:v>0.86480331420898438</c:v>
                </c:pt>
                <c:pt idx="16" formatCode="General">
                  <c:v>0</c:v>
                </c:pt>
                <c:pt idx="17" formatCode="General">
                  <c:v>0</c:v>
                </c:pt>
                <c:pt idx="18" formatCode="General">
                  <c:v>0</c:v>
                </c:pt>
                <c:pt idx="19">
                  <c:v>1.3417773246765137</c:v>
                </c:pt>
                <c:pt idx="20">
                  <c:v>1.4059737920761108</c:v>
                </c:pt>
              </c:numCache>
            </c:numRef>
          </c:yVal>
          <c:smooth val="0"/>
          <c:extLst>
            <c:ext xmlns:c16="http://schemas.microsoft.com/office/drawing/2014/chart" uri="{C3380CC4-5D6E-409C-BE32-E72D297353CC}">
              <c16:uniqueId val="{00000001-D7B3-461A-B92F-66DB18B4AB4D}"/>
            </c:ext>
          </c:extLst>
        </c:ser>
        <c:ser>
          <c:idx val="2"/>
          <c:order val="2"/>
          <c:tx>
            <c:v>3800m</c:v>
          </c:tx>
          <c:spPr>
            <a:ln w="25400" cap="rnd">
              <a:noFill/>
              <a:round/>
            </a:ln>
            <a:effectLst/>
          </c:spPr>
          <c:marker>
            <c:symbol val="circle"/>
            <c:size val="5"/>
            <c:spPr>
              <a:solidFill>
                <a:schemeClr val="accent3"/>
              </a:solidFill>
              <a:ln w="9525">
                <a:solidFill>
                  <a:schemeClr val="accent3"/>
                </a:solidFill>
              </a:ln>
              <a:effectLst/>
            </c:spPr>
          </c:marker>
          <c:xVal>
            <c:numRef>
              <c:f>Main!$V$55:$V$75</c:f>
              <c:numCache>
                <c:formatCode>m/d/yyyy</c:formatCode>
                <c:ptCount val="21"/>
                <c:pt idx="0">
                  <c:v>44704.5</c:v>
                </c:pt>
                <c:pt idx="1">
                  <c:v>44721.5</c:v>
                </c:pt>
                <c:pt idx="2">
                  <c:v>44738.5</c:v>
                </c:pt>
                <c:pt idx="3">
                  <c:v>44755.5</c:v>
                </c:pt>
                <c:pt idx="4">
                  <c:v>44772.5</c:v>
                </c:pt>
                <c:pt idx="5">
                  <c:v>44789.5</c:v>
                </c:pt>
                <c:pt idx="6">
                  <c:v>44806.5</c:v>
                </c:pt>
                <c:pt idx="7">
                  <c:v>44823.5</c:v>
                </c:pt>
                <c:pt idx="8">
                  <c:v>44840.5</c:v>
                </c:pt>
                <c:pt idx="9">
                  <c:v>44857.5</c:v>
                </c:pt>
                <c:pt idx="10">
                  <c:v>44874.5</c:v>
                </c:pt>
                <c:pt idx="11">
                  <c:v>44891.5</c:v>
                </c:pt>
                <c:pt idx="12">
                  <c:v>44908.5</c:v>
                </c:pt>
                <c:pt idx="13">
                  <c:v>44925.5</c:v>
                </c:pt>
                <c:pt idx="14">
                  <c:v>44942.5</c:v>
                </c:pt>
                <c:pt idx="15">
                  <c:v>44959.5</c:v>
                </c:pt>
                <c:pt idx="16">
                  <c:v>44976.5</c:v>
                </c:pt>
                <c:pt idx="17">
                  <c:v>44993.5</c:v>
                </c:pt>
                <c:pt idx="18">
                  <c:v>45010.5</c:v>
                </c:pt>
                <c:pt idx="19">
                  <c:v>45027.5</c:v>
                </c:pt>
                <c:pt idx="20">
                  <c:v>45044.5</c:v>
                </c:pt>
              </c:numCache>
            </c:numRef>
          </c:xVal>
          <c:yVal>
            <c:numRef>
              <c:f>Main!$O$55:$O$75</c:f>
              <c:numCache>
                <c:formatCode>0.00</c:formatCode>
                <c:ptCount val="21"/>
                <c:pt idx="0">
                  <c:v>0.75171852111816406</c:v>
                </c:pt>
                <c:pt idx="1">
                  <c:v>0.72249287366867065</c:v>
                </c:pt>
                <c:pt idx="2">
                  <c:v>0.66684079170227051</c:v>
                </c:pt>
                <c:pt idx="3">
                  <c:v>1.2000707387924194</c:v>
                </c:pt>
                <c:pt idx="4">
                  <c:v>0.53777742385864258</c:v>
                </c:pt>
                <c:pt idx="5">
                  <c:v>0.45570942759513855</c:v>
                </c:pt>
                <c:pt idx="6">
                  <c:v>0.55595111846923828</c:v>
                </c:pt>
                <c:pt idx="7">
                  <c:v>0.58643555641174316</c:v>
                </c:pt>
                <c:pt idx="8">
                  <c:v>0.63776969909667969</c:v>
                </c:pt>
                <c:pt idx="9">
                  <c:v>0.49478974938392639</c:v>
                </c:pt>
                <c:pt idx="10">
                  <c:v>0.44762051105499268</c:v>
                </c:pt>
                <c:pt idx="11">
                  <c:v>0.65887707471847534</c:v>
                </c:pt>
                <c:pt idx="12">
                  <c:v>0.67238980531692505</c:v>
                </c:pt>
                <c:pt idx="13">
                  <c:v>0.66294419765472412</c:v>
                </c:pt>
                <c:pt idx="14">
                  <c:v>1.0291791558265686</c:v>
                </c:pt>
                <c:pt idx="15">
                  <c:v>0.78940832614898682</c:v>
                </c:pt>
                <c:pt idx="16">
                  <c:v>0.76293784379959106</c:v>
                </c:pt>
                <c:pt idx="17">
                  <c:v>0.59488427639007568</c:v>
                </c:pt>
                <c:pt idx="18">
                  <c:v>0.64429038763046265</c:v>
                </c:pt>
                <c:pt idx="19">
                  <c:v>0.57904958724975586</c:v>
                </c:pt>
                <c:pt idx="20">
                  <c:v>0.97274410724639893</c:v>
                </c:pt>
              </c:numCache>
            </c:numRef>
          </c:yVal>
          <c:smooth val="0"/>
          <c:extLst>
            <c:ext xmlns:c16="http://schemas.microsoft.com/office/drawing/2014/chart" uri="{C3380CC4-5D6E-409C-BE32-E72D297353CC}">
              <c16:uniqueId val="{00000002-D7B3-461A-B92F-66DB18B4AB4D}"/>
            </c:ext>
          </c:extLst>
        </c:ser>
        <c:dLbls>
          <c:showLegendKey val="0"/>
          <c:showVal val="0"/>
          <c:showCatName val="0"/>
          <c:showSerName val="0"/>
          <c:showPercent val="0"/>
          <c:showBubbleSize val="0"/>
        </c:dLbls>
        <c:axId val="1403119904"/>
        <c:axId val="1403121824"/>
      </c:scatterChart>
      <c:valAx>
        <c:axId val="1403119904"/>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121824"/>
        <c:crosses val="autoZero"/>
        <c:crossBetween val="midCat"/>
      </c:valAx>
      <c:valAx>
        <c:axId val="14031218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11990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Mass flux</a:t>
            </a:r>
            <a:r>
              <a:rPr lang="en-AU" baseline="0"/>
              <a:t> mg m-2 d-1</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1000m</c:v>
          </c:tx>
          <c:spPr>
            <a:ln w="25400" cap="rnd">
              <a:noFill/>
              <a:round/>
            </a:ln>
            <a:effectLst/>
          </c:spPr>
          <c:marker>
            <c:symbol val="circle"/>
            <c:size val="5"/>
            <c:spPr>
              <a:solidFill>
                <a:schemeClr val="accent1"/>
              </a:solidFill>
              <a:ln w="9525">
                <a:solidFill>
                  <a:schemeClr val="accent1"/>
                </a:solidFill>
              </a:ln>
              <a:effectLst/>
            </c:spPr>
          </c:marker>
          <c:xVal>
            <c:numRef>
              <c:f>Main!$V$7:$V$27</c:f>
              <c:numCache>
                <c:formatCode>m/d/yyyy</c:formatCode>
                <c:ptCount val="21"/>
                <c:pt idx="0">
                  <c:v>44704.5</c:v>
                </c:pt>
                <c:pt idx="1">
                  <c:v>44721.5</c:v>
                </c:pt>
                <c:pt idx="2">
                  <c:v>44738.5</c:v>
                </c:pt>
                <c:pt idx="3">
                  <c:v>44755.5</c:v>
                </c:pt>
                <c:pt idx="4">
                  <c:v>44772.5</c:v>
                </c:pt>
                <c:pt idx="5">
                  <c:v>44789.5</c:v>
                </c:pt>
                <c:pt idx="6">
                  <c:v>44806.5</c:v>
                </c:pt>
                <c:pt idx="7">
                  <c:v>44823.5</c:v>
                </c:pt>
                <c:pt idx="8">
                  <c:v>44840.5</c:v>
                </c:pt>
                <c:pt idx="9">
                  <c:v>44857.5</c:v>
                </c:pt>
                <c:pt idx="10">
                  <c:v>44874.5</c:v>
                </c:pt>
                <c:pt idx="11">
                  <c:v>44891.5</c:v>
                </c:pt>
                <c:pt idx="12">
                  <c:v>44908.5</c:v>
                </c:pt>
                <c:pt idx="13">
                  <c:v>44925.5</c:v>
                </c:pt>
                <c:pt idx="14">
                  <c:v>44942.5</c:v>
                </c:pt>
                <c:pt idx="15">
                  <c:v>44959.5</c:v>
                </c:pt>
                <c:pt idx="16">
                  <c:v>44976.5</c:v>
                </c:pt>
                <c:pt idx="17">
                  <c:v>44993.5</c:v>
                </c:pt>
                <c:pt idx="18">
                  <c:v>45010.5</c:v>
                </c:pt>
                <c:pt idx="19">
                  <c:v>45027.5</c:v>
                </c:pt>
                <c:pt idx="20">
                  <c:v>45044.5</c:v>
                </c:pt>
              </c:numCache>
            </c:numRef>
          </c:xVal>
          <c:yVal>
            <c:numRef>
              <c:f>Main!$I$7:$I$27</c:f>
              <c:numCache>
                <c:formatCode>General</c:formatCode>
                <c:ptCount val="21"/>
                <c:pt idx="0">
                  <c:v>34.823529411764703</c:v>
                </c:pt>
                <c:pt idx="1">
                  <c:v>23.176470588235286</c:v>
                </c:pt>
                <c:pt idx="2">
                  <c:v>28.722689075630253</c:v>
                </c:pt>
                <c:pt idx="3">
                  <c:v>57.815126050420169</c:v>
                </c:pt>
                <c:pt idx="4">
                  <c:v>23.647058823529409</c:v>
                </c:pt>
                <c:pt idx="5">
                  <c:v>25.092436974789916</c:v>
                </c:pt>
                <c:pt idx="6">
                  <c:v>16.672268907563023</c:v>
                </c:pt>
                <c:pt idx="7">
                  <c:v>83.243697478991592</c:v>
                </c:pt>
                <c:pt idx="8">
                  <c:v>24.907563025210084</c:v>
                </c:pt>
                <c:pt idx="9">
                  <c:v>39.193277310924366</c:v>
                </c:pt>
                <c:pt idx="10">
                  <c:v>74.100840336134439</c:v>
                </c:pt>
                <c:pt idx="11">
                  <c:v>33.63025210084033</c:v>
                </c:pt>
                <c:pt idx="12">
                  <c:v>13.378151260504199</c:v>
                </c:pt>
                <c:pt idx="13">
                  <c:v>31.94957983193277</c:v>
                </c:pt>
                <c:pt idx="14">
                  <c:v>9.5126050420168067</c:v>
                </c:pt>
                <c:pt idx="15">
                  <c:v>1.579831932773109</c:v>
                </c:pt>
                <c:pt idx="16">
                  <c:v>0.70588235294117585</c:v>
                </c:pt>
                <c:pt idx="17">
                  <c:v>3.1764705882352935</c:v>
                </c:pt>
                <c:pt idx="18">
                  <c:v>3.3445378151260514</c:v>
                </c:pt>
                <c:pt idx="19">
                  <c:v>3.0084033613445382</c:v>
                </c:pt>
                <c:pt idx="20">
                  <c:v>2.6050420168067232</c:v>
                </c:pt>
              </c:numCache>
            </c:numRef>
          </c:yVal>
          <c:smooth val="0"/>
          <c:extLst>
            <c:ext xmlns:c16="http://schemas.microsoft.com/office/drawing/2014/chart" uri="{C3380CC4-5D6E-409C-BE32-E72D297353CC}">
              <c16:uniqueId val="{00000000-2EE5-4C07-921E-C44E4617FB0B}"/>
            </c:ext>
          </c:extLst>
        </c:ser>
        <c:ser>
          <c:idx val="1"/>
          <c:order val="1"/>
          <c:tx>
            <c:v>2000m</c:v>
          </c:tx>
          <c:spPr>
            <a:ln w="25400" cap="rnd">
              <a:noFill/>
              <a:round/>
            </a:ln>
            <a:effectLst/>
          </c:spPr>
          <c:marker>
            <c:symbol val="circle"/>
            <c:size val="5"/>
            <c:spPr>
              <a:solidFill>
                <a:schemeClr val="accent2"/>
              </a:solidFill>
              <a:ln w="9525">
                <a:solidFill>
                  <a:schemeClr val="accent2"/>
                </a:solidFill>
              </a:ln>
              <a:effectLst/>
            </c:spPr>
          </c:marker>
          <c:xVal>
            <c:numRef>
              <c:f>Main!$V$31:$V$51</c:f>
              <c:numCache>
                <c:formatCode>m/d/yyyy</c:formatCode>
                <c:ptCount val="21"/>
                <c:pt idx="0">
                  <c:v>44704.5</c:v>
                </c:pt>
                <c:pt idx="1">
                  <c:v>44721.5</c:v>
                </c:pt>
                <c:pt idx="2">
                  <c:v>44738.5</c:v>
                </c:pt>
                <c:pt idx="3">
                  <c:v>44755.5</c:v>
                </c:pt>
                <c:pt idx="4">
                  <c:v>44772.5</c:v>
                </c:pt>
                <c:pt idx="5">
                  <c:v>44789.5</c:v>
                </c:pt>
                <c:pt idx="6">
                  <c:v>44806.5</c:v>
                </c:pt>
                <c:pt idx="7">
                  <c:v>44823.5</c:v>
                </c:pt>
                <c:pt idx="8">
                  <c:v>44840.5</c:v>
                </c:pt>
                <c:pt idx="9">
                  <c:v>44857.5</c:v>
                </c:pt>
                <c:pt idx="10">
                  <c:v>44874.5</c:v>
                </c:pt>
                <c:pt idx="11">
                  <c:v>44891.5</c:v>
                </c:pt>
                <c:pt idx="12">
                  <c:v>44908.5</c:v>
                </c:pt>
                <c:pt idx="13">
                  <c:v>44925.5</c:v>
                </c:pt>
                <c:pt idx="14">
                  <c:v>44942.5</c:v>
                </c:pt>
                <c:pt idx="15">
                  <c:v>44959.5</c:v>
                </c:pt>
                <c:pt idx="16">
                  <c:v>44976.5</c:v>
                </c:pt>
                <c:pt idx="17">
                  <c:v>44993.5</c:v>
                </c:pt>
                <c:pt idx="18">
                  <c:v>45010.5</c:v>
                </c:pt>
                <c:pt idx="19">
                  <c:v>45027.5</c:v>
                </c:pt>
                <c:pt idx="20">
                  <c:v>45044.5</c:v>
                </c:pt>
              </c:numCache>
            </c:numRef>
          </c:xVal>
          <c:yVal>
            <c:numRef>
              <c:f>Main!$I$31:$I$51</c:f>
              <c:numCache>
                <c:formatCode>General</c:formatCode>
                <c:ptCount val="21"/>
                <c:pt idx="0">
                  <c:v>41.226890756302524</c:v>
                </c:pt>
                <c:pt idx="1">
                  <c:v>34.450420168067225</c:v>
                </c:pt>
                <c:pt idx="2">
                  <c:v>23.072268907563029</c:v>
                </c:pt>
                <c:pt idx="3">
                  <c:v>15.08403361344538</c:v>
                </c:pt>
                <c:pt idx="4">
                  <c:v>42.579831932773097</c:v>
                </c:pt>
                <c:pt idx="5">
                  <c:v>25.638655462184875</c:v>
                </c:pt>
                <c:pt idx="6">
                  <c:v>28.302521008403357</c:v>
                </c:pt>
                <c:pt idx="7">
                  <c:v>43.620168067226892</c:v>
                </c:pt>
                <c:pt idx="8">
                  <c:v>45.463865546218493</c:v>
                </c:pt>
                <c:pt idx="9">
                  <c:v>45.670588235294119</c:v>
                </c:pt>
                <c:pt idx="10">
                  <c:v>35.109243697478995</c:v>
                </c:pt>
                <c:pt idx="11">
                  <c:v>62.771428571428565</c:v>
                </c:pt>
                <c:pt idx="12">
                  <c:v>107.86218487394957</c:v>
                </c:pt>
                <c:pt idx="13">
                  <c:v>0</c:v>
                </c:pt>
                <c:pt idx="14">
                  <c:v>0</c:v>
                </c:pt>
                <c:pt idx="15" formatCode="0.000">
                  <c:v>3.8834951456310669E-2</c:v>
                </c:pt>
                <c:pt idx="16">
                  <c:v>0</c:v>
                </c:pt>
                <c:pt idx="17">
                  <c:v>0</c:v>
                </c:pt>
                <c:pt idx="18">
                  <c:v>0</c:v>
                </c:pt>
                <c:pt idx="19">
                  <c:v>27.744537815126051</c:v>
                </c:pt>
                <c:pt idx="20">
                  <c:v>3.1932773109243699</c:v>
                </c:pt>
              </c:numCache>
            </c:numRef>
          </c:yVal>
          <c:smooth val="0"/>
          <c:extLst>
            <c:ext xmlns:c16="http://schemas.microsoft.com/office/drawing/2014/chart" uri="{C3380CC4-5D6E-409C-BE32-E72D297353CC}">
              <c16:uniqueId val="{00000001-2EE5-4C07-921E-C44E4617FB0B}"/>
            </c:ext>
          </c:extLst>
        </c:ser>
        <c:ser>
          <c:idx val="2"/>
          <c:order val="2"/>
          <c:tx>
            <c:v>3800m</c:v>
          </c:tx>
          <c:spPr>
            <a:ln w="25400" cap="rnd">
              <a:noFill/>
              <a:round/>
            </a:ln>
            <a:effectLst/>
          </c:spPr>
          <c:marker>
            <c:symbol val="circle"/>
            <c:size val="5"/>
            <c:spPr>
              <a:solidFill>
                <a:schemeClr val="accent3"/>
              </a:solidFill>
              <a:ln w="9525">
                <a:solidFill>
                  <a:schemeClr val="accent3"/>
                </a:solidFill>
              </a:ln>
              <a:effectLst/>
            </c:spPr>
          </c:marker>
          <c:xVal>
            <c:numRef>
              <c:f>Main!$V$55:$V$75</c:f>
              <c:numCache>
                <c:formatCode>m/d/yyyy</c:formatCode>
                <c:ptCount val="21"/>
                <c:pt idx="0">
                  <c:v>44704.5</c:v>
                </c:pt>
                <c:pt idx="1">
                  <c:v>44721.5</c:v>
                </c:pt>
                <c:pt idx="2">
                  <c:v>44738.5</c:v>
                </c:pt>
                <c:pt idx="3">
                  <c:v>44755.5</c:v>
                </c:pt>
                <c:pt idx="4">
                  <c:v>44772.5</c:v>
                </c:pt>
                <c:pt idx="5">
                  <c:v>44789.5</c:v>
                </c:pt>
                <c:pt idx="6">
                  <c:v>44806.5</c:v>
                </c:pt>
                <c:pt idx="7">
                  <c:v>44823.5</c:v>
                </c:pt>
                <c:pt idx="8">
                  <c:v>44840.5</c:v>
                </c:pt>
                <c:pt idx="9">
                  <c:v>44857.5</c:v>
                </c:pt>
                <c:pt idx="10">
                  <c:v>44874.5</c:v>
                </c:pt>
                <c:pt idx="11">
                  <c:v>44891.5</c:v>
                </c:pt>
                <c:pt idx="12">
                  <c:v>44908.5</c:v>
                </c:pt>
                <c:pt idx="13">
                  <c:v>44925.5</c:v>
                </c:pt>
                <c:pt idx="14">
                  <c:v>44942.5</c:v>
                </c:pt>
                <c:pt idx="15">
                  <c:v>44959.5</c:v>
                </c:pt>
                <c:pt idx="16">
                  <c:v>44976.5</c:v>
                </c:pt>
                <c:pt idx="17">
                  <c:v>44993.5</c:v>
                </c:pt>
                <c:pt idx="18">
                  <c:v>45010.5</c:v>
                </c:pt>
                <c:pt idx="19">
                  <c:v>45027.5</c:v>
                </c:pt>
                <c:pt idx="20">
                  <c:v>45044.5</c:v>
                </c:pt>
              </c:numCache>
            </c:numRef>
          </c:xVal>
          <c:yVal>
            <c:numRef>
              <c:f>Main!$I$55:$I$75</c:f>
              <c:numCache>
                <c:formatCode>General</c:formatCode>
                <c:ptCount val="21"/>
                <c:pt idx="0">
                  <c:v>41.389915966386553</c:v>
                </c:pt>
                <c:pt idx="1">
                  <c:v>34.5781512605042</c:v>
                </c:pt>
                <c:pt idx="2">
                  <c:v>25.178151260504201</c:v>
                </c:pt>
                <c:pt idx="3">
                  <c:v>24.144537815126046</c:v>
                </c:pt>
                <c:pt idx="4">
                  <c:v>38.810084033613457</c:v>
                </c:pt>
                <c:pt idx="5">
                  <c:v>23.058823529411764</c:v>
                </c:pt>
                <c:pt idx="6">
                  <c:v>32.699159663865544</c:v>
                </c:pt>
                <c:pt idx="7">
                  <c:v>24.709243697478989</c:v>
                </c:pt>
                <c:pt idx="8">
                  <c:v>36.238655462184873</c:v>
                </c:pt>
                <c:pt idx="9">
                  <c:v>32.877310924369745</c:v>
                </c:pt>
                <c:pt idx="10">
                  <c:v>26.910924369747903</c:v>
                </c:pt>
                <c:pt idx="11">
                  <c:v>23.152941176470591</c:v>
                </c:pt>
                <c:pt idx="12">
                  <c:v>60.001680672268904</c:v>
                </c:pt>
                <c:pt idx="13">
                  <c:v>73.110924369747906</c:v>
                </c:pt>
                <c:pt idx="14">
                  <c:v>149.74789915966386</c:v>
                </c:pt>
                <c:pt idx="15">
                  <c:v>75.161344537815125</c:v>
                </c:pt>
                <c:pt idx="16">
                  <c:v>13.213445378151262</c:v>
                </c:pt>
                <c:pt idx="17">
                  <c:v>38.322689075630265</c:v>
                </c:pt>
                <c:pt idx="18">
                  <c:v>28.183193277310927</c:v>
                </c:pt>
                <c:pt idx="19">
                  <c:v>59.907563025210088</c:v>
                </c:pt>
                <c:pt idx="20">
                  <c:v>26.69075630252101</c:v>
                </c:pt>
              </c:numCache>
            </c:numRef>
          </c:yVal>
          <c:smooth val="0"/>
          <c:extLst>
            <c:ext xmlns:c16="http://schemas.microsoft.com/office/drawing/2014/chart" uri="{C3380CC4-5D6E-409C-BE32-E72D297353CC}">
              <c16:uniqueId val="{00000002-2EE5-4C07-921E-C44E4617FB0B}"/>
            </c:ext>
          </c:extLst>
        </c:ser>
        <c:dLbls>
          <c:showLegendKey val="0"/>
          <c:showVal val="0"/>
          <c:showCatName val="0"/>
          <c:showSerName val="0"/>
          <c:showPercent val="0"/>
          <c:showBubbleSize val="0"/>
        </c:dLbls>
        <c:axId val="1403119904"/>
        <c:axId val="1403121824"/>
      </c:scatterChart>
      <c:valAx>
        <c:axId val="1403119904"/>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121824"/>
        <c:crosses val="autoZero"/>
        <c:crossBetween val="midCat"/>
      </c:valAx>
      <c:valAx>
        <c:axId val="1403121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11990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%CaCO3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1000m</c:v>
          </c:tx>
          <c:spPr>
            <a:ln w="25400" cap="rnd">
              <a:noFill/>
              <a:round/>
            </a:ln>
            <a:effectLst/>
          </c:spPr>
          <c:marker>
            <c:symbol val="circle"/>
            <c:size val="5"/>
            <c:spPr>
              <a:solidFill>
                <a:schemeClr val="accent1"/>
              </a:solidFill>
              <a:ln w="9525">
                <a:solidFill>
                  <a:schemeClr val="accent1"/>
                </a:solidFill>
              </a:ln>
              <a:effectLst/>
            </c:spPr>
          </c:marker>
          <c:xVal>
            <c:numRef>
              <c:f>Main!$V$7:$V$27</c:f>
              <c:numCache>
                <c:formatCode>m/d/yyyy</c:formatCode>
                <c:ptCount val="21"/>
                <c:pt idx="0">
                  <c:v>44704.5</c:v>
                </c:pt>
                <c:pt idx="1">
                  <c:v>44721.5</c:v>
                </c:pt>
                <c:pt idx="2">
                  <c:v>44738.5</c:v>
                </c:pt>
                <c:pt idx="3">
                  <c:v>44755.5</c:v>
                </c:pt>
                <c:pt idx="4">
                  <c:v>44772.5</c:v>
                </c:pt>
                <c:pt idx="5">
                  <c:v>44789.5</c:v>
                </c:pt>
                <c:pt idx="6">
                  <c:v>44806.5</c:v>
                </c:pt>
                <c:pt idx="7">
                  <c:v>44823.5</c:v>
                </c:pt>
                <c:pt idx="8">
                  <c:v>44840.5</c:v>
                </c:pt>
                <c:pt idx="9">
                  <c:v>44857.5</c:v>
                </c:pt>
                <c:pt idx="10">
                  <c:v>44874.5</c:v>
                </c:pt>
                <c:pt idx="11">
                  <c:v>44891.5</c:v>
                </c:pt>
                <c:pt idx="12">
                  <c:v>44908.5</c:v>
                </c:pt>
                <c:pt idx="13">
                  <c:v>44925.5</c:v>
                </c:pt>
                <c:pt idx="14">
                  <c:v>44942.5</c:v>
                </c:pt>
                <c:pt idx="15">
                  <c:v>44959.5</c:v>
                </c:pt>
                <c:pt idx="16">
                  <c:v>44976.5</c:v>
                </c:pt>
                <c:pt idx="17">
                  <c:v>44993.5</c:v>
                </c:pt>
                <c:pt idx="18">
                  <c:v>45010.5</c:v>
                </c:pt>
                <c:pt idx="19">
                  <c:v>45027.5</c:v>
                </c:pt>
                <c:pt idx="20">
                  <c:v>45044.5</c:v>
                </c:pt>
              </c:numCache>
            </c:numRef>
          </c:xVal>
          <c:yVal>
            <c:numRef>
              <c:f>Main!$AF$7:$AF$27</c:f>
              <c:numCache>
                <c:formatCode>General</c:formatCode>
                <c:ptCount val="21"/>
                <c:pt idx="0">
                  <c:v>78.722118949989266</c:v>
                </c:pt>
                <c:pt idx="1">
                  <c:v>76.579818615124523</c:v>
                </c:pt>
                <c:pt idx="2">
                  <c:v>70.410326660009275</c:v>
                </c:pt>
                <c:pt idx="3">
                  <c:v>31.111994045249531</c:v>
                </c:pt>
                <c:pt idx="4">
                  <c:v>51.801318458338926</c:v>
                </c:pt>
                <c:pt idx="5">
                  <c:v>62.736503755437198</c:v>
                </c:pt>
                <c:pt idx="6">
                  <c:v>67.018420910104922</c:v>
                </c:pt>
                <c:pt idx="7">
                  <c:v>64.136997877553966</c:v>
                </c:pt>
                <c:pt idx="8">
                  <c:v>72.249834750634889</c:v>
                </c:pt>
                <c:pt idx="9">
                  <c:v>76.209612088141483</c:v>
                </c:pt>
                <c:pt idx="10">
                  <c:v>77.278267260940012</c:v>
                </c:pt>
                <c:pt idx="11">
                  <c:v>76.221092576215611</c:v>
                </c:pt>
                <c:pt idx="12">
                  <c:v>74.691523502969375</c:v>
                </c:pt>
                <c:pt idx="13">
                  <c:v>73.843469539991347</c:v>
                </c:pt>
                <c:pt idx="14">
                  <c:v>71.153571201162194</c:v>
                </c:pt>
                <c:pt idx="15">
                  <c:v>0</c:v>
                </c:pt>
                <c:pt idx="16">
                  <c:v>0</c:v>
                </c:pt>
                <c:pt idx="17">
                  <c:v>70.446478281874576</c:v>
                </c:pt>
                <c:pt idx="18">
                  <c:v>70.987032078938213</c:v>
                </c:pt>
                <c:pt idx="19">
                  <c:v>64.74330861420539</c:v>
                </c:pt>
                <c:pt idx="20">
                  <c:v>70.123018513013619</c:v>
                </c:pt>
              </c:numCache>
            </c:numRef>
          </c:yVal>
          <c:smooth val="0"/>
          <c:extLst>
            <c:ext xmlns:c16="http://schemas.microsoft.com/office/drawing/2014/chart" uri="{C3380CC4-5D6E-409C-BE32-E72D297353CC}">
              <c16:uniqueId val="{00000000-2960-4487-B718-E8CAC00BCB4C}"/>
            </c:ext>
          </c:extLst>
        </c:ser>
        <c:ser>
          <c:idx val="1"/>
          <c:order val="1"/>
          <c:tx>
            <c:v>2000m</c:v>
          </c:tx>
          <c:spPr>
            <a:ln w="25400" cap="rnd">
              <a:noFill/>
              <a:round/>
            </a:ln>
            <a:effectLst/>
          </c:spPr>
          <c:marker>
            <c:symbol val="circle"/>
            <c:size val="5"/>
            <c:spPr>
              <a:solidFill>
                <a:schemeClr val="accent2"/>
              </a:solidFill>
              <a:ln w="9525">
                <a:solidFill>
                  <a:schemeClr val="accent2"/>
                </a:solidFill>
              </a:ln>
              <a:effectLst/>
            </c:spPr>
          </c:marker>
          <c:xVal>
            <c:numRef>
              <c:f>Main!$V$31:$V$51</c:f>
              <c:numCache>
                <c:formatCode>m/d/yyyy</c:formatCode>
                <c:ptCount val="21"/>
                <c:pt idx="0">
                  <c:v>44704.5</c:v>
                </c:pt>
                <c:pt idx="1">
                  <c:v>44721.5</c:v>
                </c:pt>
                <c:pt idx="2">
                  <c:v>44738.5</c:v>
                </c:pt>
                <c:pt idx="3">
                  <c:v>44755.5</c:v>
                </c:pt>
                <c:pt idx="4">
                  <c:v>44772.5</c:v>
                </c:pt>
                <c:pt idx="5">
                  <c:v>44789.5</c:v>
                </c:pt>
                <c:pt idx="6">
                  <c:v>44806.5</c:v>
                </c:pt>
                <c:pt idx="7">
                  <c:v>44823.5</c:v>
                </c:pt>
                <c:pt idx="8">
                  <c:v>44840.5</c:v>
                </c:pt>
                <c:pt idx="9">
                  <c:v>44857.5</c:v>
                </c:pt>
                <c:pt idx="10">
                  <c:v>44874.5</c:v>
                </c:pt>
                <c:pt idx="11">
                  <c:v>44891.5</c:v>
                </c:pt>
                <c:pt idx="12">
                  <c:v>44908.5</c:v>
                </c:pt>
                <c:pt idx="13">
                  <c:v>44925.5</c:v>
                </c:pt>
                <c:pt idx="14">
                  <c:v>44942.5</c:v>
                </c:pt>
                <c:pt idx="15">
                  <c:v>44959.5</c:v>
                </c:pt>
                <c:pt idx="16">
                  <c:v>44976.5</c:v>
                </c:pt>
                <c:pt idx="17">
                  <c:v>44993.5</c:v>
                </c:pt>
                <c:pt idx="18">
                  <c:v>45010.5</c:v>
                </c:pt>
                <c:pt idx="19">
                  <c:v>45027.5</c:v>
                </c:pt>
                <c:pt idx="20">
                  <c:v>45044.5</c:v>
                </c:pt>
              </c:numCache>
            </c:numRef>
          </c:xVal>
          <c:yVal>
            <c:numRef>
              <c:f>Main!$AF$31:$AF$51</c:f>
              <c:numCache>
                <c:formatCode>General</c:formatCode>
                <c:ptCount val="21"/>
                <c:pt idx="0">
                  <c:v>73.22242712567386</c:v>
                </c:pt>
                <c:pt idx="1">
                  <c:v>73.803397573722236</c:v>
                </c:pt>
                <c:pt idx="2">
                  <c:v>71.855473522521095</c:v>
                </c:pt>
                <c:pt idx="3">
                  <c:v>70.84442953702181</c:v>
                </c:pt>
                <c:pt idx="4">
                  <c:v>72.170712113184663</c:v>
                </c:pt>
                <c:pt idx="5">
                  <c:v>71.421985541200854</c:v>
                </c:pt>
                <c:pt idx="6">
                  <c:v>69.913179121790151</c:v>
                </c:pt>
                <c:pt idx="7">
                  <c:v>69.919599299434765</c:v>
                </c:pt>
                <c:pt idx="8">
                  <c:v>72.45048363979042</c:v>
                </c:pt>
                <c:pt idx="9">
                  <c:v>75.652797991872973</c:v>
                </c:pt>
                <c:pt idx="10">
                  <c:v>79.730332793076599</c:v>
                </c:pt>
                <c:pt idx="11">
                  <c:v>76.615845940403659</c:v>
                </c:pt>
                <c:pt idx="12">
                  <c:v>76.617145424792767</c:v>
                </c:pt>
                <c:pt idx="13">
                  <c:v>0</c:v>
                </c:pt>
                <c:pt idx="14">
                  <c:v>0</c:v>
                </c:pt>
                <c:pt idx="15">
                  <c:v>69.361820952840063</c:v>
                </c:pt>
                <c:pt idx="16">
                  <c:v>0</c:v>
                </c:pt>
                <c:pt idx="17">
                  <c:v>0</c:v>
                </c:pt>
                <c:pt idx="18">
                  <c:v>0</c:v>
                </c:pt>
                <c:pt idx="19">
                  <c:v>52.769539895909041</c:v>
                </c:pt>
                <c:pt idx="20">
                  <c:v>53.656208178012044</c:v>
                </c:pt>
              </c:numCache>
            </c:numRef>
          </c:yVal>
          <c:smooth val="0"/>
          <c:extLst>
            <c:ext xmlns:c16="http://schemas.microsoft.com/office/drawing/2014/chart" uri="{C3380CC4-5D6E-409C-BE32-E72D297353CC}">
              <c16:uniqueId val="{00000001-2960-4487-B718-E8CAC00BCB4C}"/>
            </c:ext>
          </c:extLst>
        </c:ser>
        <c:ser>
          <c:idx val="2"/>
          <c:order val="2"/>
          <c:tx>
            <c:v>3800m</c:v>
          </c:tx>
          <c:spPr>
            <a:ln w="25400" cap="rnd">
              <a:noFill/>
              <a:round/>
            </a:ln>
            <a:effectLst/>
          </c:spPr>
          <c:marker>
            <c:symbol val="circle"/>
            <c:size val="5"/>
            <c:spPr>
              <a:solidFill>
                <a:schemeClr val="accent3"/>
              </a:solidFill>
              <a:ln w="9525">
                <a:solidFill>
                  <a:schemeClr val="accent3"/>
                </a:solidFill>
              </a:ln>
              <a:effectLst/>
            </c:spPr>
          </c:marker>
          <c:xVal>
            <c:numRef>
              <c:f>Main!$V$55:$V$75</c:f>
              <c:numCache>
                <c:formatCode>m/d/yyyy</c:formatCode>
                <c:ptCount val="21"/>
                <c:pt idx="0">
                  <c:v>44704.5</c:v>
                </c:pt>
                <c:pt idx="1">
                  <c:v>44721.5</c:v>
                </c:pt>
                <c:pt idx="2">
                  <c:v>44738.5</c:v>
                </c:pt>
                <c:pt idx="3">
                  <c:v>44755.5</c:v>
                </c:pt>
                <c:pt idx="4">
                  <c:v>44772.5</c:v>
                </c:pt>
                <c:pt idx="5">
                  <c:v>44789.5</c:v>
                </c:pt>
                <c:pt idx="6">
                  <c:v>44806.5</c:v>
                </c:pt>
                <c:pt idx="7">
                  <c:v>44823.5</c:v>
                </c:pt>
                <c:pt idx="8">
                  <c:v>44840.5</c:v>
                </c:pt>
                <c:pt idx="9">
                  <c:v>44857.5</c:v>
                </c:pt>
                <c:pt idx="10">
                  <c:v>44874.5</c:v>
                </c:pt>
                <c:pt idx="11">
                  <c:v>44891.5</c:v>
                </c:pt>
                <c:pt idx="12">
                  <c:v>44908.5</c:v>
                </c:pt>
                <c:pt idx="13">
                  <c:v>44925.5</c:v>
                </c:pt>
                <c:pt idx="14">
                  <c:v>44942.5</c:v>
                </c:pt>
                <c:pt idx="15">
                  <c:v>44959.5</c:v>
                </c:pt>
                <c:pt idx="16">
                  <c:v>44976.5</c:v>
                </c:pt>
                <c:pt idx="17">
                  <c:v>44993.5</c:v>
                </c:pt>
                <c:pt idx="18">
                  <c:v>45010.5</c:v>
                </c:pt>
                <c:pt idx="19">
                  <c:v>45027.5</c:v>
                </c:pt>
                <c:pt idx="20">
                  <c:v>45044.5</c:v>
                </c:pt>
              </c:numCache>
            </c:numRef>
          </c:xVal>
          <c:yVal>
            <c:numRef>
              <c:f>Main!$AF$55:$AF$75</c:f>
              <c:numCache>
                <c:formatCode>General</c:formatCode>
                <c:ptCount val="21"/>
                <c:pt idx="0">
                  <c:v>77.489697265803002</c:v>
                </c:pt>
                <c:pt idx="1">
                  <c:v>74.926814619169619</c:v>
                </c:pt>
                <c:pt idx="2">
                  <c:v>75.648154819494309</c:v>
                </c:pt>
                <c:pt idx="3">
                  <c:v>66.848783464945782</c:v>
                </c:pt>
                <c:pt idx="4">
                  <c:v>76.970075613599562</c:v>
                </c:pt>
                <c:pt idx="5">
                  <c:v>75.414397032601002</c:v>
                </c:pt>
                <c:pt idx="6">
                  <c:v>74.20951087100832</c:v>
                </c:pt>
                <c:pt idx="7">
                  <c:v>72.132016068871607</c:v>
                </c:pt>
                <c:pt idx="8">
                  <c:v>72.860644900303129</c:v>
                </c:pt>
                <c:pt idx="9">
                  <c:v>77.050570104651754</c:v>
                </c:pt>
                <c:pt idx="10">
                  <c:v>78.872279924359887</c:v>
                </c:pt>
                <c:pt idx="11">
                  <c:v>75.89706552902544</c:v>
                </c:pt>
                <c:pt idx="12">
                  <c:v>67.236085237491039</c:v>
                </c:pt>
                <c:pt idx="13">
                  <c:v>62.362810057453608</c:v>
                </c:pt>
                <c:pt idx="14">
                  <c:v>57.706363580897133</c:v>
                </c:pt>
                <c:pt idx="15">
                  <c:v>68.556134240857176</c:v>
                </c:pt>
                <c:pt idx="16">
                  <c:v>73.514730433964701</c:v>
                </c:pt>
                <c:pt idx="17">
                  <c:v>71.572303862458924</c:v>
                </c:pt>
                <c:pt idx="18">
                  <c:v>71.209945716490836</c:v>
                </c:pt>
                <c:pt idx="19">
                  <c:v>72.645345110830917</c:v>
                </c:pt>
                <c:pt idx="20">
                  <c:v>70.36685210175213</c:v>
                </c:pt>
              </c:numCache>
            </c:numRef>
          </c:yVal>
          <c:smooth val="0"/>
          <c:extLst>
            <c:ext xmlns:c16="http://schemas.microsoft.com/office/drawing/2014/chart" uri="{C3380CC4-5D6E-409C-BE32-E72D297353CC}">
              <c16:uniqueId val="{00000002-2960-4487-B718-E8CAC00BCB4C}"/>
            </c:ext>
          </c:extLst>
        </c:ser>
        <c:dLbls>
          <c:showLegendKey val="0"/>
          <c:showVal val="0"/>
          <c:showCatName val="0"/>
          <c:showSerName val="0"/>
          <c:showPercent val="0"/>
          <c:showBubbleSize val="0"/>
        </c:dLbls>
        <c:axId val="1403119904"/>
        <c:axId val="1403121824"/>
      </c:scatterChart>
      <c:valAx>
        <c:axId val="1403119904"/>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121824"/>
        <c:crosses val="autoZero"/>
        <c:crossBetween val="midCat"/>
      </c:valAx>
      <c:valAx>
        <c:axId val="1403121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11990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%POC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1000m</c:v>
          </c:tx>
          <c:spPr>
            <a:ln w="25400" cap="rnd">
              <a:noFill/>
              <a:round/>
            </a:ln>
            <a:effectLst/>
          </c:spPr>
          <c:marker>
            <c:symbol val="circle"/>
            <c:size val="5"/>
            <c:spPr>
              <a:solidFill>
                <a:schemeClr val="accent1"/>
              </a:solidFill>
              <a:ln w="9525">
                <a:solidFill>
                  <a:schemeClr val="accent1"/>
                </a:solidFill>
              </a:ln>
              <a:effectLst/>
            </c:spPr>
          </c:marker>
          <c:xVal>
            <c:numRef>
              <c:f>Main!$V$7:$V$27</c:f>
              <c:numCache>
                <c:formatCode>m/d/yyyy</c:formatCode>
                <c:ptCount val="21"/>
                <c:pt idx="0">
                  <c:v>44704.5</c:v>
                </c:pt>
                <c:pt idx="1">
                  <c:v>44721.5</c:v>
                </c:pt>
                <c:pt idx="2">
                  <c:v>44738.5</c:v>
                </c:pt>
                <c:pt idx="3">
                  <c:v>44755.5</c:v>
                </c:pt>
                <c:pt idx="4">
                  <c:v>44772.5</c:v>
                </c:pt>
                <c:pt idx="5">
                  <c:v>44789.5</c:v>
                </c:pt>
                <c:pt idx="6">
                  <c:v>44806.5</c:v>
                </c:pt>
                <c:pt idx="7">
                  <c:v>44823.5</c:v>
                </c:pt>
                <c:pt idx="8">
                  <c:v>44840.5</c:v>
                </c:pt>
                <c:pt idx="9">
                  <c:v>44857.5</c:v>
                </c:pt>
                <c:pt idx="10">
                  <c:v>44874.5</c:v>
                </c:pt>
                <c:pt idx="11">
                  <c:v>44891.5</c:v>
                </c:pt>
                <c:pt idx="12">
                  <c:v>44908.5</c:v>
                </c:pt>
                <c:pt idx="13">
                  <c:v>44925.5</c:v>
                </c:pt>
                <c:pt idx="14">
                  <c:v>44942.5</c:v>
                </c:pt>
                <c:pt idx="15">
                  <c:v>44959.5</c:v>
                </c:pt>
                <c:pt idx="16">
                  <c:v>44976.5</c:v>
                </c:pt>
                <c:pt idx="17">
                  <c:v>44993.5</c:v>
                </c:pt>
                <c:pt idx="18">
                  <c:v>45010.5</c:v>
                </c:pt>
                <c:pt idx="19">
                  <c:v>45027.5</c:v>
                </c:pt>
                <c:pt idx="20">
                  <c:v>45044.5</c:v>
                </c:pt>
              </c:numCache>
            </c:numRef>
          </c:xVal>
          <c:yVal>
            <c:numRef>
              <c:f>Main!$AH$7:$AH$27</c:f>
              <c:numCache>
                <c:formatCode>General</c:formatCode>
                <c:ptCount val="21"/>
                <c:pt idx="0" formatCode="0.00">
                  <c:v>5.4560614000815661</c:v>
                </c:pt>
                <c:pt idx="1">
                  <c:v>5.6920163140014406</c:v>
                </c:pt>
                <c:pt idx="2">
                  <c:v>7.2890656261197559</c:v>
                </c:pt>
                <c:pt idx="3">
                  <c:v>28.824719118396999</c:v>
                </c:pt>
                <c:pt idx="4">
                  <c:v>14.964445077046275</c:v>
                </c:pt>
                <c:pt idx="5">
                  <c:v>7.5320880428350563</c:v>
                </c:pt>
                <c:pt idx="6">
                  <c:v>6.9327369539954589</c:v>
                </c:pt>
                <c:pt idx="7">
                  <c:v>7.7707162747196978</c:v>
                </c:pt>
                <c:pt idx="8">
                  <c:v>5.2114237232857583</c:v>
                </c:pt>
                <c:pt idx="9">
                  <c:v>4.380276012391688</c:v>
                </c:pt>
                <c:pt idx="10">
                  <c:v>4.2492066877861099</c:v>
                </c:pt>
                <c:pt idx="11">
                  <c:v>4.489051601158808</c:v>
                </c:pt>
                <c:pt idx="12">
                  <c:v>4.7587883411421696</c:v>
                </c:pt>
                <c:pt idx="13">
                  <c:v>4.7928374526922237</c:v>
                </c:pt>
                <c:pt idx="14">
                  <c:v>5.5877855340300027</c:v>
                </c:pt>
                <c:pt idx="15">
                  <c:v>0</c:v>
                </c:pt>
                <c:pt idx="16">
                  <c:v>0</c:v>
                </c:pt>
                <c:pt idx="17">
                  <c:v>6.2428231366276279</c:v>
                </c:pt>
                <c:pt idx="18">
                  <c:v>5.5349421773559495</c:v>
                </c:pt>
                <c:pt idx="19">
                  <c:v>7.4609811408459521</c:v>
                </c:pt>
                <c:pt idx="20">
                  <c:v>5.6256367883560365</c:v>
                </c:pt>
              </c:numCache>
            </c:numRef>
          </c:yVal>
          <c:smooth val="0"/>
          <c:extLst>
            <c:ext xmlns:c16="http://schemas.microsoft.com/office/drawing/2014/chart" uri="{C3380CC4-5D6E-409C-BE32-E72D297353CC}">
              <c16:uniqueId val="{00000000-98B7-45EC-826A-F60CEA90829E}"/>
            </c:ext>
          </c:extLst>
        </c:ser>
        <c:ser>
          <c:idx val="1"/>
          <c:order val="1"/>
          <c:tx>
            <c:v>2000m</c:v>
          </c:tx>
          <c:spPr>
            <a:ln w="25400" cap="rnd">
              <a:noFill/>
              <a:round/>
            </a:ln>
            <a:effectLst/>
          </c:spPr>
          <c:marker>
            <c:symbol val="circle"/>
            <c:size val="5"/>
            <c:spPr>
              <a:solidFill>
                <a:schemeClr val="accent2"/>
              </a:solidFill>
              <a:ln w="9525">
                <a:solidFill>
                  <a:schemeClr val="accent2"/>
                </a:solidFill>
              </a:ln>
              <a:effectLst/>
            </c:spPr>
          </c:marker>
          <c:xVal>
            <c:numRef>
              <c:f>Main!$V$31:$V$51</c:f>
              <c:numCache>
                <c:formatCode>m/d/yyyy</c:formatCode>
                <c:ptCount val="21"/>
                <c:pt idx="0">
                  <c:v>44704.5</c:v>
                </c:pt>
                <c:pt idx="1">
                  <c:v>44721.5</c:v>
                </c:pt>
                <c:pt idx="2">
                  <c:v>44738.5</c:v>
                </c:pt>
                <c:pt idx="3">
                  <c:v>44755.5</c:v>
                </c:pt>
                <c:pt idx="4">
                  <c:v>44772.5</c:v>
                </c:pt>
                <c:pt idx="5">
                  <c:v>44789.5</c:v>
                </c:pt>
                <c:pt idx="6">
                  <c:v>44806.5</c:v>
                </c:pt>
                <c:pt idx="7">
                  <c:v>44823.5</c:v>
                </c:pt>
                <c:pt idx="8">
                  <c:v>44840.5</c:v>
                </c:pt>
                <c:pt idx="9">
                  <c:v>44857.5</c:v>
                </c:pt>
                <c:pt idx="10">
                  <c:v>44874.5</c:v>
                </c:pt>
                <c:pt idx="11">
                  <c:v>44891.5</c:v>
                </c:pt>
                <c:pt idx="12">
                  <c:v>44908.5</c:v>
                </c:pt>
                <c:pt idx="13">
                  <c:v>44925.5</c:v>
                </c:pt>
                <c:pt idx="14">
                  <c:v>44942.5</c:v>
                </c:pt>
                <c:pt idx="15">
                  <c:v>44959.5</c:v>
                </c:pt>
                <c:pt idx="16">
                  <c:v>44976.5</c:v>
                </c:pt>
                <c:pt idx="17">
                  <c:v>44993.5</c:v>
                </c:pt>
                <c:pt idx="18">
                  <c:v>45010.5</c:v>
                </c:pt>
                <c:pt idx="19">
                  <c:v>45027.5</c:v>
                </c:pt>
                <c:pt idx="20">
                  <c:v>45044.5</c:v>
                </c:pt>
              </c:numCache>
            </c:numRef>
          </c:xVal>
          <c:yVal>
            <c:numRef>
              <c:f>Main!$AH$31:$AH$51</c:f>
              <c:numCache>
                <c:formatCode>0.00</c:formatCode>
                <c:ptCount val="21"/>
                <c:pt idx="0">
                  <c:v>5.4610564808949196</c:v>
                </c:pt>
                <c:pt idx="1">
                  <c:v>5.665145268786878</c:v>
                </c:pt>
                <c:pt idx="2">
                  <c:v>5.502460670513722</c:v>
                </c:pt>
                <c:pt idx="3">
                  <c:v>5.4972242751038181</c:v>
                </c:pt>
                <c:pt idx="4">
                  <c:v>4.6038374129523607</c:v>
                </c:pt>
                <c:pt idx="5">
                  <c:v>4.4765831637390416</c:v>
                </c:pt>
                <c:pt idx="6">
                  <c:v>4.7330996379895716</c:v>
                </c:pt>
                <c:pt idx="7">
                  <c:v>4.5139445013899042</c:v>
                </c:pt>
                <c:pt idx="8">
                  <c:v>3.8692648588447849</c:v>
                </c:pt>
                <c:pt idx="9">
                  <c:v>4.1638386067842976</c:v>
                </c:pt>
                <c:pt idx="10">
                  <c:v>3.0791090954247</c:v>
                </c:pt>
                <c:pt idx="11">
                  <c:v>3.6749964460195415</c:v>
                </c:pt>
                <c:pt idx="12">
                  <c:v>4.1967769300757887</c:v>
                </c:pt>
                <c:pt idx="13" formatCode="General">
                  <c:v>0</c:v>
                </c:pt>
                <c:pt idx="14" formatCode="General">
                  <c:v>0</c:v>
                </c:pt>
                <c:pt idx="15">
                  <c:v>5.5209618825087929</c:v>
                </c:pt>
                <c:pt idx="16" formatCode="General">
                  <c:v>0</c:v>
                </c:pt>
                <c:pt idx="17" formatCode="General">
                  <c:v>0</c:v>
                </c:pt>
                <c:pt idx="18" formatCode="General">
                  <c:v>0</c:v>
                </c:pt>
                <c:pt idx="19">
                  <c:v>8.8533829223324005</c:v>
                </c:pt>
                <c:pt idx="20">
                  <c:v>9.2066117642659737</c:v>
                </c:pt>
              </c:numCache>
            </c:numRef>
          </c:yVal>
          <c:smooth val="0"/>
          <c:extLst>
            <c:ext xmlns:c16="http://schemas.microsoft.com/office/drawing/2014/chart" uri="{C3380CC4-5D6E-409C-BE32-E72D297353CC}">
              <c16:uniqueId val="{00000001-98B7-45EC-826A-F60CEA90829E}"/>
            </c:ext>
          </c:extLst>
        </c:ser>
        <c:ser>
          <c:idx val="2"/>
          <c:order val="2"/>
          <c:tx>
            <c:v>3800m</c:v>
          </c:tx>
          <c:spPr>
            <a:ln w="25400" cap="rnd">
              <a:noFill/>
              <a:round/>
            </a:ln>
            <a:effectLst/>
          </c:spPr>
          <c:marker>
            <c:symbol val="circle"/>
            <c:size val="5"/>
            <c:spPr>
              <a:solidFill>
                <a:schemeClr val="accent3"/>
              </a:solidFill>
              <a:ln w="9525">
                <a:solidFill>
                  <a:schemeClr val="accent3"/>
                </a:solidFill>
              </a:ln>
              <a:effectLst/>
            </c:spPr>
          </c:marker>
          <c:xVal>
            <c:numRef>
              <c:f>Main!$V$55:$V$75</c:f>
              <c:numCache>
                <c:formatCode>m/d/yyyy</c:formatCode>
                <c:ptCount val="21"/>
                <c:pt idx="0">
                  <c:v>44704.5</c:v>
                </c:pt>
                <c:pt idx="1">
                  <c:v>44721.5</c:v>
                </c:pt>
                <c:pt idx="2">
                  <c:v>44738.5</c:v>
                </c:pt>
                <c:pt idx="3">
                  <c:v>44755.5</c:v>
                </c:pt>
                <c:pt idx="4">
                  <c:v>44772.5</c:v>
                </c:pt>
                <c:pt idx="5">
                  <c:v>44789.5</c:v>
                </c:pt>
                <c:pt idx="6">
                  <c:v>44806.5</c:v>
                </c:pt>
                <c:pt idx="7">
                  <c:v>44823.5</c:v>
                </c:pt>
                <c:pt idx="8">
                  <c:v>44840.5</c:v>
                </c:pt>
                <c:pt idx="9">
                  <c:v>44857.5</c:v>
                </c:pt>
                <c:pt idx="10">
                  <c:v>44874.5</c:v>
                </c:pt>
                <c:pt idx="11">
                  <c:v>44891.5</c:v>
                </c:pt>
                <c:pt idx="12">
                  <c:v>44908.5</c:v>
                </c:pt>
                <c:pt idx="13">
                  <c:v>44925.5</c:v>
                </c:pt>
                <c:pt idx="14">
                  <c:v>44942.5</c:v>
                </c:pt>
                <c:pt idx="15">
                  <c:v>44959.5</c:v>
                </c:pt>
                <c:pt idx="16">
                  <c:v>44976.5</c:v>
                </c:pt>
                <c:pt idx="17">
                  <c:v>44993.5</c:v>
                </c:pt>
                <c:pt idx="18">
                  <c:v>45010.5</c:v>
                </c:pt>
                <c:pt idx="19">
                  <c:v>45027.5</c:v>
                </c:pt>
                <c:pt idx="20">
                  <c:v>45044.5</c:v>
                </c:pt>
              </c:numCache>
            </c:numRef>
          </c:xVal>
          <c:yVal>
            <c:numRef>
              <c:f>Main!$AH$55:$AH$75</c:f>
              <c:numCache>
                <c:formatCode>General</c:formatCode>
                <c:ptCount val="21"/>
                <c:pt idx="0">
                  <c:v>4.4236288532757548</c:v>
                </c:pt>
                <c:pt idx="1">
                  <c:v>4.5708225484405549</c:v>
                </c:pt>
                <c:pt idx="2">
                  <c:v>4.3616213382929239</c:v>
                </c:pt>
                <c:pt idx="3">
                  <c:v>7.663858560619726</c:v>
                </c:pt>
                <c:pt idx="4">
                  <c:v>3.4558556115095005</c:v>
                </c:pt>
                <c:pt idx="5">
                  <c:v>2.9382113884619034</c:v>
                </c:pt>
                <c:pt idx="6">
                  <c:v>3.0500948978054154</c:v>
                </c:pt>
                <c:pt idx="7">
                  <c:v>3.6463540409220982</c:v>
                </c:pt>
                <c:pt idx="8">
                  <c:v>4.0165642522108804</c:v>
                </c:pt>
                <c:pt idx="9">
                  <c:v>3.1938868176061987</c:v>
                </c:pt>
                <c:pt idx="10">
                  <c:v>2.9785672080151002</c:v>
                </c:pt>
                <c:pt idx="11">
                  <c:v>4.1160358018882217</c:v>
                </c:pt>
                <c:pt idx="12">
                  <c:v>4.1688833708868867</c:v>
                </c:pt>
                <c:pt idx="13">
                  <c:v>4.2798148394821638</c:v>
                </c:pt>
                <c:pt idx="14">
                  <c:v>6.3806212502008899</c:v>
                </c:pt>
                <c:pt idx="15">
                  <c:v>4.7207053796499583</c:v>
                </c:pt>
                <c:pt idx="16">
                  <c:v>4.8156658393345992</c:v>
                </c:pt>
                <c:pt idx="17">
                  <c:v>4.3045281595665994</c:v>
                </c:pt>
                <c:pt idx="18">
                  <c:v>4.1200594914060904</c:v>
                </c:pt>
                <c:pt idx="19">
                  <c:v>3.741894621816277</c:v>
                </c:pt>
                <c:pt idx="20">
                  <c:v>5.5397266849915869</c:v>
                </c:pt>
              </c:numCache>
            </c:numRef>
          </c:yVal>
          <c:smooth val="0"/>
          <c:extLst>
            <c:ext xmlns:c16="http://schemas.microsoft.com/office/drawing/2014/chart" uri="{C3380CC4-5D6E-409C-BE32-E72D297353CC}">
              <c16:uniqueId val="{00000002-98B7-45EC-826A-F60CEA90829E}"/>
            </c:ext>
          </c:extLst>
        </c:ser>
        <c:dLbls>
          <c:showLegendKey val="0"/>
          <c:showVal val="0"/>
          <c:showCatName val="0"/>
          <c:showSerName val="0"/>
          <c:showPercent val="0"/>
          <c:showBubbleSize val="0"/>
        </c:dLbls>
        <c:axId val="1403119904"/>
        <c:axId val="1403121824"/>
      </c:scatterChart>
      <c:valAx>
        <c:axId val="1403119904"/>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121824"/>
        <c:crosses val="autoZero"/>
        <c:crossBetween val="midCat"/>
      </c:valAx>
      <c:valAx>
        <c:axId val="14031218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11990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POC/PON mol/mol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1000m</c:v>
          </c:tx>
          <c:spPr>
            <a:ln w="25400" cap="rnd">
              <a:noFill/>
              <a:round/>
            </a:ln>
            <a:effectLst/>
          </c:spPr>
          <c:marker>
            <c:symbol val="circle"/>
            <c:size val="5"/>
            <c:spPr>
              <a:solidFill>
                <a:schemeClr val="accent1"/>
              </a:solidFill>
              <a:ln w="9525">
                <a:solidFill>
                  <a:schemeClr val="accent1"/>
                </a:solidFill>
              </a:ln>
              <a:effectLst/>
            </c:spPr>
          </c:marker>
          <c:xVal>
            <c:numRef>
              <c:f>Main!$V$7:$V$27</c:f>
              <c:numCache>
                <c:formatCode>m/d/yyyy</c:formatCode>
                <c:ptCount val="21"/>
                <c:pt idx="0">
                  <c:v>44704.5</c:v>
                </c:pt>
                <c:pt idx="1">
                  <c:v>44721.5</c:v>
                </c:pt>
                <c:pt idx="2">
                  <c:v>44738.5</c:v>
                </c:pt>
                <c:pt idx="3">
                  <c:v>44755.5</c:v>
                </c:pt>
                <c:pt idx="4">
                  <c:v>44772.5</c:v>
                </c:pt>
                <c:pt idx="5">
                  <c:v>44789.5</c:v>
                </c:pt>
                <c:pt idx="6">
                  <c:v>44806.5</c:v>
                </c:pt>
                <c:pt idx="7">
                  <c:v>44823.5</c:v>
                </c:pt>
                <c:pt idx="8">
                  <c:v>44840.5</c:v>
                </c:pt>
                <c:pt idx="9">
                  <c:v>44857.5</c:v>
                </c:pt>
                <c:pt idx="10">
                  <c:v>44874.5</c:v>
                </c:pt>
                <c:pt idx="11">
                  <c:v>44891.5</c:v>
                </c:pt>
                <c:pt idx="12">
                  <c:v>44908.5</c:v>
                </c:pt>
                <c:pt idx="13">
                  <c:v>44925.5</c:v>
                </c:pt>
                <c:pt idx="14">
                  <c:v>44942.5</c:v>
                </c:pt>
                <c:pt idx="15">
                  <c:v>44959.5</c:v>
                </c:pt>
                <c:pt idx="16">
                  <c:v>44976.5</c:v>
                </c:pt>
                <c:pt idx="17">
                  <c:v>44993.5</c:v>
                </c:pt>
                <c:pt idx="18">
                  <c:v>45010.5</c:v>
                </c:pt>
                <c:pt idx="19">
                  <c:v>45027.5</c:v>
                </c:pt>
                <c:pt idx="20">
                  <c:v>45044.5</c:v>
                </c:pt>
              </c:numCache>
            </c:numRef>
          </c:xVal>
          <c:yVal>
            <c:numRef>
              <c:f>Main!$AK$7:$AK$27</c:f>
              <c:numCache>
                <c:formatCode>0.00</c:formatCode>
                <c:ptCount val="21"/>
                <c:pt idx="0">
                  <c:v>7.0636631623080017</c:v>
                </c:pt>
                <c:pt idx="1">
                  <c:v>7.6362771813179213</c:v>
                </c:pt>
                <c:pt idx="2">
                  <c:v>7.5846716898898716</c:v>
                </c:pt>
                <c:pt idx="3">
                  <c:v>6.4999075097951025</c:v>
                </c:pt>
                <c:pt idx="4">
                  <c:v>6.3068232865265594</c:v>
                </c:pt>
                <c:pt idx="5">
                  <c:v>6.0406620585345348</c:v>
                </c:pt>
                <c:pt idx="6">
                  <c:v>6.9597452488055955</c:v>
                </c:pt>
                <c:pt idx="7">
                  <c:v>6.697527106959507</c:v>
                </c:pt>
                <c:pt idx="8">
                  <c:v>7.288159022655984</c:v>
                </c:pt>
                <c:pt idx="9">
                  <c:v>7.5134266449971117</c:v>
                </c:pt>
                <c:pt idx="10">
                  <c:v>8.0074318985500277</c:v>
                </c:pt>
                <c:pt idx="11">
                  <c:v>7.8301323084481842</c:v>
                </c:pt>
                <c:pt idx="12">
                  <c:v>7.8994094272671092</c:v>
                </c:pt>
                <c:pt idx="13">
                  <c:v>7.2434181383745582</c:v>
                </c:pt>
                <c:pt idx="14">
                  <c:v>6.8950607606921972</c:v>
                </c:pt>
                <c:pt idx="17">
                  <c:v>5.8338532916448109</c:v>
                </c:pt>
                <c:pt idx="18">
                  <c:v>7.4935250130126922</c:v>
                </c:pt>
                <c:pt idx="19">
                  <c:v>7.6761671582158888</c:v>
                </c:pt>
                <c:pt idx="20">
                  <c:v>7.3266162402280273</c:v>
                </c:pt>
              </c:numCache>
            </c:numRef>
          </c:yVal>
          <c:smooth val="0"/>
          <c:extLst>
            <c:ext xmlns:c16="http://schemas.microsoft.com/office/drawing/2014/chart" uri="{C3380CC4-5D6E-409C-BE32-E72D297353CC}">
              <c16:uniqueId val="{00000000-DEF8-4EBF-A6EE-4B0268D3CF3F}"/>
            </c:ext>
          </c:extLst>
        </c:ser>
        <c:ser>
          <c:idx val="1"/>
          <c:order val="1"/>
          <c:tx>
            <c:v>2000m</c:v>
          </c:tx>
          <c:spPr>
            <a:ln w="25400" cap="rnd">
              <a:noFill/>
              <a:round/>
            </a:ln>
            <a:effectLst/>
          </c:spPr>
          <c:marker>
            <c:symbol val="circle"/>
            <c:size val="5"/>
            <c:spPr>
              <a:solidFill>
                <a:schemeClr val="accent2"/>
              </a:solidFill>
              <a:ln w="9525">
                <a:solidFill>
                  <a:schemeClr val="accent2"/>
                </a:solidFill>
              </a:ln>
              <a:effectLst/>
            </c:spPr>
          </c:marker>
          <c:xVal>
            <c:numRef>
              <c:f>Main!$V$31:$V$51</c:f>
              <c:numCache>
                <c:formatCode>m/d/yyyy</c:formatCode>
                <c:ptCount val="21"/>
                <c:pt idx="0">
                  <c:v>44704.5</c:v>
                </c:pt>
                <c:pt idx="1">
                  <c:v>44721.5</c:v>
                </c:pt>
                <c:pt idx="2">
                  <c:v>44738.5</c:v>
                </c:pt>
                <c:pt idx="3">
                  <c:v>44755.5</c:v>
                </c:pt>
                <c:pt idx="4">
                  <c:v>44772.5</c:v>
                </c:pt>
                <c:pt idx="5">
                  <c:v>44789.5</c:v>
                </c:pt>
                <c:pt idx="6">
                  <c:v>44806.5</c:v>
                </c:pt>
                <c:pt idx="7">
                  <c:v>44823.5</c:v>
                </c:pt>
                <c:pt idx="8">
                  <c:v>44840.5</c:v>
                </c:pt>
                <c:pt idx="9">
                  <c:v>44857.5</c:v>
                </c:pt>
                <c:pt idx="10">
                  <c:v>44874.5</c:v>
                </c:pt>
                <c:pt idx="11">
                  <c:v>44891.5</c:v>
                </c:pt>
                <c:pt idx="12">
                  <c:v>44908.5</c:v>
                </c:pt>
                <c:pt idx="13">
                  <c:v>44925.5</c:v>
                </c:pt>
                <c:pt idx="14">
                  <c:v>44942.5</c:v>
                </c:pt>
                <c:pt idx="15">
                  <c:v>44959.5</c:v>
                </c:pt>
                <c:pt idx="16">
                  <c:v>44976.5</c:v>
                </c:pt>
                <c:pt idx="17">
                  <c:v>44993.5</c:v>
                </c:pt>
                <c:pt idx="18">
                  <c:v>45010.5</c:v>
                </c:pt>
                <c:pt idx="19">
                  <c:v>45027.5</c:v>
                </c:pt>
                <c:pt idx="20">
                  <c:v>45044.5</c:v>
                </c:pt>
              </c:numCache>
            </c:numRef>
          </c:xVal>
          <c:yVal>
            <c:numRef>
              <c:f>Main!$AK$31:$AK$51</c:f>
              <c:numCache>
                <c:formatCode>0.00</c:formatCode>
                <c:ptCount val="21"/>
                <c:pt idx="0">
                  <c:v>8.1162290647293602</c:v>
                </c:pt>
                <c:pt idx="1">
                  <c:v>6.7697078646755688</c:v>
                </c:pt>
                <c:pt idx="2">
                  <c:v>7.2025711028887613</c:v>
                </c:pt>
                <c:pt idx="3">
                  <c:v>7.1568153658731068</c:v>
                </c:pt>
                <c:pt idx="4">
                  <c:v>7.3766848181729179</c:v>
                </c:pt>
                <c:pt idx="5">
                  <c:v>7.3005109389090155</c:v>
                </c:pt>
                <c:pt idx="6">
                  <c:v>7.3446347075047171</c:v>
                </c:pt>
                <c:pt idx="7">
                  <c:v>7.3568784303076917</c:v>
                </c:pt>
                <c:pt idx="8">
                  <c:v>7.537351205905221</c:v>
                </c:pt>
                <c:pt idx="9">
                  <c:v>7.0208599736623318</c:v>
                </c:pt>
                <c:pt idx="10">
                  <c:v>7.5257915228493681</c:v>
                </c:pt>
                <c:pt idx="11">
                  <c:v>7.4863970235250203</c:v>
                </c:pt>
                <c:pt idx="12">
                  <c:v>6.8255434107433803</c:v>
                </c:pt>
                <c:pt idx="15">
                  <c:v>7.447191666185744</c:v>
                </c:pt>
                <c:pt idx="19">
                  <c:v>7.6970432724654412</c:v>
                </c:pt>
                <c:pt idx="20">
                  <c:v>7.6386697159312114</c:v>
                </c:pt>
              </c:numCache>
            </c:numRef>
          </c:yVal>
          <c:smooth val="0"/>
          <c:extLst>
            <c:ext xmlns:c16="http://schemas.microsoft.com/office/drawing/2014/chart" uri="{C3380CC4-5D6E-409C-BE32-E72D297353CC}">
              <c16:uniqueId val="{00000001-DEF8-4EBF-A6EE-4B0268D3CF3F}"/>
            </c:ext>
          </c:extLst>
        </c:ser>
        <c:ser>
          <c:idx val="2"/>
          <c:order val="2"/>
          <c:tx>
            <c:v>3800m</c:v>
          </c:tx>
          <c:spPr>
            <a:ln w="25400" cap="rnd">
              <a:noFill/>
              <a:round/>
            </a:ln>
            <a:effectLst/>
          </c:spPr>
          <c:marker>
            <c:symbol val="circle"/>
            <c:size val="5"/>
            <c:spPr>
              <a:solidFill>
                <a:schemeClr val="accent3"/>
              </a:solidFill>
              <a:ln w="9525">
                <a:solidFill>
                  <a:schemeClr val="accent3"/>
                </a:solidFill>
              </a:ln>
              <a:effectLst/>
            </c:spPr>
          </c:marker>
          <c:xVal>
            <c:numRef>
              <c:f>Main!$V$55:$V$75</c:f>
              <c:numCache>
                <c:formatCode>m/d/yyyy</c:formatCode>
                <c:ptCount val="21"/>
                <c:pt idx="0">
                  <c:v>44704.5</c:v>
                </c:pt>
                <c:pt idx="1">
                  <c:v>44721.5</c:v>
                </c:pt>
                <c:pt idx="2">
                  <c:v>44738.5</c:v>
                </c:pt>
                <c:pt idx="3">
                  <c:v>44755.5</c:v>
                </c:pt>
                <c:pt idx="4">
                  <c:v>44772.5</c:v>
                </c:pt>
                <c:pt idx="5">
                  <c:v>44789.5</c:v>
                </c:pt>
                <c:pt idx="6">
                  <c:v>44806.5</c:v>
                </c:pt>
                <c:pt idx="7">
                  <c:v>44823.5</c:v>
                </c:pt>
                <c:pt idx="8">
                  <c:v>44840.5</c:v>
                </c:pt>
                <c:pt idx="9">
                  <c:v>44857.5</c:v>
                </c:pt>
                <c:pt idx="10">
                  <c:v>44874.5</c:v>
                </c:pt>
                <c:pt idx="11">
                  <c:v>44891.5</c:v>
                </c:pt>
                <c:pt idx="12">
                  <c:v>44908.5</c:v>
                </c:pt>
                <c:pt idx="13">
                  <c:v>44925.5</c:v>
                </c:pt>
                <c:pt idx="14">
                  <c:v>44942.5</c:v>
                </c:pt>
                <c:pt idx="15">
                  <c:v>44959.5</c:v>
                </c:pt>
                <c:pt idx="16">
                  <c:v>44976.5</c:v>
                </c:pt>
                <c:pt idx="17">
                  <c:v>44993.5</c:v>
                </c:pt>
                <c:pt idx="18">
                  <c:v>45010.5</c:v>
                </c:pt>
                <c:pt idx="19">
                  <c:v>45027.5</c:v>
                </c:pt>
                <c:pt idx="20">
                  <c:v>45044.5</c:v>
                </c:pt>
              </c:numCache>
            </c:numRef>
          </c:xVal>
          <c:yVal>
            <c:numRef>
              <c:f>Main!$AK$55:$AK$75</c:f>
              <c:numCache>
                <c:formatCode>0.00</c:formatCode>
                <c:ptCount val="21"/>
                <c:pt idx="0">
                  <c:v>6.8646525295364427</c:v>
                </c:pt>
                <c:pt idx="1">
                  <c:v>7.3799925133711755</c:v>
                </c:pt>
                <c:pt idx="2">
                  <c:v>7.6299365830271411</c:v>
                </c:pt>
                <c:pt idx="3">
                  <c:v>7.4496481692413203</c:v>
                </c:pt>
                <c:pt idx="4">
                  <c:v>7.496320573555626</c:v>
                </c:pt>
                <c:pt idx="5">
                  <c:v>7.5212522143748473</c:v>
                </c:pt>
                <c:pt idx="6">
                  <c:v>6.3998805968252848</c:v>
                </c:pt>
                <c:pt idx="7">
                  <c:v>7.2532670495881559</c:v>
                </c:pt>
                <c:pt idx="8">
                  <c:v>7.3465927317691504</c:v>
                </c:pt>
                <c:pt idx="9">
                  <c:v>7.5299823123052789</c:v>
                </c:pt>
                <c:pt idx="10">
                  <c:v>7.7623380626435887</c:v>
                </c:pt>
                <c:pt idx="11">
                  <c:v>7.2873541324508508</c:v>
                </c:pt>
                <c:pt idx="12">
                  <c:v>7.2325884451372904</c:v>
                </c:pt>
                <c:pt idx="13">
                  <c:v>7.5308350334762162</c:v>
                </c:pt>
                <c:pt idx="14">
                  <c:v>7.2321447860490071</c:v>
                </c:pt>
                <c:pt idx="15">
                  <c:v>6.9759012156027742</c:v>
                </c:pt>
                <c:pt idx="16">
                  <c:v>7.3631273800852739</c:v>
                </c:pt>
                <c:pt idx="17">
                  <c:v>8.4408890358079596</c:v>
                </c:pt>
                <c:pt idx="18">
                  <c:v>7.4596244357450878</c:v>
                </c:pt>
                <c:pt idx="19">
                  <c:v>7.5382567343274589</c:v>
                </c:pt>
                <c:pt idx="20">
                  <c:v>6.6433151862217246</c:v>
                </c:pt>
              </c:numCache>
            </c:numRef>
          </c:yVal>
          <c:smooth val="0"/>
          <c:extLst>
            <c:ext xmlns:c16="http://schemas.microsoft.com/office/drawing/2014/chart" uri="{C3380CC4-5D6E-409C-BE32-E72D297353CC}">
              <c16:uniqueId val="{00000002-DEF8-4EBF-A6EE-4B0268D3CF3F}"/>
            </c:ext>
          </c:extLst>
        </c:ser>
        <c:dLbls>
          <c:showLegendKey val="0"/>
          <c:showVal val="0"/>
          <c:showCatName val="0"/>
          <c:showSerName val="0"/>
          <c:showPercent val="0"/>
          <c:showBubbleSize val="0"/>
        </c:dLbls>
        <c:axId val="1403119904"/>
        <c:axId val="1403121824"/>
      </c:scatterChart>
      <c:valAx>
        <c:axId val="1403119904"/>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121824"/>
        <c:crosses val="autoZero"/>
        <c:crossBetween val="midCat"/>
      </c:valAx>
      <c:valAx>
        <c:axId val="14031218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11990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psal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1000m</c:v>
          </c:tx>
          <c:spPr>
            <a:ln w="25400" cap="rnd">
              <a:noFill/>
              <a:round/>
            </a:ln>
            <a:effectLst/>
          </c:spPr>
          <c:marker>
            <c:symbol val="circle"/>
            <c:size val="5"/>
            <c:spPr>
              <a:solidFill>
                <a:schemeClr val="accent1"/>
              </a:solidFill>
              <a:ln w="9525">
                <a:solidFill>
                  <a:schemeClr val="accent1"/>
                </a:solidFill>
              </a:ln>
              <a:effectLst/>
            </c:spPr>
          </c:marker>
          <c:xVal>
            <c:numRef>
              <c:f>Main!$V$7:$V$27</c:f>
              <c:numCache>
                <c:formatCode>m/d/yyyy</c:formatCode>
                <c:ptCount val="21"/>
                <c:pt idx="0">
                  <c:v>44704.5</c:v>
                </c:pt>
                <c:pt idx="1">
                  <c:v>44721.5</c:v>
                </c:pt>
                <c:pt idx="2">
                  <c:v>44738.5</c:v>
                </c:pt>
                <c:pt idx="3">
                  <c:v>44755.5</c:v>
                </c:pt>
                <c:pt idx="4">
                  <c:v>44772.5</c:v>
                </c:pt>
                <c:pt idx="5">
                  <c:v>44789.5</c:v>
                </c:pt>
                <c:pt idx="6">
                  <c:v>44806.5</c:v>
                </c:pt>
                <c:pt idx="7">
                  <c:v>44823.5</c:v>
                </c:pt>
                <c:pt idx="8">
                  <c:v>44840.5</c:v>
                </c:pt>
                <c:pt idx="9">
                  <c:v>44857.5</c:v>
                </c:pt>
                <c:pt idx="10">
                  <c:v>44874.5</c:v>
                </c:pt>
                <c:pt idx="11">
                  <c:v>44891.5</c:v>
                </c:pt>
                <c:pt idx="12">
                  <c:v>44908.5</c:v>
                </c:pt>
                <c:pt idx="13">
                  <c:v>44925.5</c:v>
                </c:pt>
                <c:pt idx="14">
                  <c:v>44942.5</c:v>
                </c:pt>
                <c:pt idx="15">
                  <c:v>44959.5</c:v>
                </c:pt>
                <c:pt idx="16">
                  <c:v>44976.5</c:v>
                </c:pt>
                <c:pt idx="17">
                  <c:v>44993.5</c:v>
                </c:pt>
                <c:pt idx="18">
                  <c:v>45010.5</c:v>
                </c:pt>
                <c:pt idx="19">
                  <c:v>45027.5</c:v>
                </c:pt>
                <c:pt idx="20">
                  <c:v>45044.5</c:v>
                </c:pt>
              </c:numCache>
            </c:numRef>
          </c:xVal>
          <c:yVal>
            <c:numRef>
              <c:f>Main!$R$7:$R$27</c:f>
              <c:numCache>
                <c:formatCode>General</c:formatCode>
                <c:ptCount val="21"/>
                <c:pt idx="0">
                  <c:v>39.662176507611733</c:v>
                </c:pt>
                <c:pt idx="1">
                  <c:v>39.880126340086932</c:v>
                </c:pt>
                <c:pt idx="2">
                  <c:v>39.625873005066651</c:v>
                </c:pt>
                <c:pt idx="3">
                  <c:v>36.837788925598666</c:v>
                </c:pt>
                <c:pt idx="4">
                  <c:v>37.777374168095484</c:v>
                </c:pt>
                <c:pt idx="5">
                  <c:v>36.404782807461594</c:v>
                </c:pt>
                <c:pt idx="6">
                  <c:v>39.226567166210792</c:v>
                </c:pt>
                <c:pt idx="7">
                  <c:v>37.777374168095484</c:v>
                </c:pt>
                <c:pt idx="8">
                  <c:v>38.791347926916671</c:v>
                </c:pt>
                <c:pt idx="9">
                  <c:v>39.662176507611733</c:v>
                </c:pt>
                <c:pt idx="10">
                  <c:v>39.807465687206999</c:v>
                </c:pt>
                <c:pt idx="11">
                  <c:v>39.44434487221848</c:v>
                </c:pt>
                <c:pt idx="12">
                  <c:v>40.098172354946087</c:v>
                </c:pt>
                <c:pt idx="13">
                  <c:v>39.734815737579275</c:v>
                </c:pt>
                <c:pt idx="14">
                  <c:v>40.025479690233652</c:v>
                </c:pt>
                <c:pt idx="15">
                  <c:v>39.662176507611733</c:v>
                </c:pt>
                <c:pt idx="16">
                  <c:v>39.516930272554035</c:v>
                </c:pt>
                <c:pt idx="17">
                  <c:v>38.646362168235825</c:v>
                </c:pt>
                <c:pt idx="18">
                  <c:v>39.444323300545072</c:v>
                </c:pt>
                <c:pt idx="19">
                  <c:v>39.516930272554035</c:v>
                </c:pt>
                <c:pt idx="20">
                  <c:v>39.516930272554035</c:v>
                </c:pt>
              </c:numCache>
            </c:numRef>
          </c:yVal>
          <c:smooth val="0"/>
          <c:extLst>
            <c:ext xmlns:c16="http://schemas.microsoft.com/office/drawing/2014/chart" uri="{C3380CC4-5D6E-409C-BE32-E72D297353CC}">
              <c16:uniqueId val="{00000000-703C-4104-9321-4B9E27A0D0B7}"/>
            </c:ext>
          </c:extLst>
        </c:ser>
        <c:ser>
          <c:idx val="1"/>
          <c:order val="1"/>
          <c:tx>
            <c:v>2000m</c:v>
          </c:tx>
          <c:spPr>
            <a:ln w="25400" cap="rnd">
              <a:noFill/>
              <a:round/>
            </a:ln>
            <a:effectLst/>
          </c:spPr>
          <c:marker>
            <c:symbol val="circle"/>
            <c:size val="5"/>
            <c:spPr>
              <a:solidFill>
                <a:schemeClr val="accent2"/>
              </a:solidFill>
              <a:ln w="9525">
                <a:solidFill>
                  <a:schemeClr val="accent2"/>
                </a:solidFill>
              </a:ln>
              <a:effectLst/>
            </c:spPr>
          </c:marker>
          <c:xVal>
            <c:numRef>
              <c:f>Main!$V$31:$V$51</c:f>
              <c:numCache>
                <c:formatCode>m/d/yyyy</c:formatCode>
                <c:ptCount val="21"/>
                <c:pt idx="0">
                  <c:v>44704.5</c:v>
                </c:pt>
                <c:pt idx="1">
                  <c:v>44721.5</c:v>
                </c:pt>
                <c:pt idx="2">
                  <c:v>44738.5</c:v>
                </c:pt>
                <c:pt idx="3">
                  <c:v>44755.5</c:v>
                </c:pt>
                <c:pt idx="4">
                  <c:v>44772.5</c:v>
                </c:pt>
                <c:pt idx="5">
                  <c:v>44789.5</c:v>
                </c:pt>
                <c:pt idx="6">
                  <c:v>44806.5</c:v>
                </c:pt>
                <c:pt idx="7">
                  <c:v>44823.5</c:v>
                </c:pt>
                <c:pt idx="8">
                  <c:v>44840.5</c:v>
                </c:pt>
                <c:pt idx="9">
                  <c:v>44857.5</c:v>
                </c:pt>
                <c:pt idx="10">
                  <c:v>44874.5</c:v>
                </c:pt>
                <c:pt idx="11">
                  <c:v>44891.5</c:v>
                </c:pt>
                <c:pt idx="12">
                  <c:v>44908.5</c:v>
                </c:pt>
                <c:pt idx="13">
                  <c:v>44925.5</c:v>
                </c:pt>
                <c:pt idx="14">
                  <c:v>44942.5</c:v>
                </c:pt>
                <c:pt idx="15">
                  <c:v>44959.5</c:v>
                </c:pt>
                <c:pt idx="16">
                  <c:v>44976.5</c:v>
                </c:pt>
                <c:pt idx="17">
                  <c:v>44993.5</c:v>
                </c:pt>
                <c:pt idx="18">
                  <c:v>45010.5</c:v>
                </c:pt>
                <c:pt idx="19">
                  <c:v>45027.5</c:v>
                </c:pt>
                <c:pt idx="20">
                  <c:v>45044.5</c:v>
                </c:pt>
              </c:numCache>
            </c:numRef>
          </c:xVal>
          <c:yVal>
            <c:numRef>
              <c:f>Main!$R$31:$R$51</c:f>
              <c:numCache>
                <c:formatCode>General</c:formatCode>
                <c:ptCount val="21"/>
                <c:pt idx="0">
                  <c:v>39.516930272554035</c:v>
                </c:pt>
                <c:pt idx="1">
                  <c:v>39.154003437760188</c:v>
                </c:pt>
                <c:pt idx="2">
                  <c:v>39.662176507611733</c:v>
                </c:pt>
                <c:pt idx="3">
                  <c:v>39.734815737579275</c:v>
                </c:pt>
                <c:pt idx="4">
                  <c:v>38.791347926916671</c:v>
                </c:pt>
                <c:pt idx="5">
                  <c:v>39.299141730671622</c:v>
                </c:pt>
                <c:pt idx="6">
                  <c:v>39.807465687206999</c:v>
                </c:pt>
                <c:pt idx="7">
                  <c:v>39.807465687206999</c:v>
                </c:pt>
                <c:pt idx="8">
                  <c:v>39.516930272554035</c:v>
                </c:pt>
                <c:pt idx="9">
                  <c:v>39.662176507611733</c:v>
                </c:pt>
                <c:pt idx="10">
                  <c:v>39.880126340086932</c:v>
                </c:pt>
                <c:pt idx="11">
                  <c:v>39.807465687206999</c:v>
                </c:pt>
                <c:pt idx="12">
                  <c:v>39.226567166210792</c:v>
                </c:pt>
                <c:pt idx="14">
                  <c:v>39.516930272554035</c:v>
                </c:pt>
                <c:pt idx="15">
                  <c:v>38.791347926916671</c:v>
                </c:pt>
                <c:pt idx="16">
                  <c:v>40.24358958265212</c:v>
                </c:pt>
                <c:pt idx="17">
                  <c:v>39.516930272554035</c:v>
                </c:pt>
                <c:pt idx="18">
                  <c:v>40.24358958265212</c:v>
                </c:pt>
                <c:pt idx="19">
                  <c:v>39.734815737579275</c:v>
                </c:pt>
                <c:pt idx="20">
                  <c:v>39.952797679863593</c:v>
                </c:pt>
              </c:numCache>
            </c:numRef>
          </c:yVal>
          <c:smooth val="0"/>
          <c:extLst>
            <c:ext xmlns:c16="http://schemas.microsoft.com/office/drawing/2014/chart" uri="{C3380CC4-5D6E-409C-BE32-E72D297353CC}">
              <c16:uniqueId val="{00000001-703C-4104-9321-4B9E27A0D0B7}"/>
            </c:ext>
          </c:extLst>
        </c:ser>
        <c:ser>
          <c:idx val="2"/>
          <c:order val="2"/>
          <c:tx>
            <c:v>3800m</c:v>
          </c:tx>
          <c:spPr>
            <a:ln w="25400" cap="rnd">
              <a:noFill/>
              <a:round/>
            </a:ln>
            <a:effectLst/>
          </c:spPr>
          <c:marker>
            <c:symbol val="circle"/>
            <c:size val="5"/>
            <c:spPr>
              <a:solidFill>
                <a:schemeClr val="accent3"/>
              </a:solidFill>
              <a:ln w="9525">
                <a:solidFill>
                  <a:schemeClr val="accent3"/>
                </a:solidFill>
              </a:ln>
              <a:effectLst/>
            </c:spPr>
          </c:marker>
          <c:xVal>
            <c:numRef>
              <c:f>Main!$V$55:$V$75</c:f>
              <c:numCache>
                <c:formatCode>m/d/yyyy</c:formatCode>
                <c:ptCount val="21"/>
                <c:pt idx="0">
                  <c:v>44704.5</c:v>
                </c:pt>
                <c:pt idx="1">
                  <c:v>44721.5</c:v>
                </c:pt>
                <c:pt idx="2">
                  <c:v>44738.5</c:v>
                </c:pt>
                <c:pt idx="3">
                  <c:v>44755.5</c:v>
                </c:pt>
                <c:pt idx="4">
                  <c:v>44772.5</c:v>
                </c:pt>
                <c:pt idx="5">
                  <c:v>44789.5</c:v>
                </c:pt>
                <c:pt idx="6">
                  <c:v>44806.5</c:v>
                </c:pt>
                <c:pt idx="7">
                  <c:v>44823.5</c:v>
                </c:pt>
                <c:pt idx="8">
                  <c:v>44840.5</c:v>
                </c:pt>
                <c:pt idx="9">
                  <c:v>44857.5</c:v>
                </c:pt>
                <c:pt idx="10">
                  <c:v>44874.5</c:v>
                </c:pt>
                <c:pt idx="11">
                  <c:v>44891.5</c:v>
                </c:pt>
                <c:pt idx="12">
                  <c:v>44908.5</c:v>
                </c:pt>
                <c:pt idx="13">
                  <c:v>44925.5</c:v>
                </c:pt>
                <c:pt idx="14">
                  <c:v>44942.5</c:v>
                </c:pt>
                <c:pt idx="15">
                  <c:v>44959.5</c:v>
                </c:pt>
                <c:pt idx="16">
                  <c:v>44976.5</c:v>
                </c:pt>
                <c:pt idx="17">
                  <c:v>44993.5</c:v>
                </c:pt>
                <c:pt idx="18">
                  <c:v>45010.5</c:v>
                </c:pt>
                <c:pt idx="19">
                  <c:v>45027.5</c:v>
                </c:pt>
                <c:pt idx="20">
                  <c:v>45044.5</c:v>
                </c:pt>
              </c:numCache>
            </c:numRef>
          </c:xVal>
          <c:yVal>
            <c:numRef>
              <c:f>Main!$R$55:$R$75</c:f>
              <c:numCache>
                <c:formatCode>General</c:formatCode>
                <c:ptCount val="21"/>
                <c:pt idx="0">
                  <c:v>38.791347926916671</c:v>
                </c:pt>
                <c:pt idx="1">
                  <c:v>38.936377437123824</c:v>
                </c:pt>
                <c:pt idx="2">
                  <c:v>39.081455997028186</c:v>
                </c:pt>
                <c:pt idx="3">
                  <c:v>39.008908556296177</c:v>
                </c:pt>
                <c:pt idx="4">
                  <c:v>38.501420298682284</c:v>
                </c:pt>
                <c:pt idx="5">
                  <c:v>39.008908556296177</c:v>
                </c:pt>
                <c:pt idx="6">
                  <c:v>38.936377437123824</c:v>
                </c:pt>
                <c:pt idx="7">
                  <c:v>39.008908556296177</c:v>
                </c:pt>
                <c:pt idx="8">
                  <c:v>38.936377437123824</c:v>
                </c:pt>
                <c:pt idx="9">
                  <c:v>39.081450562157663</c:v>
                </c:pt>
                <c:pt idx="10">
                  <c:v>38.501420298682284</c:v>
                </c:pt>
                <c:pt idx="11">
                  <c:v>38.863862682020248</c:v>
                </c:pt>
                <c:pt idx="12">
                  <c:v>38.718849570056641</c:v>
                </c:pt>
                <c:pt idx="13">
                  <c:v>38.646362168235825</c:v>
                </c:pt>
                <c:pt idx="14">
                  <c:v>37.922094495813525</c:v>
                </c:pt>
                <c:pt idx="15">
                  <c:v>37.632698574553245</c:v>
                </c:pt>
                <c:pt idx="16">
                  <c:v>36.476921764898364</c:v>
                </c:pt>
                <c:pt idx="17">
                  <c:v>38.646362168235825</c:v>
                </c:pt>
                <c:pt idx="18">
                  <c:v>38.863857221644167</c:v>
                </c:pt>
                <c:pt idx="19">
                  <c:v>37.777374168095484</c:v>
                </c:pt>
                <c:pt idx="20">
                  <c:v>38.428965865577133</c:v>
                </c:pt>
              </c:numCache>
            </c:numRef>
          </c:yVal>
          <c:smooth val="0"/>
          <c:extLst>
            <c:ext xmlns:c16="http://schemas.microsoft.com/office/drawing/2014/chart" uri="{C3380CC4-5D6E-409C-BE32-E72D297353CC}">
              <c16:uniqueId val="{00000002-703C-4104-9321-4B9E27A0D0B7}"/>
            </c:ext>
          </c:extLst>
        </c:ser>
        <c:dLbls>
          <c:showLegendKey val="0"/>
          <c:showVal val="0"/>
          <c:showCatName val="0"/>
          <c:showSerName val="0"/>
          <c:showPercent val="0"/>
          <c:showBubbleSize val="0"/>
        </c:dLbls>
        <c:axId val="1403119904"/>
        <c:axId val="1403121824"/>
      </c:scatterChart>
      <c:valAx>
        <c:axId val="1403119904"/>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121824"/>
        <c:crosses val="autoZero"/>
        <c:crossBetween val="midCat"/>
      </c:valAx>
      <c:valAx>
        <c:axId val="1403121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Psal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11990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AU"/>
              <a:t>SAZ24 %CaCO3</a:t>
            </a:r>
          </a:p>
        </c:rich>
      </c:tx>
      <c:overlay val="0"/>
      <c:spPr>
        <a:noFill/>
        <a:ln w="25400">
          <a:noFill/>
        </a:ln>
      </c:spPr>
    </c:title>
    <c:autoTitleDeleted val="0"/>
    <c:plotArea>
      <c:layout/>
      <c:scatterChart>
        <c:scatterStyle val="lineMarker"/>
        <c:varyColors val="0"/>
        <c:ser>
          <c:idx val="0"/>
          <c:order val="0"/>
          <c:tx>
            <c:v>47_1000</c:v>
          </c:tx>
          <c:spPr>
            <a:ln w="19050">
              <a:noFill/>
            </a:ln>
          </c:spPr>
          <c:marker>
            <c:symbol val="circle"/>
            <c:size val="5"/>
            <c:spPr>
              <a:solidFill>
                <a:srgbClr val="00B050"/>
              </a:solidFill>
              <a:ln>
                <a:solidFill>
                  <a:srgbClr val="00B050"/>
                </a:solidFill>
                <a:prstDash val="solid"/>
              </a:ln>
            </c:spPr>
          </c:marker>
          <c:xVal>
            <c:numRef>
              <c:f>Main!$V$7:$V$27</c:f>
              <c:numCache>
                <c:formatCode>m/d/yyyy</c:formatCode>
                <c:ptCount val="21"/>
                <c:pt idx="0">
                  <c:v>44704.5</c:v>
                </c:pt>
                <c:pt idx="1">
                  <c:v>44721.5</c:v>
                </c:pt>
                <c:pt idx="2">
                  <c:v>44738.5</c:v>
                </c:pt>
                <c:pt idx="3">
                  <c:v>44755.5</c:v>
                </c:pt>
                <c:pt idx="4">
                  <c:v>44772.5</c:v>
                </c:pt>
                <c:pt idx="5">
                  <c:v>44789.5</c:v>
                </c:pt>
                <c:pt idx="6">
                  <c:v>44806.5</c:v>
                </c:pt>
                <c:pt idx="7">
                  <c:v>44823.5</c:v>
                </c:pt>
                <c:pt idx="8">
                  <c:v>44840.5</c:v>
                </c:pt>
                <c:pt idx="9">
                  <c:v>44857.5</c:v>
                </c:pt>
                <c:pt idx="10">
                  <c:v>44874.5</c:v>
                </c:pt>
                <c:pt idx="11">
                  <c:v>44891.5</c:v>
                </c:pt>
                <c:pt idx="12">
                  <c:v>44908.5</c:v>
                </c:pt>
                <c:pt idx="13">
                  <c:v>44925.5</c:v>
                </c:pt>
                <c:pt idx="14">
                  <c:v>44942.5</c:v>
                </c:pt>
                <c:pt idx="15">
                  <c:v>44959.5</c:v>
                </c:pt>
                <c:pt idx="16">
                  <c:v>44976.5</c:v>
                </c:pt>
                <c:pt idx="17">
                  <c:v>44993.5</c:v>
                </c:pt>
                <c:pt idx="18">
                  <c:v>45010.5</c:v>
                </c:pt>
                <c:pt idx="19">
                  <c:v>45027.5</c:v>
                </c:pt>
                <c:pt idx="20">
                  <c:v>45044.5</c:v>
                </c:pt>
              </c:numCache>
            </c:numRef>
          </c:xVal>
          <c:yVal>
            <c:numRef>
              <c:f>'PIC data_CWE_QC'!$AF$8:$AF$28</c:f>
              <c:numCache>
                <c:formatCode>General</c:formatCode>
                <c:ptCount val="21"/>
                <c:pt idx="0">
                  <c:v>78.722118949989266</c:v>
                </c:pt>
                <c:pt idx="1">
                  <c:v>76.579818615124523</c:v>
                </c:pt>
                <c:pt idx="2">
                  <c:v>70.410326660009275</c:v>
                </c:pt>
                <c:pt idx="3">
                  <c:v>31.111994045249531</c:v>
                </c:pt>
                <c:pt idx="4">
                  <c:v>51.801318458338926</c:v>
                </c:pt>
                <c:pt idx="5">
                  <c:v>62.736503755437198</c:v>
                </c:pt>
                <c:pt idx="6">
                  <c:v>67.018420910104922</c:v>
                </c:pt>
                <c:pt idx="7">
                  <c:v>64.136997877553966</c:v>
                </c:pt>
                <c:pt idx="8">
                  <c:v>72.249834750634889</c:v>
                </c:pt>
                <c:pt idx="9">
                  <c:v>76.209612088141483</c:v>
                </c:pt>
                <c:pt idx="10">
                  <c:v>77.278267260940012</c:v>
                </c:pt>
                <c:pt idx="11" formatCode="0.00">
                  <c:v>76.221092576215611</c:v>
                </c:pt>
                <c:pt idx="12">
                  <c:v>74.691523502969375</c:v>
                </c:pt>
                <c:pt idx="13">
                  <c:v>73.843469539991347</c:v>
                </c:pt>
                <c:pt idx="14">
                  <c:v>71.153571201162194</c:v>
                </c:pt>
                <c:pt idx="17">
                  <c:v>70.446478281874576</c:v>
                </c:pt>
                <c:pt idx="18">
                  <c:v>70.987032078938213</c:v>
                </c:pt>
                <c:pt idx="19">
                  <c:v>64.74330861420539</c:v>
                </c:pt>
                <c:pt idx="20">
                  <c:v>70.123018513013619</c:v>
                </c:pt>
              </c:numCache>
            </c:numRef>
          </c:yVal>
          <c:smooth val="0"/>
          <c:extLst>
            <c:ext xmlns:c16="http://schemas.microsoft.com/office/drawing/2014/chart" uri="{C3380CC4-5D6E-409C-BE32-E72D297353CC}">
              <c16:uniqueId val="{00000000-37A9-4357-B354-738B3479F592}"/>
            </c:ext>
          </c:extLst>
        </c:ser>
        <c:ser>
          <c:idx val="1"/>
          <c:order val="1"/>
          <c:tx>
            <c:v>47_2000</c:v>
          </c:tx>
          <c:spPr>
            <a:ln w="19050">
              <a:noFill/>
            </a:ln>
          </c:spPr>
          <c:marker>
            <c:symbol val="circle"/>
            <c:size val="5"/>
            <c:spPr>
              <a:solidFill>
                <a:srgbClr val="C0504D"/>
              </a:solidFill>
              <a:ln>
                <a:solidFill>
                  <a:srgbClr val="993366"/>
                </a:solidFill>
                <a:prstDash val="solid"/>
              </a:ln>
            </c:spPr>
          </c:marker>
          <c:xVal>
            <c:numRef>
              <c:f>Main!$V$31:$V$51</c:f>
              <c:numCache>
                <c:formatCode>m/d/yyyy</c:formatCode>
                <c:ptCount val="21"/>
                <c:pt idx="0">
                  <c:v>44704.5</c:v>
                </c:pt>
                <c:pt idx="1">
                  <c:v>44721.5</c:v>
                </c:pt>
                <c:pt idx="2">
                  <c:v>44738.5</c:v>
                </c:pt>
                <c:pt idx="3">
                  <c:v>44755.5</c:v>
                </c:pt>
                <c:pt idx="4">
                  <c:v>44772.5</c:v>
                </c:pt>
                <c:pt idx="5">
                  <c:v>44789.5</c:v>
                </c:pt>
                <c:pt idx="6">
                  <c:v>44806.5</c:v>
                </c:pt>
                <c:pt idx="7">
                  <c:v>44823.5</c:v>
                </c:pt>
                <c:pt idx="8">
                  <c:v>44840.5</c:v>
                </c:pt>
                <c:pt idx="9">
                  <c:v>44857.5</c:v>
                </c:pt>
                <c:pt idx="10">
                  <c:v>44874.5</c:v>
                </c:pt>
                <c:pt idx="11">
                  <c:v>44891.5</c:v>
                </c:pt>
                <c:pt idx="12">
                  <c:v>44908.5</c:v>
                </c:pt>
                <c:pt idx="13">
                  <c:v>44925.5</c:v>
                </c:pt>
                <c:pt idx="14">
                  <c:v>44942.5</c:v>
                </c:pt>
                <c:pt idx="15">
                  <c:v>44959.5</c:v>
                </c:pt>
                <c:pt idx="16">
                  <c:v>44976.5</c:v>
                </c:pt>
                <c:pt idx="17">
                  <c:v>44993.5</c:v>
                </c:pt>
                <c:pt idx="18">
                  <c:v>45010.5</c:v>
                </c:pt>
                <c:pt idx="19">
                  <c:v>45027.5</c:v>
                </c:pt>
                <c:pt idx="20">
                  <c:v>45044.5</c:v>
                </c:pt>
              </c:numCache>
            </c:numRef>
          </c:xVal>
          <c:yVal>
            <c:numRef>
              <c:f>'PIC data_CWE_QC'!$AF$29:$AF$49</c:f>
              <c:numCache>
                <c:formatCode>General</c:formatCode>
                <c:ptCount val="21"/>
                <c:pt idx="0">
                  <c:v>73.22242712567386</c:v>
                </c:pt>
                <c:pt idx="1">
                  <c:v>73.803397573722236</c:v>
                </c:pt>
                <c:pt idx="2">
                  <c:v>71.855473522521095</c:v>
                </c:pt>
                <c:pt idx="3">
                  <c:v>70.84442953702181</c:v>
                </c:pt>
                <c:pt idx="4">
                  <c:v>72.170712113184663</c:v>
                </c:pt>
                <c:pt idx="5">
                  <c:v>71.421985541200854</c:v>
                </c:pt>
                <c:pt idx="6">
                  <c:v>69.913179121790151</c:v>
                </c:pt>
                <c:pt idx="7">
                  <c:v>69.919599299434765</c:v>
                </c:pt>
                <c:pt idx="8">
                  <c:v>72.45048363979042</c:v>
                </c:pt>
                <c:pt idx="9">
                  <c:v>75.652797991872973</c:v>
                </c:pt>
                <c:pt idx="10">
                  <c:v>79.730332793076599</c:v>
                </c:pt>
                <c:pt idx="11">
                  <c:v>76.615845940403659</c:v>
                </c:pt>
                <c:pt idx="12">
                  <c:v>76.617145424792767</c:v>
                </c:pt>
                <c:pt idx="15">
                  <c:v>69.361820952840063</c:v>
                </c:pt>
                <c:pt idx="19">
                  <c:v>52.769539895909041</c:v>
                </c:pt>
                <c:pt idx="20">
                  <c:v>53.656208178012044</c:v>
                </c:pt>
              </c:numCache>
            </c:numRef>
          </c:yVal>
          <c:smooth val="0"/>
          <c:extLst>
            <c:ext xmlns:c16="http://schemas.microsoft.com/office/drawing/2014/chart" uri="{C3380CC4-5D6E-409C-BE32-E72D297353CC}">
              <c16:uniqueId val="{00000001-37A9-4357-B354-738B3479F592}"/>
            </c:ext>
          </c:extLst>
        </c:ser>
        <c:ser>
          <c:idx val="3"/>
          <c:order val="2"/>
          <c:tx>
            <c:v>47_3800</c:v>
          </c:tx>
          <c:spPr>
            <a:ln w="19050">
              <a:noFill/>
            </a:ln>
          </c:spPr>
          <c:marker>
            <c:symbol val="circle"/>
            <c:size val="5"/>
            <c:spPr>
              <a:solidFill>
                <a:srgbClr val="8064A2"/>
              </a:solidFill>
              <a:ln>
                <a:solidFill>
                  <a:srgbClr val="666699"/>
                </a:solidFill>
                <a:prstDash val="solid"/>
              </a:ln>
            </c:spPr>
          </c:marker>
          <c:xVal>
            <c:numRef>
              <c:f>Main!$V$7:$V$27</c:f>
              <c:numCache>
                <c:formatCode>m/d/yyyy</c:formatCode>
                <c:ptCount val="21"/>
                <c:pt idx="0">
                  <c:v>44704.5</c:v>
                </c:pt>
                <c:pt idx="1">
                  <c:v>44721.5</c:v>
                </c:pt>
                <c:pt idx="2">
                  <c:v>44738.5</c:v>
                </c:pt>
                <c:pt idx="3">
                  <c:v>44755.5</c:v>
                </c:pt>
                <c:pt idx="4">
                  <c:v>44772.5</c:v>
                </c:pt>
                <c:pt idx="5">
                  <c:v>44789.5</c:v>
                </c:pt>
                <c:pt idx="6">
                  <c:v>44806.5</c:v>
                </c:pt>
                <c:pt idx="7">
                  <c:v>44823.5</c:v>
                </c:pt>
                <c:pt idx="8">
                  <c:v>44840.5</c:v>
                </c:pt>
                <c:pt idx="9">
                  <c:v>44857.5</c:v>
                </c:pt>
                <c:pt idx="10">
                  <c:v>44874.5</c:v>
                </c:pt>
                <c:pt idx="11">
                  <c:v>44891.5</c:v>
                </c:pt>
                <c:pt idx="12">
                  <c:v>44908.5</c:v>
                </c:pt>
                <c:pt idx="13">
                  <c:v>44925.5</c:v>
                </c:pt>
                <c:pt idx="14">
                  <c:v>44942.5</c:v>
                </c:pt>
                <c:pt idx="15">
                  <c:v>44959.5</c:v>
                </c:pt>
                <c:pt idx="16">
                  <c:v>44976.5</c:v>
                </c:pt>
                <c:pt idx="17">
                  <c:v>44993.5</c:v>
                </c:pt>
                <c:pt idx="18">
                  <c:v>45010.5</c:v>
                </c:pt>
                <c:pt idx="19">
                  <c:v>45027.5</c:v>
                </c:pt>
                <c:pt idx="20">
                  <c:v>45044.5</c:v>
                </c:pt>
              </c:numCache>
            </c:numRef>
          </c:xVal>
          <c:yVal>
            <c:numRef>
              <c:f>'PIC data_CWE_QC'!$AF$50:$AF$70</c:f>
              <c:numCache>
                <c:formatCode>General</c:formatCode>
                <c:ptCount val="21"/>
                <c:pt idx="0">
                  <c:v>77.489697265803002</c:v>
                </c:pt>
                <c:pt idx="1">
                  <c:v>74.926814619169619</c:v>
                </c:pt>
                <c:pt idx="2">
                  <c:v>75.648154819494309</c:v>
                </c:pt>
                <c:pt idx="3">
                  <c:v>66.848783464945782</c:v>
                </c:pt>
                <c:pt idx="4">
                  <c:v>76.970075613599562</c:v>
                </c:pt>
                <c:pt idx="5">
                  <c:v>75.414397032601002</c:v>
                </c:pt>
                <c:pt idx="6">
                  <c:v>74.20951087100832</c:v>
                </c:pt>
                <c:pt idx="7">
                  <c:v>72.132016068871607</c:v>
                </c:pt>
                <c:pt idx="8">
                  <c:v>72.860644900303129</c:v>
                </c:pt>
                <c:pt idx="9">
                  <c:v>77.050570104651754</c:v>
                </c:pt>
                <c:pt idx="10">
                  <c:v>78.872279924359887</c:v>
                </c:pt>
                <c:pt idx="11">
                  <c:v>75.89706552902544</c:v>
                </c:pt>
                <c:pt idx="12">
                  <c:v>67.236085237491039</c:v>
                </c:pt>
                <c:pt idx="13">
                  <c:v>62.362810057453608</c:v>
                </c:pt>
                <c:pt idx="14">
                  <c:v>57.706363580897133</c:v>
                </c:pt>
                <c:pt idx="15">
                  <c:v>68.556134240857176</c:v>
                </c:pt>
                <c:pt idx="16">
                  <c:v>73.514730433964701</c:v>
                </c:pt>
                <c:pt idx="17">
                  <c:v>71.572303862458924</c:v>
                </c:pt>
                <c:pt idx="18">
                  <c:v>71.209945716490836</c:v>
                </c:pt>
                <c:pt idx="19">
                  <c:v>72.645345110830917</c:v>
                </c:pt>
                <c:pt idx="20">
                  <c:v>70.36685210175213</c:v>
                </c:pt>
              </c:numCache>
            </c:numRef>
          </c:yVal>
          <c:smooth val="0"/>
          <c:extLst>
            <c:ext xmlns:c16="http://schemas.microsoft.com/office/drawing/2014/chart" uri="{C3380CC4-5D6E-409C-BE32-E72D297353CC}">
              <c16:uniqueId val="{00000002-37A9-4357-B354-738B3479F592}"/>
            </c:ext>
          </c:extLst>
        </c:ser>
        <c:dLbls>
          <c:showLegendKey val="0"/>
          <c:showVal val="0"/>
          <c:showCatName val="0"/>
          <c:showSerName val="0"/>
          <c:showPercent val="0"/>
          <c:showBubbleSize val="0"/>
        </c:dLbls>
        <c:axId val="-2091142344"/>
        <c:axId val="-2091133512"/>
      </c:scatterChart>
      <c:valAx>
        <c:axId val="-2091142344"/>
        <c:scaling>
          <c:orientation val="minMax"/>
        </c:scaling>
        <c:delete val="0"/>
        <c:axPos val="b"/>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Midpoint time</a:t>
                </a:r>
              </a:p>
            </c:rich>
          </c:tx>
          <c:overlay val="0"/>
          <c:spPr>
            <a:noFill/>
            <a:ln w="25400">
              <a:noFill/>
            </a:ln>
          </c:spPr>
        </c:title>
        <c:numFmt formatCode="m/d/yyyy"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33512"/>
        <c:crosses val="autoZero"/>
        <c:crossBetween val="midCat"/>
      </c:valAx>
      <c:valAx>
        <c:axId val="-2091133512"/>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%CaCO3</a:t>
                </a:r>
              </a:p>
            </c:rich>
          </c:tx>
          <c:overlay val="0"/>
          <c:spPr>
            <a:noFill/>
            <a:ln w="25400">
              <a:noFill/>
            </a:ln>
          </c:spPr>
        </c:title>
        <c:numFmt formatCode="General"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42344"/>
        <c:crosses val="autoZero"/>
        <c:crossBetween val="midCat"/>
      </c:valAx>
      <c:spPr>
        <a:noFill/>
        <a:ln w="25400">
          <a:noFill/>
        </a:ln>
      </c:spPr>
    </c:plotArea>
    <c:legend>
      <c:legendPos val="r"/>
      <c:layout>
        <c:manualLayout>
          <c:xMode val="edge"/>
          <c:yMode val="edge"/>
          <c:x val="0.90094136813020065"/>
          <c:y val="0.54778677140881904"/>
          <c:w val="8.4618613342703361E-2"/>
          <c:h val="0.188811678260497"/>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rgbClr val="FFFFFF"/>
    </a:solidFill>
    <a:ln w="3175">
      <a:solidFill>
        <a:srgbClr val="C0C0C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1000m</c:v>
          </c:tx>
          <c:spPr>
            <a:ln w="25400" cap="rnd">
              <a:noFill/>
              <a:round/>
            </a:ln>
            <a:effectLst/>
          </c:spPr>
          <c:marker>
            <c:symbol val="circle"/>
            <c:size val="5"/>
            <c:spPr>
              <a:solidFill>
                <a:schemeClr val="accent1"/>
              </a:solidFill>
              <a:ln w="9525">
                <a:solidFill>
                  <a:schemeClr val="accent1"/>
                </a:solidFill>
              </a:ln>
              <a:effectLst/>
            </c:spPr>
          </c:marker>
          <c:xVal>
            <c:numRef>
              <c:f>Main!$V$7:$V$27</c:f>
              <c:numCache>
                <c:formatCode>m/d/yyyy</c:formatCode>
                <c:ptCount val="21"/>
                <c:pt idx="0">
                  <c:v>44704.5</c:v>
                </c:pt>
                <c:pt idx="1">
                  <c:v>44721.5</c:v>
                </c:pt>
                <c:pt idx="2">
                  <c:v>44738.5</c:v>
                </c:pt>
                <c:pt idx="3">
                  <c:v>44755.5</c:v>
                </c:pt>
                <c:pt idx="4">
                  <c:v>44772.5</c:v>
                </c:pt>
                <c:pt idx="5">
                  <c:v>44789.5</c:v>
                </c:pt>
                <c:pt idx="6">
                  <c:v>44806.5</c:v>
                </c:pt>
                <c:pt idx="7">
                  <c:v>44823.5</c:v>
                </c:pt>
                <c:pt idx="8">
                  <c:v>44840.5</c:v>
                </c:pt>
                <c:pt idx="9">
                  <c:v>44857.5</c:v>
                </c:pt>
                <c:pt idx="10">
                  <c:v>44874.5</c:v>
                </c:pt>
                <c:pt idx="11">
                  <c:v>44891.5</c:v>
                </c:pt>
                <c:pt idx="12">
                  <c:v>44908.5</c:v>
                </c:pt>
                <c:pt idx="13">
                  <c:v>44925.5</c:v>
                </c:pt>
                <c:pt idx="14">
                  <c:v>44942.5</c:v>
                </c:pt>
                <c:pt idx="15">
                  <c:v>44959.5</c:v>
                </c:pt>
                <c:pt idx="16">
                  <c:v>44976.5</c:v>
                </c:pt>
                <c:pt idx="17">
                  <c:v>44993.5</c:v>
                </c:pt>
                <c:pt idx="18">
                  <c:v>45010.5</c:v>
                </c:pt>
                <c:pt idx="19">
                  <c:v>45027.5</c:v>
                </c:pt>
                <c:pt idx="20">
                  <c:v>45044.5</c:v>
                </c:pt>
              </c:numCache>
            </c:numRef>
          </c:xVal>
          <c:yVal>
            <c:numRef>
              <c:f>Main!$S$7:$S$27</c:f>
              <c:numCache>
                <c:formatCode>General</c:formatCode>
                <c:ptCount val="21"/>
                <c:pt idx="0">
                  <c:v>8.5500000000000007</c:v>
                </c:pt>
                <c:pt idx="1">
                  <c:v>8.6199999999999992</c:v>
                </c:pt>
                <c:pt idx="2">
                  <c:v>8.5150000000000006</c:v>
                </c:pt>
                <c:pt idx="3">
                  <c:v>8.61</c:v>
                </c:pt>
                <c:pt idx="4">
                  <c:v>8.1999999999999993</c:v>
                </c:pt>
                <c:pt idx="5">
                  <c:v>8.58</c:v>
                </c:pt>
                <c:pt idx="6">
                  <c:v>8.58</c:v>
                </c:pt>
                <c:pt idx="7">
                  <c:v>8.5</c:v>
                </c:pt>
                <c:pt idx="8">
                  <c:v>8.59</c:v>
                </c:pt>
                <c:pt idx="9">
                  <c:v>8.56</c:v>
                </c:pt>
                <c:pt idx="10">
                  <c:v>8.58</c:v>
                </c:pt>
                <c:pt idx="11">
                  <c:v>8.6149999999999984</c:v>
                </c:pt>
                <c:pt idx="12">
                  <c:v>8.65</c:v>
                </c:pt>
                <c:pt idx="13">
                  <c:v>8.6300000000000008</c:v>
                </c:pt>
                <c:pt idx="14">
                  <c:v>8.67</c:v>
                </c:pt>
                <c:pt idx="15">
                  <c:v>8.65</c:v>
                </c:pt>
                <c:pt idx="16">
                  <c:v>8.65</c:v>
                </c:pt>
                <c:pt idx="17">
                  <c:v>8.66</c:v>
                </c:pt>
                <c:pt idx="18">
                  <c:v>8.67</c:v>
                </c:pt>
                <c:pt idx="19">
                  <c:v>8.66</c:v>
                </c:pt>
                <c:pt idx="20">
                  <c:v>8.65</c:v>
                </c:pt>
              </c:numCache>
            </c:numRef>
          </c:yVal>
          <c:smooth val="0"/>
          <c:extLst>
            <c:ext xmlns:c16="http://schemas.microsoft.com/office/drawing/2014/chart" uri="{C3380CC4-5D6E-409C-BE32-E72D297353CC}">
              <c16:uniqueId val="{00000000-FD18-4CF5-BC09-52A3D202D025}"/>
            </c:ext>
          </c:extLst>
        </c:ser>
        <c:ser>
          <c:idx val="1"/>
          <c:order val="1"/>
          <c:tx>
            <c:v>2000m</c:v>
          </c:tx>
          <c:spPr>
            <a:ln w="25400" cap="rnd">
              <a:noFill/>
              <a:round/>
            </a:ln>
            <a:effectLst/>
          </c:spPr>
          <c:marker>
            <c:symbol val="circle"/>
            <c:size val="5"/>
            <c:spPr>
              <a:solidFill>
                <a:schemeClr val="accent2"/>
              </a:solidFill>
              <a:ln w="9525">
                <a:solidFill>
                  <a:schemeClr val="accent2"/>
                </a:solidFill>
              </a:ln>
              <a:effectLst/>
            </c:spPr>
          </c:marker>
          <c:xVal>
            <c:numRef>
              <c:f>Main!$V$31:$V$51</c:f>
              <c:numCache>
                <c:formatCode>m/d/yyyy</c:formatCode>
                <c:ptCount val="21"/>
                <c:pt idx="0">
                  <c:v>44704.5</c:v>
                </c:pt>
                <c:pt idx="1">
                  <c:v>44721.5</c:v>
                </c:pt>
                <c:pt idx="2">
                  <c:v>44738.5</c:v>
                </c:pt>
                <c:pt idx="3">
                  <c:v>44755.5</c:v>
                </c:pt>
                <c:pt idx="4">
                  <c:v>44772.5</c:v>
                </c:pt>
                <c:pt idx="5">
                  <c:v>44789.5</c:v>
                </c:pt>
                <c:pt idx="6">
                  <c:v>44806.5</c:v>
                </c:pt>
                <c:pt idx="7">
                  <c:v>44823.5</c:v>
                </c:pt>
                <c:pt idx="8">
                  <c:v>44840.5</c:v>
                </c:pt>
                <c:pt idx="9">
                  <c:v>44857.5</c:v>
                </c:pt>
                <c:pt idx="10">
                  <c:v>44874.5</c:v>
                </c:pt>
                <c:pt idx="11">
                  <c:v>44891.5</c:v>
                </c:pt>
                <c:pt idx="12">
                  <c:v>44908.5</c:v>
                </c:pt>
                <c:pt idx="13">
                  <c:v>44925.5</c:v>
                </c:pt>
                <c:pt idx="14">
                  <c:v>44942.5</c:v>
                </c:pt>
                <c:pt idx="15">
                  <c:v>44959.5</c:v>
                </c:pt>
                <c:pt idx="16">
                  <c:v>44976.5</c:v>
                </c:pt>
                <c:pt idx="17">
                  <c:v>44993.5</c:v>
                </c:pt>
                <c:pt idx="18">
                  <c:v>45010.5</c:v>
                </c:pt>
                <c:pt idx="19">
                  <c:v>45027.5</c:v>
                </c:pt>
                <c:pt idx="20">
                  <c:v>45044.5</c:v>
                </c:pt>
              </c:numCache>
            </c:numRef>
          </c:xVal>
          <c:yVal>
            <c:numRef>
              <c:f>Main!$S$31:$S$51</c:f>
              <c:numCache>
                <c:formatCode>General</c:formatCode>
                <c:ptCount val="21"/>
                <c:pt idx="0">
                  <c:v>8.5299999999999994</c:v>
                </c:pt>
                <c:pt idx="1">
                  <c:v>8.5399999999999991</c:v>
                </c:pt>
                <c:pt idx="2">
                  <c:v>8.6</c:v>
                </c:pt>
                <c:pt idx="3">
                  <c:v>8.59</c:v>
                </c:pt>
                <c:pt idx="4">
                  <c:v>8.59</c:v>
                </c:pt>
                <c:pt idx="5">
                  <c:v>8.6</c:v>
                </c:pt>
                <c:pt idx="6">
                  <c:v>8.6199999999999992</c:v>
                </c:pt>
                <c:pt idx="7">
                  <c:v>8.6</c:v>
                </c:pt>
                <c:pt idx="8">
                  <c:v>8.61</c:v>
                </c:pt>
                <c:pt idx="9">
                  <c:v>8.52</c:v>
                </c:pt>
                <c:pt idx="10">
                  <c:v>8.59</c:v>
                </c:pt>
                <c:pt idx="11">
                  <c:v>8.56</c:v>
                </c:pt>
                <c:pt idx="12">
                  <c:v>8.5949999999999989</c:v>
                </c:pt>
                <c:pt idx="14">
                  <c:v>8.64</c:v>
                </c:pt>
                <c:pt idx="15">
                  <c:v>8.66</c:v>
                </c:pt>
                <c:pt idx="16">
                  <c:v>8.64</c:v>
                </c:pt>
                <c:pt idx="17">
                  <c:v>8.66</c:v>
                </c:pt>
                <c:pt idx="18">
                  <c:v>8.65</c:v>
                </c:pt>
                <c:pt idx="19">
                  <c:v>8.61</c:v>
                </c:pt>
                <c:pt idx="20">
                  <c:v>8.66</c:v>
                </c:pt>
              </c:numCache>
            </c:numRef>
          </c:yVal>
          <c:smooth val="0"/>
          <c:extLst>
            <c:ext xmlns:c16="http://schemas.microsoft.com/office/drawing/2014/chart" uri="{C3380CC4-5D6E-409C-BE32-E72D297353CC}">
              <c16:uniqueId val="{00000001-FD18-4CF5-BC09-52A3D202D025}"/>
            </c:ext>
          </c:extLst>
        </c:ser>
        <c:ser>
          <c:idx val="2"/>
          <c:order val="2"/>
          <c:tx>
            <c:v>3800m</c:v>
          </c:tx>
          <c:spPr>
            <a:ln w="25400" cap="rnd">
              <a:noFill/>
              <a:round/>
            </a:ln>
            <a:effectLst/>
          </c:spPr>
          <c:marker>
            <c:symbol val="circle"/>
            <c:size val="5"/>
            <c:spPr>
              <a:solidFill>
                <a:schemeClr val="accent3"/>
              </a:solidFill>
              <a:ln w="9525">
                <a:solidFill>
                  <a:schemeClr val="accent3"/>
                </a:solidFill>
              </a:ln>
              <a:effectLst/>
            </c:spPr>
          </c:marker>
          <c:xVal>
            <c:numRef>
              <c:f>Main!$V$55:$V$75</c:f>
              <c:numCache>
                <c:formatCode>m/d/yyyy</c:formatCode>
                <c:ptCount val="21"/>
                <c:pt idx="0">
                  <c:v>44704.5</c:v>
                </c:pt>
                <c:pt idx="1">
                  <c:v>44721.5</c:v>
                </c:pt>
                <c:pt idx="2">
                  <c:v>44738.5</c:v>
                </c:pt>
                <c:pt idx="3">
                  <c:v>44755.5</c:v>
                </c:pt>
                <c:pt idx="4">
                  <c:v>44772.5</c:v>
                </c:pt>
                <c:pt idx="5">
                  <c:v>44789.5</c:v>
                </c:pt>
                <c:pt idx="6">
                  <c:v>44806.5</c:v>
                </c:pt>
                <c:pt idx="7">
                  <c:v>44823.5</c:v>
                </c:pt>
                <c:pt idx="8">
                  <c:v>44840.5</c:v>
                </c:pt>
                <c:pt idx="9">
                  <c:v>44857.5</c:v>
                </c:pt>
                <c:pt idx="10">
                  <c:v>44874.5</c:v>
                </c:pt>
                <c:pt idx="11">
                  <c:v>44891.5</c:v>
                </c:pt>
                <c:pt idx="12">
                  <c:v>44908.5</c:v>
                </c:pt>
                <c:pt idx="13">
                  <c:v>44925.5</c:v>
                </c:pt>
                <c:pt idx="14">
                  <c:v>44942.5</c:v>
                </c:pt>
                <c:pt idx="15">
                  <c:v>44959.5</c:v>
                </c:pt>
                <c:pt idx="16">
                  <c:v>44976.5</c:v>
                </c:pt>
                <c:pt idx="17">
                  <c:v>44993.5</c:v>
                </c:pt>
                <c:pt idx="18">
                  <c:v>45010.5</c:v>
                </c:pt>
                <c:pt idx="19">
                  <c:v>45027.5</c:v>
                </c:pt>
                <c:pt idx="20">
                  <c:v>45044.5</c:v>
                </c:pt>
              </c:numCache>
            </c:numRef>
          </c:xVal>
          <c:yVal>
            <c:numRef>
              <c:f>Main!$S$55:$S$75</c:f>
              <c:numCache>
                <c:formatCode>General</c:formatCode>
                <c:ptCount val="21"/>
                <c:pt idx="0">
                  <c:v>8.5399999999999991</c:v>
                </c:pt>
                <c:pt idx="1">
                  <c:v>8.56</c:v>
                </c:pt>
                <c:pt idx="2">
                  <c:v>8.5949999999999989</c:v>
                </c:pt>
                <c:pt idx="3">
                  <c:v>8.56</c:v>
                </c:pt>
                <c:pt idx="4">
                  <c:v>8.56</c:v>
                </c:pt>
                <c:pt idx="5">
                  <c:v>8.61</c:v>
                </c:pt>
                <c:pt idx="6">
                  <c:v>8.6300000000000008</c:v>
                </c:pt>
                <c:pt idx="7">
                  <c:v>8.61</c:v>
                </c:pt>
                <c:pt idx="8">
                  <c:v>8.61</c:v>
                </c:pt>
                <c:pt idx="9">
                  <c:v>8.59</c:v>
                </c:pt>
                <c:pt idx="10">
                  <c:v>8.6199999999999992</c:v>
                </c:pt>
                <c:pt idx="11">
                  <c:v>8.5949999999999989</c:v>
                </c:pt>
                <c:pt idx="12">
                  <c:v>8.57</c:v>
                </c:pt>
                <c:pt idx="13">
                  <c:v>8.56</c:v>
                </c:pt>
                <c:pt idx="14">
                  <c:v>8.4499999999999993</c:v>
                </c:pt>
                <c:pt idx="15">
                  <c:v>8.41</c:v>
                </c:pt>
                <c:pt idx="16">
                  <c:v>8.57</c:v>
                </c:pt>
                <c:pt idx="17">
                  <c:v>8.61</c:v>
                </c:pt>
                <c:pt idx="18">
                  <c:v>8.6300000000000008</c:v>
                </c:pt>
                <c:pt idx="19">
                  <c:v>8.56</c:v>
                </c:pt>
                <c:pt idx="20">
                  <c:v>8.6</c:v>
                </c:pt>
              </c:numCache>
            </c:numRef>
          </c:yVal>
          <c:smooth val="0"/>
          <c:extLst>
            <c:ext xmlns:c16="http://schemas.microsoft.com/office/drawing/2014/chart" uri="{C3380CC4-5D6E-409C-BE32-E72D297353CC}">
              <c16:uniqueId val="{00000002-FD18-4CF5-BC09-52A3D202D025}"/>
            </c:ext>
          </c:extLst>
        </c:ser>
        <c:dLbls>
          <c:showLegendKey val="0"/>
          <c:showVal val="0"/>
          <c:showCatName val="0"/>
          <c:showSerName val="0"/>
          <c:showPercent val="0"/>
          <c:showBubbleSize val="0"/>
        </c:dLbls>
        <c:axId val="1403119904"/>
        <c:axId val="1403121824"/>
      </c:scatterChart>
      <c:valAx>
        <c:axId val="1403119904"/>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121824"/>
        <c:crosses val="autoZero"/>
        <c:crossBetween val="midCat"/>
      </c:valAx>
      <c:valAx>
        <c:axId val="1403121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pH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11990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AU"/>
              <a:t>SAZ24 %CaCO3 - 1000m</a:t>
            </a:r>
          </a:p>
        </c:rich>
      </c:tx>
      <c:overlay val="0"/>
      <c:spPr>
        <a:noFill/>
        <a:ln w="25400">
          <a:noFill/>
        </a:ln>
      </c:spPr>
    </c:title>
    <c:autoTitleDeleted val="0"/>
    <c:plotArea>
      <c:layout/>
      <c:scatterChart>
        <c:scatterStyle val="lineMarker"/>
        <c:varyColors val="0"/>
        <c:ser>
          <c:idx val="0"/>
          <c:order val="0"/>
          <c:tx>
            <c:v>47_1000</c:v>
          </c:tx>
          <c:spPr>
            <a:ln w="19050">
              <a:noFill/>
            </a:ln>
          </c:spPr>
          <c:marker>
            <c:symbol val="circle"/>
            <c:size val="5"/>
            <c:spPr>
              <a:solidFill>
                <a:srgbClr val="00B050"/>
              </a:solidFill>
              <a:ln>
                <a:solidFill>
                  <a:srgbClr val="00B050"/>
                </a:solidFill>
                <a:prstDash val="solid"/>
              </a:ln>
            </c:spPr>
          </c:marker>
          <c:xVal>
            <c:numRef>
              <c:f>'PIC data_CWE_QC'!$AE$79:$AE$130</c:f>
              <c:numCache>
                <c:formatCode>General</c:formatCode>
                <c:ptCount val="52"/>
                <c:pt idx="0">
                  <c:v>1</c:v>
                </c:pt>
                <c:pt idx="1">
                  <c:v>1</c:v>
                </c:pt>
                <c:pt idx="2">
                  <c:v>2</c:v>
                </c:pt>
                <c:pt idx="3">
                  <c:v>2</c:v>
                </c:pt>
                <c:pt idx="4">
                  <c:v>3</c:v>
                </c:pt>
                <c:pt idx="5">
                  <c:v>3</c:v>
                </c:pt>
                <c:pt idx="6">
                  <c:v>3</c:v>
                </c:pt>
                <c:pt idx="7">
                  <c:v>3</c:v>
                </c:pt>
                <c:pt idx="8">
                  <c:v>3</c:v>
                </c:pt>
                <c:pt idx="9">
                  <c:v>3</c:v>
                </c:pt>
                <c:pt idx="10">
                  <c:v>4</c:v>
                </c:pt>
                <c:pt idx="11">
                  <c:v>4</c:v>
                </c:pt>
                <c:pt idx="12">
                  <c:v>4</c:v>
                </c:pt>
                <c:pt idx="13">
                  <c:v>4</c:v>
                </c:pt>
                <c:pt idx="14">
                  <c:v>5</c:v>
                </c:pt>
                <c:pt idx="15">
                  <c:v>5</c:v>
                </c:pt>
                <c:pt idx="16">
                  <c:v>6</c:v>
                </c:pt>
                <c:pt idx="17">
                  <c:v>6</c:v>
                </c:pt>
                <c:pt idx="18">
                  <c:v>7</c:v>
                </c:pt>
                <c:pt idx="19">
                  <c:v>7</c:v>
                </c:pt>
                <c:pt idx="20">
                  <c:v>7</c:v>
                </c:pt>
                <c:pt idx="21">
                  <c:v>8</c:v>
                </c:pt>
                <c:pt idx="22">
                  <c:v>8</c:v>
                </c:pt>
                <c:pt idx="23">
                  <c:v>8</c:v>
                </c:pt>
                <c:pt idx="24">
                  <c:v>8</c:v>
                </c:pt>
                <c:pt idx="25">
                  <c:v>9</c:v>
                </c:pt>
                <c:pt idx="26">
                  <c:v>9</c:v>
                </c:pt>
                <c:pt idx="27">
                  <c:v>10</c:v>
                </c:pt>
                <c:pt idx="28">
                  <c:v>10</c:v>
                </c:pt>
                <c:pt idx="29">
                  <c:v>11</c:v>
                </c:pt>
                <c:pt idx="30">
                  <c:v>11</c:v>
                </c:pt>
                <c:pt idx="31">
                  <c:v>11</c:v>
                </c:pt>
                <c:pt idx="32">
                  <c:v>11</c:v>
                </c:pt>
                <c:pt idx="33">
                  <c:v>11</c:v>
                </c:pt>
                <c:pt idx="34">
                  <c:v>11</c:v>
                </c:pt>
                <c:pt idx="35">
                  <c:v>11</c:v>
                </c:pt>
                <c:pt idx="36">
                  <c:v>11</c:v>
                </c:pt>
                <c:pt idx="37">
                  <c:v>12</c:v>
                </c:pt>
                <c:pt idx="38">
                  <c:v>12</c:v>
                </c:pt>
                <c:pt idx="39">
                  <c:v>13</c:v>
                </c:pt>
                <c:pt idx="40">
                  <c:v>13</c:v>
                </c:pt>
                <c:pt idx="41">
                  <c:v>14</c:v>
                </c:pt>
                <c:pt idx="42">
                  <c:v>14</c:v>
                </c:pt>
                <c:pt idx="43">
                  <c:v>15</c:v>
                </c:pt>
                <c:pt idx="44">
                  <c:v>15</c:v>
                </c:pt>
                <c:pt idx="45">
                  <c:v>15</c:v>
                </c:pt>
                <c:pt idx="46">
                  <c:v>16</c:v>
                </c:pt>
                <c:pt idx="47">
                  <c:v>17</c:v>
                </c:pt>
                <c:pt idx="48">
                  <c:v>18</c:v>
                </c:pt>
                <c:pt idx="49">
                  <c:v>19</c:v>
                </c:pt>
                <c:pt idx="50">
                  <c:v>20</c:v>
                </c:pt>
                <c:pt idx="51">
                  <c:v>21</c:v>
                </c:pt>
              </c:numCache>
            </c:numRef>
          </c:xVal>
          <c:yVal>
            <c:numRef>
              <c:f>'PIC data_CWE_QC'!$AF$79:$AF$130</c:f>
              <c:numCache>
                <c:formatCode>General</c:formatCode>
                <c:ptCount val="52"/>
                <c:pt idx="0">
                  <c:v>77.655432326690018</c:v>
                </c:pt>
                <c:pt idx="1">
                  <c:v>79.788805573288499</c:v>
                </c:pt>
                <c:pt idx="2">
                  <c:v>75.275556154622947</c:v>
                </c:pt>
                <c:pt idx="3">
                  <c:v>77.884081075626099</c:v>
                </c:pt>
                <c:pt idx="4">
                  <c:v>68.289082435930723</c:v>
                </c:pt>
                <c:pt idx="5">
                  <c:v>47.174092508616553</c:v>
                </c:pt>
                <c:pt idx="6">
                  <c:v>71.691020707762007</c:v>
                </c:pt>
                <c:pt idx="7">
                  <c:v>68.413803012018562</c:v>
                </c:pt>
                <c:pt idx="8">
                  <c:v>71.396892473119365</c:v>
                </c:pt>
                <c:pt idx="9">
                  <c:v>69.423760846899185</c:v>
                </c:pt>
                <c:pt idx="10">
                  <c:v>31.111994045249531</c:v>
                </c:pt>
                <c:pt idx="11">
                  <c:v>30.431193646099096</c:v>
                </c:pt>
                <c:pt idx="12">
                  <c:v>31.255029087948653</c:v>
                </c:pt>
                <c:pt idx="13">
                  <c:v>31.299571301191897</c:v>
                </c:pt>
                <c:pt idx="14">
                  <c:v>52.366808909971887</c:v>
                </c:pt>
                <c:pt idx="15">
                  <c:v>51.235828006705972</c:v>
                </c:pt>
                <c:pt idx="16">
                  <c:v>61.98769576643133</c:v>
                </c:pt>
                <c:pt idx="17">
                  <c:v>63.485311744443059</c:v>
                </c:pt>
                <c:pt idx="18">
                  <c:v>51.851989938481935</c:v>
                </c:pt>
                <c:pt idx="19">
                  <c:v>66.789934353318273</c:v>
                </c:pt>
                <c:pt idx="20">
                  <c:v>67.018420910104922</c:v>
                </c:pt>
                <c:pt idx="21">
                  <c:v>63.232270340755434</c:v>
                </c:pt>
                <c:pt idx="22">
                  <c:v>63.921027945592165</c:v>
                </c:pt>
                <c:pt idx="23">
                  <c:v>64.246426187292343</c:v>
                </c:pt>
                <c:pt idx="24">
                  <c:v>65.041725414352499</c:v>
                </c:pt>
                <c:pt idx="25">
                  <c:v>72.612320791150594</c:v>
                </c:pt>
                <c:pt idx="26">
                  <c:v>71.887348710119184</c:v>
                </c:pt>
                <c:pt idx="27">
                  <c:v>76.652766345368491</c:v>
                </c:pt>
                <c:pt idx="28">
                  <c:v>75.766457830914462</c:v>
                </c:pt>
                <c:pt idx="29">
                  <c:v>77.40598590890437</c:v>
                </c:pt>
                <c:pt idx="30">
                  <c:v>78.23881847015582</c:v>
                </c:pt>
                <c:pt idx="31">
                  <c:v>78.215750691138183</c:v>
                </c:pt>
                <c:pt idx="32">
                  <c:v>76.957091869547696</c:v>
                </c:pt>
                <c:pt idx="33">
                  <c:v>78.925827688939506</c:v>
                </c:pt>
                <c:pt idx="34">
                  <c:v>74.339003246946731</c:v>
                </c:pt>
                <c:pt idx="35">
                  <c:v>76.095626785712184</c:v>
                </c:pt>
                <c:pt idx="36">
                  <c:v>77.372637878987675</c:v>
                </c:pt>
                <c:pt idx="37">
                  <c:v>76.072800499600376</c:v>
                </c:pt>
                <c:pt idx="38">
                  <c:v>76.369384652830846</c:v>
                </c:pt>
                <c:pt idx="39">
                  <c:v>75.024729850989218</c:v>
                </c:pt>
                <c:pt idx="40">
                  <c:v>74.358317154949518</c:v>
                </c:pt>
                <c:pt idx="41">
                  <c:v>73.301160815601335</c:v>
                </c:pt>
                <c:pt idx="42">
                  <c:v>74.385778264381358</c:v>
                </c:pt>
                <c:pt idx="43">
                  <c:v>72.094270741850764</c:v>
                </c:pt>
                <c:pt idx="44">
                  <c:v>71.691944980202948</c:v>
                </c:pt>
                <c:pt idx="45">
                  <c:v>71.153571201162194</c:v>
                </c:pt>
                <c:pt idx="46">
                  <c:v>0</c:v>
                </c:pt>
                <c:pt idx="47">
                  <c:v>0</c:v>
                </c:pt>
                <c:pt idx="48">
                  <c:v>70.446478281874576</c:v>
                </c:pt>
                <c:pt idx="49">
                  <c:v>70.987032078938213</c:v>
                </c:pt>
                <c:pt idx="50">
                  <c:v>64.74330861420539</c:v>
                </c:pt>
                <c:pt idx="51">
                  <c:v>70.123018513013619</c:v>
                </c:pt>
              </c:numCache>
            </c:numRef>
          </c:yVal>
          <c:smooth val="0"/>
          <c:extLst>
            <c:ext xmlns:c16="http://schemas.microsoft.com/office/drawing/2014/chart" uri="{C3380CC4-5D6E-409C-BE32-E72D297353CC}">
              <c16:uniqueId val="{00000000-A5D3-4FD5-A725-D0EE1C4E8072}"/>
            </c:ext>
          </c:extLst>
        </c:ser>
        <c:dLbls>
          <c:showLegendKey val="0"/>
          <c:showVal val="0"/>
          <c:showCatName val="0"/>
          <c:showSerName val="0"/>
          <c:showPercent val="0"/>
          <c:showBubbleSize val="0"/>
        </c:dLbls>
        <c:axId val="-2091142344"/>
        <c:axId val="-2091133512"/>
      </c:scatterChart>
      <c:valAx>
        <c:axId val="-2091142344"/>
        <c:scaling>
          <c:orientation val="minMax"/>
        </c:scaling>
        <c:delete val="0"/>
        <c:axPos val="b"/>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Midpoint time</a:t>
                </a:r>
              </a:p>
            </c:rich>
          </c:tx>
          <c:overlay val="0"/>
          <c:spPr>
            <a:noFill/>
            <a:ln w="25400">
              <a:noFill/>
            </a:ln>
          </c:spPr>
        </c:title>
        <c:numFmt formatCode="General"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33512"/>
        <c:crosses val="autoZero"/>
        <c:crossBetween val="midCat"/>
      </c:valAx>
      <c:valAx>
        <c:axId val="-2091133512"/>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%CaCO3</a:t>
                </a:r>
              </a:p>
            </c:rich>
          </c:tx>
          <c:overlay val="0"/>
          <c:spPr>
            <a:noFill/>
            <a:ln w="25400">
              <a:noFill/>
            </a:ln>
          </c:spPr>
        </c:title>
        <c:numFmt formatCode="General"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42344"/>
        <c:crosses val="autoZero"/>
        <c:crossBetween val="midCat"/>
      </c:valAx>
      <c:spPr>
        <a:noFill/>
        <a:ln w="25400">
          <a:noFill/>
        </a:ln>
      </c:spPr>
    </c:plotArea>
    <c:plotVisOnly val="1"/>
    <c:dispBlanksAs val="gap"/>
    <c:showDLblsOverMax val="0"/>
  </c:chart>
  <c:spPr>
    <a:solidFill>
      <a:srgbClr val="FFFFFF"/>
    </a:solidFill>
    <a:ln w="3175">
      <a:solidFill>
        <a:srgbClr val="C0C0C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AU"/>
              <a:t>SAZ24 %CaCO3 - 2000m</a:t>
            </a:r>
          </a:p>
        </c:rich>
      </c:tx>
      <c:overlay val="0"/>
      <c:spPr>
        <a:noFill/>
        <a:ln w="25400">
          <a:noFill/>
        </a:ln>
      </c:spPr>
    </c:title>
    <c:autoTitleDeleted val="0"/>
    <c:plotArea>
      <c:layout/>
      <c:scatterChart>
        <c:scatterStyle val="lineMarker"/>
        <c:varyColors val="0"/>
        <c:ser>
          <c:idx val="1"/>
          <c:order val="0"/>
          <c:tx>
            <c:v>47_2000</c:v>
          </c:tx>
          <c:spPr>
            <a:ln w="19050">
              <a:noFill/>
            </a:ln>
          </c:spPr>
          <c:marker>
            <c:symbol val="circle"/>
            <c:size val="5"/>
            <c:spPr>
              <a:solidFill>
                <a:srgbClr val="C0504D"/>
              </a:solidFill>
              <a:ln>
                <a:solidFill>
                  <a:srgbClr val="993366"/>
                </a:solidFill>
                <a:prstDash val="solid"/>
              </a:ln>
            </c:spPr>
          </c:marker>
          <c:xVal>
            <c:numRef>
              <c:f>'PIC data_CWE_QC'!$AE$132:$AE$161</c:f>
              <c:numCache>
                <c:formatCode>General</c:formatCode>
                <c:ptCount val="30"/>
                <c:pt idx="0">
                  <c:v>1</c:v>
                </c:pt>
                <c:pt idx="1">
                  <c:v>2</c:v>
                </c:pt>
                <c:pt idx="2">
                  <c:v>2</c:v>
                </c:pt>
                <c:pt idx="3">
                  <c:v>3</c:v>
                </c:pt>
                <c:pt idx="4">
                  <c:v>4</c:v>
                </c:pt>
                <c:pt idx="5">
                  <c:v>5</c:v>
                </c:pt>
                <c:pt idx="6">
                  <c:v>6</c:v>
                </c:pt>
                <c:pt idx="7">
                  <c:v>6</c:v>
                </c:pt>
                <c:pt idx="8">
                  <c:v>7</c:v>
                </c:pt>
                <c:pt idx="9">
                  <c:v>8</c:v>
                </c:pt>
                <c:pt idx="10">
                  <c:v>8</c:v>
                </c:pt>
                <c:pt idx="11">
                  <c:v>9</c:v>
                </c:pt>
                <c:pt idx="12">
                  <c:v>10</c:v>
                </c:pt>
                <c:pt idx="13">
                  <c:v>11</c:v>
                </c:pt>
                <c:pt idx="14">
                  <c:v>11</c:v>
                </c:pt>
                <c:pt idx="15">
                  <c:v>11</c:v>
                </c:pt>
                <c:pt idx="16">
                  <c:v>11</c:v>
                </c:pt>
                <c:pt idx="17">
                  <c:v>11</c:v>
                </c:pt>
                <c:pt idx="18">
                  <c:v>11</c:v>
                </c:pt>
                <c:pt idx="19">
                  <c:v>12</c:v>
                </c:pt>
                <c:pt idx="20">
                  <c:v>13</c:v>
                </c:pt>
                <c:pt idx="21">
                  <c:v>14</c:v>
                </c:pt>
                <c:pt idx="22">
                  <c:v>15</c:v>
                </c:pt>
                <c:pt idx="23">
                  <c:v>16</c:v>
                </c:pt>
                <c:pt idx="24">
                  <c:v>17</c:v>
                </c:pt>
                <c:pt idx="25">
                  <c:v>18</c:v>
                </c:pt>
                <c:pt idx="26">
                  <c:v>19</c:v>
                </c:pt>
                <c:pt idx="27">
                  <c:v>20</c:v>
                </c:pt>
                <c:pt idx="28">
                  <c:v>20</c:v>
                </c:pt>
                <c:pt idx="29">
                  <c:v>21</c:v>
                </c:pt>
              </c:numCache>
            </c:numRef>
          </c:xVal>
          <c:yVal>
            <c:numRef>
              <c:f>'PIC data_CWE_QC'!$AF$132:$AF$161</c:f>
              <c:numCache>
                <c:formatCode>General</c:formatCode>
                <c:ptCount val="30"/>
                <c:pt idx="0">
                  <c:v>73.22242712567386</c:v>
                </c:pt>
                <c:pt idx="1">
                  <c:v>73.958267995989985</c:v>
                </c:pt>
                <c:pt idx="2">
                  <c:v>73.648527151454488</c:v>
                </c:pt>
                <c:pt idx="3">
                  <c:v>71.855473522521095</c:v>
                </c:pt>
                <c:pt idx="4">
                  <c:v>70.84442953702181</c:v>
                </c:pt>
                <c:pt idx="5">
                  <c:v>72.170712113184663</c:v>
                </c:pt>
                <c:pt idx="6">
                  <c:v>70.987413562517972</c:v>
                </c:pt>
                <c:pt idx="7">
                  <c:v>71.856557519883751</c:v>
                </c:pt>
                <c:pt idx="8">
                  <c:v>69.913179121790151</c:v>
                </c:pt>
                <c:pt idx="9">
                  <c:v>69.415236880335542</c:v>
                </c:pt>
                <c:pt idx="10">
                  <c:v>70.423961718533974</c:v>
                </c:pt>
                <c:pt idx="11">
                  <c:v>72.45048363979042</c:v>
                </c:pt>
                <c:pt idx="12">
                  <c:v>75.652797991872973</c:v>
                </c:pt>
                <c:pt idx="13">
                  <c:v>80.63860314815382</c:v>
                </c:pt>
                <c:pt idx="14">
                  <c:v>76.358918072288091</c:v>
                </c:pt>
                <c:pt idx="15">
                  <c:v>72.234766691046332</c:v>
                </c:pt>
                <c:pt idx="16">
                  <c:v>65.343990457442985</c:v>
                </c:pt>
                <c:pt idx="17">
                  <c:v>79.970485155304488</c:v>
                </c:pt>
                <c:pt idx="18">
                  <c:v>79.490180430848724</c:v>
                </c:pt>
                <c:pt idx="19">
                  <c:v>76.615845940403659</c:v>
                </c:pt>
                <c:pt idx="20">
                  <c:v>76.617145424792767</c:v>
                </c:pt>
                <c:pt idx="21">
                  <c:v>0</c:v>
                </c:pt>
                <c:pt idx="22">
                  <c:v>0</c:v>
                </c:pt>
                <c:pt idx="23">
                  <c:v>69.361820952840063</c:v>
                </c:pt>
                <c:pt idx="24">
                  <c:v>0</c:v>
                </c:pt>
                <c:pt idx="25">
                  <c:v>0</c:v>
                </c:pt>
                <c:pt idx="26">
                  <c:v>0</c:v>
                </c:pt>
                <c:pt idx="27">
                  <c:v>53.033354557723854</c:v>
                </c:pt>
                <c:pt idx="28">
                  <c:v>52.505725234094228</c:v>
                </c:pt>
                <c:pt idx="29">
                  <c:v>53.656208178012044</c:v>
                </c:pt>
              </c:numCache>
            </c:numRef>
          </c:yVal>
          <c:smooth val="0"/>
          <c:extLst>
            <c:ext xmlns:c16="http://schemas.microsoft.com/office/drawing/2014/chart" uri="{C3380CC4-5D6E-409C-BE32-E72D297353CC}">
              <c16:uniqueId val="{00000001-3635-495F-809B-45D245C5032B}"/>
            </c:ext>
          </c:extLst>
        </c:ser>
        <c:dLbls>
          <c:showLegendKey val="0"/>
          <c:showVal val="0"/>
          <c:showCatName val="0"/>
          <c:showSerName val="0"/>
          <c:showPercent val="0"/>
          <c:showBubbleSize val="0"/>
        </c:dLbls>
        <c:axId val="-2091142344"/>
        <c:axId val="-2091133512"/>
      </c:scatterChart>
      <c:valAx>
        <c:axId val="-2091142344"/>
        <c:scaling>
          <c:orientation val="minMax"/>
        </c:scaling>
        <c:delete val="0"/>
        <c:axPos val="b"/>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Midpoint time</a:t>
                </a:r>
              </a:p>
            </c:rich>
          </c:tx>
          <c:overlay val="0"/>
          <c:spPr>
            <a:noFill/>
            <a:ln w="25400">
              <a:noFill/>
            </a:ln>
          </c:spPr>
        </c:title>
        <c:numFmt formatCode="General"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33512"/>
        <c:crosses val="autoZero"/>
        <c:crossBetween val="midCat"/>
      </c:valAx>
      <c:valAx>
        <c:axId val="-2091133512"/>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%CaCO3</a:t>
                </a:r>
              </a:p>
            </c:rich>
          </c:tx>
          <c:overlay val="0"/>
          <c:spPr>
            <a:noFill/>
            <a:ln w="25400">
              <a:noFill/>
            </a:ln>
          </c:spPr>
        </c:title>
        <c:numFmt formatCode="General"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42344"/>
        <c:crosses val="autoZero"/>
        <c:crossBetween val="midCat"/>
      </c:valAx>
      <c:spPr>
        <a:noFill/>
        <a:ln w="25400">
          <a:noFill/>
        </a:ln>
      </c:spPr>
    </c:plotArea>
    <c:plotVisOnly val="1"/>
    <c:dispBlanksAs val="gap"/>
    <c:showDLblsOverMax val="0"/>
  </c:chart>
  <c:spPr>
    <a:solidFill>
      <a:srgbClr val="FFFFFF"/>
    </a:solidFill>
    <a:ln w="3175">
      <a:solidFill>
        <a:srgbClr val="C0C0C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AU"/>
              <a:t>SAZ24 %CaCO3 - 3800m</a:t>
            </a:r>
          </a:p>
        </c:rich>
      </c:tx>
      <c:overlay val="0"/>
      <c:spPr>
        <a:noFill/>
        <a:ln w="25400">
          <a:noFill/>
        </a:ln>
      </c:spPr>
    </c:title>
    <c:autoTitleDeleted val="0"/>
    <c:plotArea>
      <c:layout/>
      <c:scatterChart>
        <c:scatterStyle val="lineMarker"/>
        <c:varyColors val="0"/>
        <c:ser>
          <c:idx val="3"/>
          <c:order val="0"/>
          <c:tx>
            <c:v>47_3800</c:v>
          </c:tx>
          <c:spPr>
            <a:ln w="19050">
              <a:noFill/>
            </a:ln>
          </c:spPr>
          <c:marker>
            <c:symbol val="circle"/>
            <c:size val="5"/>
            <c:spPr>
              <a:solidFill>
                <a:srgbClr val="8064A2"/>
              </a:solidFill>
              <a:ln>
                <a:solidFill>
                  <a:srgbClr val="666699"/>
                </a:solidFill>
                <a:prstDash val="solid"/>
              </a:ln>
            </c:spPr>
          </c:marker>
          <c:xVal>
            <c:numRef>
              <c:f>'PIC data_CWE_QC'!$AE$163:$AE$258</c:f>
              <c:numCache>
                <c:formatCode>General</c:formatCode>
                <c:ptCount val="96"/>
                <c:pt idx="0">
                  <c:v>1</c:v>
                </c:pt>
                <c:pt idx="1">
                  <c:v>1</c:v>
                </c:pt>
                <c:pt idx="2">
                  <c:v>1</c:v>
                </c:pt>
                <c:pt idx="3">
                  <c:v>1</c:v>
                </c:pt>
                <c:pt idx="4">
                  <c:v>1</c:v>
                </c:pt>
                <c:pt idx="5">
                  <c:v>1</c:v>
                </c:pt>
                <c:pt idx="6">
                  <c:v>2</c:v>
                </c:pt>
                <c:pt idx="7">
                  <c:v>2</c:v>
                </c:pt>
                <c:pt idx="8">
                  <c:v>2</c:v>
                </c:pt>
                <c:pt idx="9">
                  <c:v>2</c:v>
                </c:pt>
                <c:pt idx="10">
                  <c:v>2</c:v>
                </c:pt>
                <c:pt idx="11">
                  <c:v>2</c:v>
                </c:pt>
                <c:pt idx="12">
                  <c:v>3</c:v>
                </c:pt>
                <c:pt idx="13">
                  <c:v>3</c:v>
                </c:pt>
                <c:pt idx="14">
                  <c:v>3</c:v>
                </c:pt>
                <c:pt idx="15">
                  <c:v>3</c:v>
                </c:pt>
                <c:pt idx="16">
                  <c:v>3</c:v>
                </c:pt>
                <c:pt idx="17">
                  <c:v>3</c:v>
                </c:pt>
                <c:pt idx="18">
                  <c:v>3</c:v>
                </c:pt>
                <c:pt idx="19">
                  <c:v>4</c:v>
                </c:pt>
                <c:pt idx="20">
                  <c:v>4</c:v>
                </c:pt>
                <c:pt idx="21">
                  <c:v>4</c:v>
                </c:pt>
                <c:pt idx="22">
                  <c:v>4</c:v>
                </c:pt>
                <c:pt idx="23">
                  <c:v>4</c:v>
                </c:pt>
                <c:pt idx="24">
                  <c:v>4</c:v>
                </c:pt>
                <c:pt idx="25">
                  <c:v>5</c:v>
                </c:pt>
                <c:pt idx="26">
                  <c:v>5</c:v>
                </c:pt>
                <c:pt idx="27">
                  <c:v>5</c:v>
                </c:pt>
                <c:pt idx="28">
                  <c:v>5</c:v>
                </c:pt>
                <c:pt idx="29">
                  <c:v>5</c:v>
                </c:pt>
                <c:pt idx="30">
                  <c:v>5</c:v>
                </c:pt>
                <c:pt idx="31">
                  <c:v>5</c:v>
                </c:pt>
                <c:pt idx="32">
                  <c:v>6</c:v>
                </c:pt>
                <c:pt idx="33">
                  <c:v>6</c:v>
                </c:pt>
                <c:pt idx="34">
                  <c:v>6</c:v>
                </c:pt>
                <c:pt idx="35">
                  <c:v>6</c:v>
                </c:pt>
                <c:pt idx="36">
                  <c:v>6</c:v>
                </c:pt>
                <c:pt idx="37">
                  <c:v>6</c:v>
                </c:pt>
                <c:pt idx="38">
                  <c:v>6</c:v>
                </c:pt>
                <c:pt idx="39">
                  <c:v>6</c:v>
                </c:pt>
                <c:pt idx="40">
                  <c:v>6</c:v>
                </c:pt>
                <c:pt idx="41">
                  <c:v>6</c:v>
                </c:pt>
                <c:pt idx="42">
                  <c:v>7</c:v>
                </c:pt>
                <c:pt idx="43">
                  <c:v>7</c:v>
                </c:pt>
                <c:pt idx="44">
                  <c:v>7</c:v>
                </c:pt>
                <c:pt idx="45">
                  <c:v>7</c:v>
                </c:pt>
                <c:pt idx="46">
                  <c:v>7</c:v>
                </c:pt>
                <c:pt idx="47">
                  <c:v>7</c:v>
                </c:pt>
                <c:pt idx="48">
                  <c:v>7</c:v>
                </c:pt>
                <c:pt idx="49">
                  <c:v>8</c:v>
                </c:pt>
                <c:pt idx="50">
                  <c:v>8</c:v>
                </c:pt>
                <c:pt idx="51">
                  <c:v>8</c:v>
                </c:pt>
                <c:pt idx="52">
                  <c:v>8</c:v>
                </c:pt>
                <c:pt idx="53">
                  <c:v>8</c:v>
                </c:pt>
                <c:pt idx="54">
                  <c:v>8</c:v>
                </c:pt>
                <c:pt idx="55">
                  <c:v>9</c:v>
                </c:pt>
                <c:pt idx="56">
                  <c:v>9</c:v>
                </c:pt>
                <c:pt idx="57">
                  <c:v>9</c:v>
                </c:pt>
                <c:pt idx="58">
                  <c:v>9</c:v>
                </c:pt>
                <c:pt idx="59">
                  <c:v>9</c:v>
                </c:pt>
                <c:pt idx="60">
                  <c:v>9</c:v>
                </c:pt>
                <c:pt idx="61">
                  <c:v>10</c:v>
                </c:pt>
                <c:pt idx="62">
                  <c:v>10</c:v>
                </c:pt>
                <c:pt idx="63">
                  <c:v>10</c:v>
                </c:pt>
                <c:pt idx="64">
                  <c:v>10</c:v>
                </c:pt>
                <c:pt idx="65">
                  <c:v>10</c:v>
                </c:pt>
                <c:pt idx="66">
                  <c:v>10</c:v>
                </c:pt>
                <c:pt idx="67">
                  <c:v>11</c:v>
                </c:pt>
                <c:pt idx="68">
                  <c:v>11</c:v>
                </c:pt>
                <c:pt idx="69">
                  <c:v>12</c:v>
                </c:pt>
                <c:pt idx="70">
                  <c:v>12</c:v>
                </c:pt>
                <c:pt idx="71">
                  <c:v>12</c:v>
                </c:pt>
                <c:pt idx="72">
                  <c:v>12</c:v>
                </c:pt>
                <c:pt idx="73">
                  <c:v>12</c:v>
                </c:pt>
                <c:pt idx="74">
                  <c:v>13</c:v>
                </c:pt>
                <c:pt idx="75">
                  <c:v>13</c:v>
                </c:pt>
                <c:pt idx="76">
                  <c:v>14</c:v>
                </c:pt>
                <c:pt idx="77">
                  <c:v>14</c:v>
                </c:pt>
                <c:pt idx="78">
                  <c:v>15</c:v>
                </c:pt>
                <c:pt idx="79">
                  <c:v>15</c:v>
                </c:pt>
                <c:pt idx="80">
                  <c:v>15</c:v>
                </c:pt>
                <c:pt idx="81">
                  <c:v>15</c:v>
                </c:pt>
                <c:pt idx="82">
                  <c:v>16</c:v>
                </c:pt>
                <c:pt idx="83">
                  <c:v>16</c:v>
                </c:pt>
                <c:pt idx="84">
                  <c:v>16</c:v>
                </c:pt>
                <c:pt idx="85">
                  <c:v>17</c:v>
                </c:pt>
                <c:pt idx="86">
                  <c:v>17</c:v>
                </c:pt>
                <c:pt idx="87">
                  <c:v>18</c:v>
                </c:pt>
                <c:pt idx="88">
                  <c:v>18</c:v>
                </c:pt>
                <c:pt idx="89">
                  <c:v>19</c:v>
                </c:pt>
                <c:pt idx="90">
                  <c:v>19</c:v>
                </c:pt>
                <c:pt idx="91">
                  <c:v>20</c:v>
                </c:pt>
                <c:pt idx="92">
                  <c:v>20</c:v>
                </c:pt>
                <c:pt idx="93">
                  <c:v>20</c:v>
                </c:pt>
                <c:pt idx="94">
                  <c:v>21</c:v>
                </c:pt>
                <c:pt idx="95">
                  <c:v>21</c:v>
                </c:pt>
              </c:numCache>
            </c:numRef>
          </c:xVal>
          <c:yVal>
            <c:numRef>
              <c:f>'PIC data_CWE_QC'!$AF$163:$AF$258</c:f>
              <c:numCache>
                <c:formatCode>General</c:formatCode>
                <c:ptCount val="96"/>
                <c:pt idx="0">
                  <c:v>75.237306793109482</c:v>
                </c:pt>
                <c:pt idx="1">
                  <c:v>77.453757737311193</c:v>
                </c:pt>
                <c:pt idx="2">
                  <c:v>86.839409068276467</c:v>
                </c:pt>
                <c:pt idx="3">
                  <c:v>80.870257586304731</c:v>
                </c:pt>
                <c:pt idx="4">
                  <c:v>76.990855523968023</c:v>
                </c:pt>
                <c:pt idx="5">
                  <c:v>77.489697265803002</c:v>
                </c:pt>
                <c:pt idx="6">
                  <c:v>75.196729547120682</c:v>
                </c:pt>
                <c:pt idx="7">
                  <c:v>79.733819819676683</c:v>
                </c:pt>
                <c:pt idx="8">
                  <c:v>86.015298183771506</c:v>
                </c:pt>
                <c:pt idx="9">
                  <c:v>80.59111942479818</c:v>
                </c:pt>
                <c:pt idx="10">
                  <c:v>76.520797331175018</c:v>
                </c:pt>
                <c:pt idx="11">
                  <c:v>74.926814619169619</c:v>
                </c:pt>
                <c:pt idx="12">
                  <c:v>75.982845888209667</c:v>
                </c:pt>
                <c:pt idx="13">
                  <c:v>78.036888652625436</c:v>
                </c:pt>
                <c:pt idx="14">
                  <c:v>83.304492520541501</c:v>
                </c:pt>
                <c:pt idx="15">
                  <c:v>81.56187065785987</c:v>
                </c:pt>
                <c:pt idx="16">
                  <c:v>81.817530684484367</c:v>
                </c:pt>
                <c:pt idx="17">
                  <c:v>77.384644520284496</c:v>
                </c:pt>
                <c:pt idx="18">
                  <c:v>75.648154819494309</c:v>
                </c:pt>
                <c:pt idx="19">
                  <c:v>67.836797766024205</c:v>
                </c:pt>
                <c:pt idx="20">
                  <c:v>50.621980293036373</c:v>
                </c:pt>
                <c:pt idx="21">
                  <c:v>76.599122325543817</c:v>
                </c:pt>
                <c:pt idx="22">
                  <c:v>73.890433275314706</c:v>
                </c:pt>
                <c:pt idx="23">
                  <c:v>68.62269416452196</c:v>
                </c:pt>
                <c:pt idx="24">
                  <c:v>66.848783464945782</c:v>
                </c:pt>
                <c:pt idx="25">
                  <c:v>49.454404302577451</c:v>
                </c:pt>
                <c:pt idx="26">
                  <c:v>75.674452253325711</c:v>
                </c:pt>
                <c:pt idx="27">
                  <c:v>86.847568980078876</c:v>
                </c:pt>
                <c:pt idx="28">
                  <c:v>81.77079351986815</c:v>
                </c:pt>
                <c:pt idx="29">
                  <c:v>77.410793305246557</c:v>
                </c:pt>
                <c:pt idx="30">
                  <c:v>74.453421356122561</c:v>
                </c:pt>
                <c:pt idx="31">
                  <c:v>76.970075613599562</c:v>
                </c:pt>
                <c:pt idx="32">
                  <c:v>74.528823721553209</c:v>
                </c:pt>
                <c:pt idx="33">
                  <c:v>74.26766203308209</c:v>
                </c:pt>
                <c:pt idx="34">
                  <c:v>74.771729858151573</c:v>
                </c:pt>
                <c:pt idx="35">
                  <c:v>72.720464565419945</c:v>
                </c:pt>
                <c:pt idx="36">
                  <c:v>84.341407292027256</c:v>
                </c:pt>
                <c:pt idx="37">
                  <c:v>83.974308620631504</c:v>
                </c:pt>
                <c:pt idx="38">
                  <c:v>80.482732271451411</c:v>
                </c:pt>
                <c:pt idx="39">
                  <c:v>75.441387138817674</c:v>
                </c:pt>
                <c:pt idx="40">
                  <c:v>75.149014803106709</c:v>
                </c:pt>
                <c:pt idx="41">
                  <c:v>75.414397032601002</c:v>
                </c:pt>
                <c:pt idx="42">
                  <c:v>73.749541719847727</c:v>
                </c:pt>
                <c:pt idx="43">
                  <c:v>75.380305566490549</c:v>
                </c:pt>
                <c:pt idx="44">
                  <c:v>85.117683802135716</c:v>
                </c:pt>
                <c:pt idx="45">
                  <c:v>80.058423931704951</c:v>
                </c:pt>
                <c:pt idx="46">
                  <c:v>75.790202174504472</c:v>
                </c:pt>
                <c:pt idx="47">
                  <c:v>74.184133419213865</c:v>
                </c:pt>
                <c:pt idx="48">
                  <c:v>74.234888322802789</c:v>
                </c:pt>
                <c:pt idx="49">
                  <c:v>72.077959286725317</c:v>
                </c:pt>
                <c:pt idx="50">
                  <c:v>73.221621679962141</c:v>
                </c:pt>
                <c:pt idx="51">
                  <c:v>81.969345606535612</c:v>
                </c:pt>
                <c:pt idx="52">
                  <c:v>77.170347567403013</c:v>
                </c:pt>
                <c:pt idx="53">
                  <c:v>72.75349199249915</c:v>
                </c:pt>
                <c:pt idx="54">
                  <c:v>72.132016068871607</c:v>
                </c:pt>
                <c:pt idx="55">
                  <c:v>72.750428856691627</c:v>
                </c:pt>
                <c:pt idx="56">
                  <c:v>78.276778616337523</c:v>
                </c:pt>
                <c:pt idx="57">
                  <c:v>82.809062642374357</c:v>
                </c:pt>
                <c:pt idx="58">
                  <c:v>78.550338259019981</c:v>
                </c:pt>
                <c:pt idx="59">
                  <c:v>74.378092003012299</c:v>
                </c:pt>
                <c:pt idx="60">
                  <c:v>72.860644900303129</c:v>
                </c:pt>
                <c:pt idx="61">
                  <c:v>76.650278708875177</c:v>
                </c:pt>
                <c:pt idx="62">
                  <c:v>68.425330779496988</c:v>
                </c:pt>
                <c:pt idx="63">
                  <c:v>87.025647237426256</c:v>
                </c:pt>
                <c:pt idx="64">
                  <c:v>81.828106058887869</c:v>
                </c:pt>
                <c:pt idx="65">
                  <c:v>76.826559496705642</c:v>
                </c:pt>
                <c:pt idx="66">
                  <c:v>77.050570104651754</c:v>
                </c:pt>
                <c:pt idx="67">
                  <c:v>78.258912759193294</c:v>
                </c:pt>
                <c:pt idx="68">
                  <c:v>79.485647089526481</c:v>
                </c:pt>
                <c:pt idx="69">
                  <c:v>74.919005424887303</c:v>
                </c:pt>
                <c:pt idx="70">
                  <c:v>36.173568211832105</c:v>
                </c:pt>
                <c:pt idx="71">
                  <c:v>75.089245898809438</c:v>
                </c:pt>
                <c:pt idx="72">
                  <c:v>76.184465070812834</c:v>
                </c:pt>
                <c:pt idx="73">
                  <c:v>75.89706552902544</c:v>
                </c:pt>
                <c:pt idx="74">
                  <c:v>65.994315512449703</c:v>
                </c:pt>
                <c:pt idx="75">
                  <c:v>68.477854962532376</c:v>
                </c:pt>
                <c:pt idx="76">
                  <c:v>62.114856018726314</c:v>
                </c:pt>
                <c:pt idx="77">
                  <c:v>62.610764096180901</c:v>
                </c:pt>
                <c:pt idx="78">
                  <c:v>57.558028451424534</c:v>
                </c:pt>
                <c:pt idx="79">
                  <c:v>56.998619495398685</c:v>
                </c:pt>
                <c:pt idx="80">
                  <c:v>57.905624244901176</c:v>
                </c:pt>
                <c:pt idx="81">
                  <c:v>58.363182131864143</c:v>
                </c:pt>
                <c:pt idx="82">
                  <c:v>67.484110403856008</c:v>
                </c:pt>
                <c:pt idx="83">
                  <c:v>70.303541754242346</c:v>
                </c:pt>
                <c:pt idx="84">
                  <c:v>67.880750564473175</c:v>
                </c:pt>
                <c:pt idx="85">
                  <c:v>73.270823163909299</c:v>
                </c:pt>
                <c:pt idx="86">
                  <c:v>73.758637704020117</c:v>
                </c:pt>
                <c:pt idx="87">
                  <c:v>70.914150777632116</c:v>
                </c:pt>
                <c:pt idx="88">
                  <c:v>72.230456947285731</c:v>
                </c:pt>
                <c:pt idx="89">
                  <c:v>70.819299701635401</c:v>
                </c:pt>
                <c:pt idx="90">
                  <c:v>71.600591731346256</c:v>
                </c:pt>
                <c:pt idx="91">
                  <c:v>72.645224487732605</c:v>
                </c:pt>
                <c:pt idx="92">
                  <c:v>71.978484912363314</c:v>
                </c:pt>
                <c:pt idx="93">
                  <c:v>73.312325932396845</c:v>
                </c:pt>
                <c:pt idx="94">
                  <c:v>70.578413267519551</c:v>
                </c:pt>
                <c:pt idx="95">
                  <c:v>70.155290935984709</c:v>
                </c:pt>
              </c:numCache>
            </c:numRef>
          </c:yVal>
          <c:smooth val="0"/>
          <c:extLst>
            <c:ext xmlns:c16="http://schemas.microsoft.com/office/drawing/2014/chart" uri="{C3380CC4-5D6E-409C-BE32-E72D297353CC}">
              <c16:uniqueId val="{00000002-45BB-40AD-8ED4-75C59F490EBE}"/>
            </c:ext>
          </c:extLst>
        </c:ser>
        <c:dLbls>
          <c:showLegendKey val="0"/>
          <c:showVal val="0"/>
          <c:showCatName val="0"/>
          <c:showSerName val="0"/>
          <c:showPercent val="0"/>
          <c:showBubbleSize val="0"/>
        </c:dLbls>
        <c:axId val="-2091142344"/>
        <c:axId val="-2091133512"/>
      </c:scatterChart>
      <c:valAx>
        <c:axId val="-2091142344"/>
        <c:scaling>
          <c:orientation val="minMax"/>
        </c:scaling>
        <c:delete val="0"/>
        <c:axPos val="b"/>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Midpoint time</a:t>
                </a:r>
              </a:p>
            </c:rich>
          </c:tx>
          <c:overlay val="0"/>
          <c:spPr>
            <a:noFill/>
            <a:ln w="25400">
              <a:noFill/>
            </a:ln>
          </c:spPr>
        </c:title>
        <c:numFmt formatCode="General"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33512"/>
        <c:crosses val="autoZero"/>
        <c:crossBetween val="midCat"/>
      </c:valAx>
      <c:valAx>
        <c:axId val="-2091133512"/>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%CaCO3</a:t>
                </a:r>
              </a:p>
            </c:rich>
          </c:tx>
          <c:overlay val="0"/>
          <c:spPr>
            <a:noFill/>
            <a:ln w="25400">
              <a:noFill/>
            </a:ln>
          </c:spPr>
        </c:title>
        <c:numFmt formatCode="General"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42344"/>
        <c:crosses val="autoZero"/>
        <c:crossBetween val="midCat"/>
      </c:valAx>
      <c:spPr>
        <a:noFill/>
        <a:ln w="25400">
          <a:noFill/>
        </a:ln>
      </c:spPr>
    </c:plotArea>
    <c:plotVisOnly val="1"/>
    <c:dispBlanksAs val="gap"/>
    <c:showDLblsOverMax val="0"/>
  </c:chart>
  <c:spPr>
    <a:solidFill>
      <a:srgbClr val="FFFFFF"/>
    </a:solidFill>
    <a:ln w="3175">
      <a:solidFill>
        <a:srgbClr val="C0C0C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1000m</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('CHN data'!$D$3:$D$20,'CHN data'!$D$22:$D$25)</c:f>
              <c:numCache>
                <c:formatCode>0.00</c:formatCode>
                <c:ptCount val="22"/>
                <c:pt idx="0">
                  <c:v>0.92014843225479126</c:v>
                </c:pt>
                <c:pt idx="1">
                  <c:v>0.86944180727005005</c:v>
                </c:pt>
                <c:pt idx="2">
                  <c:v>1.1249848604202271</c:v>
                </c:pt>
                <c:pt idx="3">
                  <c:v>5.0349807739257813</c:v>
                </c:pt>
                <c:pt idx="4">
                  <c:v>2.7771925926208496</c:v>
                </c:pt>
                <c:pt idx="5">
                  <c:v>1.430580735206604</c:v>
                </c:pt>
                <c:pt idx="6">
                  <c:v>1.3329753875732422</c:v>
                </c:pt>
                <c:pt idx="7">
                  <c:v>1.3836919069290161</c:v>
                </c:pt>
                <c:pt idx="8">
                  <c:v>0.8400733470916748</c:v>
                </c:pt>
                <c:pt idx="9">
                  <c:v>0.71678870916366577</c:v>
                </c:pt>
                <c:pt idx="10">
                  <c:v>0.60590004920959473</c:v>
                </c:pt>
                <c:pt idx="12">
                  <c:v>1.3371845483779907</c:v>
                </c:pt>
                <c:pt idx="13">
                  <c:v>0.68985587358474731</c:v>
                </c:pt>
                <c:pt idx="14">
                  <c:v>0.68538850545883179</c:v>
                </c:pt>
                <c:pt idx="15">
                  <c:v>0.71775048971176147</c:v>
                </c:pt>
                <c:pt idx="16">
                  <c:v>0.76607954502105713</c:v>
                </c:pt>
                <c:pt idx="17">
                  <c:v>0.9453589916229248</c:v>
                </c:pt>
                <c:pt idx="18">
                  <c:v>1.2483048439025879</c:v>
                </c:pt>
                <c:pt idx="19">
                  <c:v>0.86163246631622314</c:v>
                </c:pt>
                <c:pt idx="20">
                  <c:v>1.1338266134262085</c:v>
                </c:pt>
                <c:pt idx="21">
                  <c:v>0.89570164680480957</c:v>
                </c:pt>
              </c:numCache>
            </c:numRef>
          </c:xVal>
          <c:yVal>
            <c:numRef>
              <c:f>('CHN data'!$E$3:$E$20,'CHN data'!$E$22:$E$25)</c:f>
              <c:numCache>
                <c:formatCode>0.00</c:formatCode>
                <c:ptCount val="22"/>
                <c:pt idx="0">
                  <c:v>14.150093078613281</c:v>
                </c:pt>
                <c:pt idx="1">
                  <c:v>14.103673934936523</c:v>
                </c:pt>
                <c:pt idx="2">
                  <c:v>14.953019142150879</c:v>
                </c:pt>
                <c:pt idx="3">
                  <c:v>30.813896179199219</c:v>
                </c:pt>
                <c:pt idx="4">
                  <c:v>20.211074829101563</c:v>
                </c:pt>
                <c:pt idx="5">
                  <c:v>14.441088676452637</c:v>
                </c:pt>
                <c:pt idx="6">
                  <c:v>16.339384078979492</c:v>
                </c:pt>
                <c:pt idx="7">
                  <c:v>14.778889656066895</c:v>
                </c:pt>
                <c:pt idx="8">
                  <c:v>13.10334587097168</c:v>
                </c:pt>
                <c:pt idx="9">
                  <c:v>12.854622840881348</c:v>
                </c:pt>
                <c:pt idx="10">
                  <c:v>12.759049415588379</c:v>
                </c:pt>
                <c:pt idx="12">
                  <c:v>14.938075065612793</c:v>
                </c:pt>
                <c:pt idx="13">
                  <c:v>13.30765438079834</c:v>
                </c:pt>
                <c:pt idx="14">
                  <c:v>13.279589653015137</c:v>
                </c:pt>
                <c:pt idx="15">
                  <c:v>13.347002983093262</c:v>
                </c:pt>
                <c:pt idx="16">
                  <c:v>13.542201995849609</c:v>
                </c:pt>
                <c:pt idx="17">
                  <c:v>14.125909805297852</c:v>
                </c:pt>
                <c:pt idx="18">
                  <c:v>14.696099281311035</c:v>
                </c:pt>
                <c:pt idx="19">
                  <c:v>14.053082466125488</c:v>
                </c:pt>
                <c:pt idx="20">
                  <c:v>15.229901313781738</c:v>
                </c:pt>
                <c:pt idx="21">
                  <c:v>14.040099143981934</c:v>
                </c:pt>
              </c:numCache>
            </c:numRef>
          </c:yVal>
          <c:smooth val="0"/>
          <c:extLst>
            <c:ext xmlns:c16="http://schemas.microsoft.com/office/drawing/2014/chart" uri="{C3380CC4-5D6E-409C-BE32-E72D297353CC}">
              <c16:uniqueId val="{00000001-8748-4B66-BAF1-813ED6B3A506}"/>
            </c:ext>
          </c:extLst>
        </c:ser>
        <c:ser>
          <c:idx val="1"/>
          <c:order val="1"/>
          <c:tx>
            <c:v>2000m</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8.0473151188204788E-3"/>
                  <c:y val="-0.1245023833089274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('CHN data'!$D$26:$D$28,'CHN data'!$D$30:$D$41,'CHN data'!$D$43:$D$46)</c:f>
              <c:numCache>
                <c:formatCode>0.00</c:formatCode>
                <c:ptCount val="19"/>
                <c:pt idx="0">
                  <c:v>0.78490573167800903</c:v>
                </c:pt>
                <c:pt idx="1">
                  <c:v>0.97619426250457764</c:v>
                </c:pt>
                <c:pt idx="2">
                  <c:v>0.88953083753585815</c:v>
                </c:pt>
                <c:pt idx="3">
                  <c:v>0.89602220058441162</c:v>
                </c:pt>
                <c:pt idx="4">
                  <c:v>0.72803771495819092</c:v>
                </c:pt>
                <c:pt idx="5">
                  <c:v>0.71530050039291382</c:v>
                </c:pt>
                <c:pt idx="6">
                  <c:v>0.75174504518508911</c:v>
                </c:pt>
                <c:pt idx="7">
                  <c:v>0.71574407815933228</c:v>
                </c:pt>
                <c:pt idx="8">
                  <c:v>0.59883177280426025</c:v>
                </c:pt>
                <c:pt idx="9">
                  <c:v>0.69182890653610229</c:v>
                </c:pt>
                <c:pt idx="10">
                  <c:v>0.47727426886558533</c:v>
                </c:pt>
                <c:pt idx="11">
                  <c:v>0.57263672351837158</c:v>
                </c:pt>
                <c:pt idx="13">
                  <c:v>0.71534091234207153</c:v>
                </c:pt>
                <c:pt idx="14">
                  <c:v>0.7191697359085083</c:v>
                </c:pt>
                <c:pt idx="15">
                  <c:v>0.86480331420898438</c:v>
                </c:pt>
                <c:pt idx="16">
                  <c:v>0.8928254246711731</c:v>
                </c:pt>
                <c:pt idx="17">
                  <c:v>1.3417773246765137</c:v>
                </c:pt>
                <c:pt idx="18">
                  <c:v>1.4059737920761108</c:v>
                </c:pt>
              </c:numCache>
            </c:numRef>
          </c:xVal>
          <c:yVal>
            <c:numRef>
              <c:f>('CHN data'!$E$26:$E$28,'CHN data'!$E$30:$E$41,'CHN data'!$E$43:$E$46)</c:f>
              <c:numCache>
                <c:formatCode>0.00</c:formatCode>
                <c:ptCount val="19"/>
                <c:pt idx="0">
                  <c:v>14.247434616088867</c:v>
                </c:pt>
                <c:pt idx="1">
                  <c:v>14.521237373352051</c:v>
                </c:pt>
                <c:pt idx="2">
                  <c:v>14.122218132019043</c:v>
                </c:pt>
                <c:pt idx="3">
                  <c:v>13.998252868652344</c:v>
                </c:pt>
                <c:pt idx="4">
                  <c:v>13.26401424407959</c:v>
                </c:pt>
                <c:pt idx="5">
                  <c:v>13.046916007995605</c:v>
                </c:pt>
                <c:pt idx="6">
                  <c:v>13.122382164001465</c:v>
                </c:pt>
                <c:pt idx="7">
                  <c:v>12.903997421264648</c:v>
                </c:pt>
                <c:pt idx="8">
                  <c:v>12.563013076782227</c:v>
                </c:pt>
                <c:pt idx="9">
                  <c:v>13.241850852966309</c:v>
                </c:pt>
                <c:pt idx="10">
                  <c:v>12.646408081054688</c:v>
                </c:pt>
                <c:pt idx="11">
                  <c:v>12.868570327758789</c:v>
                </c:pt>
                <c:pt idx="13">
                  <c:v>13.39105224609375</c:v>
                </c:pt>
                <c:pt idx="14">
                  <c:v>13.389961242675781</c:v>
                </c:pt>
                <c:pt idx="15">
                  <c:v>13.844083786010742</c:v>
                </c:pt>
                <c:pt idx="16">
                  <c:v>14.127402305603027</c:v>
                </c:pt>
                <c:pt idx="17">
                  <c:v>15.185502052307129</c:v>
                </c:pt>
                <c:pt idx="18">
                  <c:v>15.645127296447754</c:v>
                </c:pt>
              </c:numCache>
            </c:numRef>
          </c:yVal>
          <c:smooth val="0"/>
          <c:extLst>
            <c:ext xmlns:c16="http://schemas.microsoft.com/office/drawing/2014/chart" uri="{C3380CC4-5D6E-409C-BE32-E72D297353CC}">
              <c16:uniqueId val="{00000002-8748-4B66-BAF1-813ED6B3A506}"/>
            </c:ext>
          </c:extLst>
        </c:ser>
        <c:ser>
          <c:idx val="2"/>
          <c:order val="2"/>
          <c:tx>
            <c:v>3800m</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0.10665117044871236"/>
                  <c:y val="0.1039577829016454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('CHN data'!$D$47:$D$56,'CHN data'!$D$58:$D$63,'CHN data'!$D$67:$D$74)</c:f>
              <c:numCache>
                <c:formatCode>0.00</c:formatCode>
                <c:ptCount val="24"/>
                <c:pt idx="0">
                  <c:v>0.75171852111816406</c:v>
                </c:pt>
                <c:pt idx="1">
                  <c:v>0.72249287366867065</c:v>
                </c:pt>
                <c:pt idx="2">
                  <c:v>0.66684079170227051</c:v>
                </c:pt>
                <c:pt idx="3">
                  <c:v>1.2000707387924194</c:v>
                </c:pt>
                <c:pt idx="4">
                  <c:v>0.53777742385864258</c:v>
                </c:pt>
                <c:pt idx="6">
                  <c:v>0.45570942759513855</c:v>
                </c:pt>
                <c:pt idx="7">
                  <c:v>0.55595111846923828</c:v>
                </c:pt>
                <c:pt idx="8">
                  <c:v>0.58643555641174316</c:v>
                </c:pt>
                <c:pt idx="9">
                  <c:v>0.63776969909667969</c:v>
                </c:pt>
                <c:pt idx="10">
                  <c:v>0.49478974938392639</c:v>
                </c:pt>
                <c:pt idx="11">
                  <c:v>0.44762051105499268</c:v>
                </c:pt>
                <c:pt idx="12">
                  <c:v>0.65887707471847534</c:v>
                </c:pt>
                <c:pt idx="13">
                  <c:v>0.67238980531692505</c:v>
                </c:pt>
                <c:pt idx="14">
                  <c:v>0.66294419765472412</c:v>
                </c:pt>
                <c:pt idx="15">
                  <c:v>1.0213484764099121</c:v>
                </c:pt>
                <c:pt idx="16">
                  <c:v>0.78940832614898682</c:v>
                </c:pt>
                <c:pt idx="17">
                  <c:v>1.0370098352432251</c:v>
                </c:pt>
                <c:pt idx="18">
                  <c:v>0.75</c:v>
                </c:pt>
                <c:pt idx="19">
                  <c:v>0.59488427639007568</c:v>
                </c:pt>
                <c:pt idx="20">
                  <c:v>0.77587568759918213</c:v>
                </c:pt>
                <c:pt idx="21">
                  <c:v>0.64429038763046265</c:v>
                </c:pt>
                <c:pt idx="22">
                  <c:v>0.57904958724975586</c:v>
                </c:pt>
                <c:pt idx="23">
                  <c:v>0.97274410724639893</c:v>
                </c:pt>
              </c:numCache>
            </c:numRef>
          </c:xVal>
          <c:yVal>
            <c:numRef>
              <c:f>('CHN data'!$E$47:$E$56,'CHN data'!$E$58:$E$63,'CHN data'!$E$67:$E$74)</c:f>
              <c:numCache>
                <c:formatCode>0.00</c:formatCode>
                <c:ptCount val="24"/>
                <c:pt idx="0">
                  <c:v>13.722061157226563</c:v>
                </c:pt>
                <c:pt idx="1">
                  <c:v>13.56171989440918</c:v>
                </c:pt>
                <c:pt idx="2">
                  <c:v>13.43907642364502</c:v>
                </c:pt>
                <c:pt idx="3">
                  <c:v>15.685426712036133</c:v>
                </c:pt>
                <c:pt idx="4">
                  <c:v>12.691935539245605</c:v>
                </c:pt>
                <c:pt idx="6">
                  <c:v>11.987616539001465</c:v>
                </c:pt>
                <c:pt idx="7">
                  <c:v>11.95491886138916</c:v>
                </c:pt>
                <c:pt idx="8">
                  <c:v>12.301887512207031</c:v>
                </c:pt>
                <c:pt idx="9">
                  <c:v>12.759530067443848</c:v>
                </c:pt>
                <c:pt idx="10">
                  <c:v>12.43962574005127</c:v>
                </c:pt>
                <c:pt idx="11">
                  <c:v>12.442903518676758</c:v>
                </c:pt>
                <c:pt idx="12">
                  <c:v>13.223359107971191</c:v>
                </c:pt>
                <c:pt idx="13">
                  <c:v>12.236926078796387</c:v>
                </c:pt>
                <c:pt idx="14">
                  <c:v>11.76308536529541</c:v>
                </c:pt>
                <c:pt idx="15">
                  <c:v>13.287544250488281</c:v>
                </c:pt>
                <c:pt idx="16">
                  <c:v>12.947148323059082</c:v>
                </c:pt>
                <c:pt idx="17">
                  <c:v>13.322731971740723</c:v>
                </c:pt>
                <c:pt idx="18">
                  <c:v>13.64</c:v>
                </c:pt>
                <c:pt idx="19">
                  <c:v>12.892898559570313</c:v>
                </c:pt>
                <c:pt idx="20">
                  <c:v>13.634238243103027</c:v>
                </c:pt>
                <c:pt idx="21">
                  <c:v>12.664948463439941</c:v>
                </c:pt>
                <c:pt idx="22">
                  <c:v>12.459025382995605</c:v>
                </c:pt>
                <c:pt idx="23">
                  <c:v>13.983448028564453</c:v>
                </c:pt>
              </c:numCache>
            </c:numRef>
          </c:yVal>
          <c:smooth val="0"/>
          <c:extLst>
            <c:ext xmlns:c16="http://schemas.microsoft.com/office/drawing/2014/chart" uri="{C3380CC4-5D6E-409C-BE32-E72D297353CC}">
              <c16:uniqueId val="{00000003-8748-4B66-BAF1-813ED6B3A506}"/>
            </c:ext>
          </c:extLst>
        </c:ser>
        <c:ser>
          <c:idx val="3"/>
          <c:order val="3"/>
          <c:tx>
            <c:v>PACS-2</c:v>
          </c:tx>
          <c:spPr>
            <a:ln w="25400" cap="rnd">
              <a:noFill/>
              <a:round/>
            </a:ln>
            <a:effectLst/>
          </c:spPr>
          <c:marker>
            <c:symbol val="circle"/>
            <c:size val="5"/>
            <c:spPr>
              <a:solidFill>
                <a:schemeClr val="accent4"/>
              </a:solidFill>
              <a:ln w="9525">
                <a:solidFill>
                  <a:schemeClr val="accent4"/>
                </a:solidFill>
              </a:ln>
              <a:effectLst/>
            </c:spPr>
          </c:marker>
          <c:xVal>
            <c:numRef>
              <c:f>('CHN data'!$D$21,'CHN data'!$D$29,'CHN data'!$D$64:$D$66)</c:f>
              <c:numCache>
                <c:formatCode>0.00</c:formatCode>
                <c:ptCount val="5"/>
                <c:pt idx="0">
                  <c:v>0.27425473928451538</c:v>
                </c:pt>
                <c:pt idx="1">
                  <c:v>0.27332425117492676</c:v>
                </c:pt>
                <c:pt idx="2">
                  <c:v>0.28835150599479675</c:v>
                </c:pt>
                <c:pt idx="4">
                  <c:v>0.28253743052482605</c:v>
                </c:pt>
              </c:numCache>
            </c:numRef>
          </c:xVal>
          <c:yVal>
            <c:numRef>
              <c:f>('CHN data'!$E$21,'CHN data'!$E$29,'CHN data'!$E$64:$E$66)</c:f>
              <c:numCache>
                <c:formatCode>0.00</c:formatCode>
                <c:ptCount val="5"/>
                <c:pt idx="0">
                  <c:v>3.19893389701843</c:v>
                </c:pt>
                <c:pt idx="1">
                  <c:v>3.2330312728881836</c:v>
                </c:pt>
                <c:pt idx="2">
                  <c:v>3.24717750549316</c:v>
                </c:pt>
                <c:pt idx="4">
                  <c:v>3.2185087203979492</c:v>
                </c:pt>
              </c:numCache>
            </c:numRef>
          </c:yVal>
          <c:smooth val="0"/>
          <c:extLst>
            <c:ext xmlns:c16="http://schemas.microsoft.com/office/drawing/2014/chart" uri="{C3380CC4-5D6E-409C-BE32-E72D297353CC}">
              <c16:uniqueId val="{00000004-8748-4B66-BAF1-813ED6B3A506}"/>
            </c:ext>
          </c:extLst>
        </c:ser>
        <c:dLbls>
          <c:showLegendKey val="0"/>
          <c:showVal val="0"/>
          <c:showCatName val="0"/>
          <c:showSerName val="0"/>
          <c:showPercent val="0"/>
          <c:showBubbleSize val="0"/>
        </c:dLbls>
        <c:axId val="467551343"/>
        <c:axId val="2036511647"/>
      </c:scatterChart>
      <c:valAx>
        <c:axId val="467551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511647"/>
        <c:crosses val="autoZero"/>
        <c:crossBetween val="midCat"/>
      </c:valAx>
      <c:valAx>
        <c:axId val="2036511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55134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Acetanilide</c:v>
          </c:tx>
          <c:spPr>
            <a:ln w="25400" cap="rnd">
              <a:noFill/>
              <a:round/>
            </a:ln>
            <a:effectLst/>
          </c:spPr>
          <c:marker>
            <c:symbol val="circle"/>
            <c:size val="5"/>
            <c:spPr>
              <a:solidFill>
                <a:schemeClr val="accent1"/>
              </a:solidFill>
              <a:ln w="9525">
                <a:solidFill>
                  <a:schemeClr val="accent1"/>
                </a:solidFill>
              </a:ln>
              <a:effectLst/>
            </c:spPr>
          </c:marker>
          <c:xVal>
            <c:numRef>
              <c:f>('CHN data'!$D$42,'CHN data'!$D$57,'CHN data'!$D$75:$D$76)</c:f>
              <c:numCache>
                <c:formatCode>0.00</c:formatCode>
                <c:ptCount val="4"/>
                <c:pt idx="0">
                  <c:v>10.245760154724101</c:v>
                </c:pt>
                <c:pt idx="1">
                  <c:v>10.398643493652344</c:v>
                </c:pt>
                <c:pt idx="2">
                  <c:v>10.306266403198199</c:v>
                </c:pt>
                <c:pt idx="3">
                  <c:v>10.3705736160278</c:v>
                </c:pt>
              </c:numCache>
            </c:numRef>
          </c:xVal>
          <c:yVal>
            <c:numRef>
              <c:f>('CHN data'!$E$42,'CHN data'!$E$57,'CHN data'!$E$75:$E$76)</c:f>
              <c:numCache>
                <c:formatCode>0.00</c:formatCode>
                <c:ptCount val="4"/>
                <c:pt idx="0">
                  <c:v>71.069293212890599</c:v>
                </c:pt>
                <c:pt idx="1">
                  <c:v>71.039756774902301</c:v>
                </c:pt>
                <c:pt idx="2">
                  <c:v>71.009834289550781</c:v>
                </c:pt>
                <c:pt idx="3">
                  <c:v>70.998611450195313</c:v>
                </c:pt>
              </c:numCache>
            </c:numRef>
          </c:yVal>
          <c:smooth val="0"/>
          <c:extLst>
            <c:ext xmlns:c16="http://schemas.microsoft.com/office/drawing/2014/chart" uri="{C3380CC4-5D6E-409C-BE32-E72D297353CC}">
              <c16:uniqueId val="{00000000-C178-4B9C-B09B-FBF2B2FF77F1}"/>
            </c:ext>
          </c:extLst>
        </c:ser>
        <c:dLbls>
          <c:showLegendKey val="0"/>
          <c:showVal val="0"/>
          <c:showCatName val="0"/>
          <c:showSerName val="0"/>
          <c:showPercent val="0"/>
          <c:showBubbleSize val="0"/>
        </c:dLbls>
        <c:axId val="26547519"/>
        <c:axId val="2036529151"/>
      </c:scatterChart>
      <c:valAx>
        <c:axId val="26547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529151"/>
        <c:crosses val="autoZero"/>
        <c:crossBetween val="midCat"/>
      </c:valAx>
      <c:valAx>
        <c:axId val="2036529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4751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1000m</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4.8892504673078228E-2"/>
                  <c:y val="-1.152399062017653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('CHN data'!$D$3:$D$25,'CHN data'!$D$91:$D$92)</c:f>
              <c:numCache>
                <c:formatCode>0.00</c:formatCode>
                <c:ptCount val="25"/>
                <c:pt idx="0">
                  <c:v>0.92014843225479126</c:v>
                </c:pt>
                <c:pt idx="1">
                  <c:v>0.86944180727005005</c:v>
                </c:pt>
                <c:pt idx="2">
                  <c:v>1.1249848604202271</c:v>
                </c:pt>
                <c:pt idx="3">
                  <c:v>5.0349807739257813</c:v>
                </c:pt>
                <c:pt idx="4">
                  <c:v>2.7771925926208496</c:v>
                </c:pt>
                <c:pt idx="5">
                  <c:v>1.430580735206604</c:v>
                </c:pt>
                <c:pt idx="6">
                  <c:v>1.3329753875732422</c:v>
                </c:pt>
                <c:pt idx="7">
                  <c:v>1.3836919069290161</c:v>
                </c:pt>
                <c:pt idx="8">
                  <c:v>0.8400733470916748</c:v>
                </c:pt>
                <c:pt idx="9">
                  <c:v>0.71678870916366577</c:v>
                </c:pt>
                <c:pt idx="10">
                  <c:v>0.60590004920959473</c:v>
                </c:pt>
                <c:pt idx="12">
                  <c:v>1.3371845483779907</c:v>
                </c:pt>
                <c:pt idx="13">
                  <c:v>0.68985587358474731</c:v>
                </c:pt>
                <c:pt idx="14">
                  <c:v>0.68538850545883179</c:v>
                </c:pt>
                <c:pt idx="15">
                  <c:v>0.71775048971176147</c:v>
                </c:pt>
                <c:pt idx="16">
                  <c:v>0.76607954502105713</c:v>
                </c:pt>
                <c:pt idx="17">
                  <c:v>0.9453589916229248</c:v>
                </c:pt>
                <c:pt idx="18">
                  <c:v>0.27425473928451538</c:v>
                </c:pt>
                <c:pt idx="19">
                  <c:v>1.2483048439025879</c:v>
                </c:pt>
                <c:pt idx="20">
                  <c:v>0.86163246631622314</c:v>
                </c:pt>
                <c:pt idx="21">
                  <c:v>1.1338266134262085</c:v>
                </c:pt>
                <c:pt idx="22">
                  <c:v>0.89570164680480957</c:v>
                </c:pt>
                <c:pt idx="23" formatCode="General">
                  <c:v>5.1203826904296896</c:v>
                </c:pt>
                <c:pt idx="24" formatCode="General">
                  <c:v>0.77766084671020508</c:v>
                </c:pt>
              </c:numCache>
            </c:numRef>
          </c:xVal>
          <c:yVal>
            <c:numRef>
              <c:f>('CHN data'!$E$3:$E$25,'CHN data'!$E$91:$E$92)</c:f>
              <c:numCache>
                <c:formatCode>0.00</c:formatCode>
                <c:ptCount val="25"/>
                <c:pt idx="0">
                  <c:v>14.150093078613281</c:v>
                </c:pt>
                <c:pt idx="1">
                  <c:v>14.103673934936523</c:v>
                </c:pt>
                <c:pt idx="2">
                  <c:v>14.953019142150879</c:v>
                </c:pt>
                <c:pt idx="3">
                  <c:v>30.813896179199219</c:v>
                </c:pt>
                <c:pt idx="4">
                  <c:v>20.211074829101563</c:v>
                </c:pt>
                <c:pt idx="5">
                  <c:v>14.441088676452637</c:v>
                </c:pt>
                <c:pt idx="6">
                  <c:v>16.339384078979492</c:v>
                </c:pt>
                <c:pt idx="7">
                  <c:v>14.778889656066895</c:v>
                </c:pt>
                <c:pt idx="8">
                  <c:v>13.10334587097168</c:v>
                </c:pt>
                <c:pt idx="9">
                  <c:v>12.854622840881348</c:v>
                </c:pt>
                <c:pt idx="10">
                  <c:v>12.759049415588379</c:v>
                </c:pt>
                <c:pt idx="12">
                  <c:v>14.938075065612793</c:v>
                </c:pt>
                <c:pt idx="13">
                  <c:v>13.30765438079834</c:v>
                </c:pt>
                <c:pt idx="14">
                  <c:v>13.279589653015137</c:v>
                </c:pt>
                <c:pt idx="15">
                  <c:v>13.347002983093262</c:v>
                </c:pt>
                <c:pt idx="16">
                  <c:v>13.542201995849609</c:v>
                </c:pt>
                <c:pt idx="17">
                  <c:v>14.125909805297852</c:v>
                </c:pt>
                <c:pt idx="18">
                  <c:v>3.19893389701843</c:v>
                </c:pt>
                <c:pt idx="19">
                  <c:v>14.696099281311035</c:v>
                </c:pt>
                <c:pt idx="20">
                  <c:v>14.053082466125488</c:v>
                </c:pt>
                <c:pt idx="21">
                  <c:v>15.229901313781738</c:v>
                </c:pt>
                <c:pt idx="22">
                  <c:v>14.040099143981934</c:v>
                </c:pt>
                <c:pt idx="23" formatCode="General">
                  <c:v>31.072349548339801</c:v>
                </c:pt>
                <c:pt idx="24" formatCode="General">
                  <c:v>13.765274047851563</c:v>
                </c:pt>
              </c:numCache>
            </c:numRef>
          </c:yVal>
          <c:smooth val="0"/>
          <c:extLst>
            <c:ext xmlns:c16="http://schemas.microsoft.com/office/drawing/2014/chart" uri="{C3380CC4-5D6E-409C-BE32-E72D297353CC}">
              <c16:uniqueId val="{00000001-CBEA-4DD4-9FDA-ADCFB693E3DF}"/>
            </c:ext>
          </c:extLst>
        </c:ser>
        <c:ser>
          <c:idx val="1"/>
          <c:order val="1"/>
          <c:tx>
            <c:v>2000m</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8.0473151188204788E-3"/>
                  <c:y val="-0.1512369461915269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('CHN data'!$D$26:$D$28,'CHN data'!$D$30:$D$41,'CHN data'!$D$43:$D$46)</c:f>
              <c:numCache>
                <c:formatCode>0.00</c:formatCode>
                <c:ptCount val="19"/>
                <c:pt idx="0">
                  <c:v>0.78490573167800903</c:v>
                </c:pt>
                <c:pt idx="1">
                  <c:v>0.97619426250457764</c:v>
                </c:pt>
                <c:pt idx="2">
                  <c:v>0.88953083753585815</c:v>
                </c:pt>
                <c:pt idx="3">
                  <c:v>0.89602220058441162</c:v>
                </c:pt>
                <c:pt idx="4">
                  <c:v>0.72803771495819092</c:v>
                </c:pt>
                <c:pt idx="5">
                  <c:v>0.71530050039291382</c:v>
                </c:pt>
                <c:pt idx="6">
                  <c:v>0.75174504518508911</c:v>
                </c:pt>
                <c:pt idx="7">
                  <c:v>0.71574407815933228</c:v>
                </c:pt>
                <c:pt idx="8">
                  <c:v>0.59883177280426025</c:v>
                </c:pt>
                <c:pt idx="9">
                  <c:v>0.69182890653610229</c:v>
                </c:pt>
                <c:pt idx="10">
                  <c:v>0.47727426886558533</c:v>
                </c:pt>
                <c:pt idx="11">
                  <c:v>0.57263672351837158</c:v>
                </c:pt>
                <c:pt idx="13">
                  <c:v>0.71534091234207153</c:v>
                </c:pt>
                <c:pt idx="14">
                  <c:v>0.7191697359085083</c:v>
                </c:pt>
                <c:pt idx="15">
                  <c:v>0.86480331420898438</c:v>
                </c:pt>
                <c:pt idx="16">
                  <c:v>0.8928254246711731</c:v>
                </c:pt>
                <c:pt idx="17">
                  <c:v>1.3417773246765137</c:v>
                </c:pt>
                <c:pt idx="18">
                  <c:v>1.4059737920761108</c:v>
                </c:pt>
              </c:numCache>
            </c:numRef>
          </c:xVal>
          <c:yVal>
            <c:numRef>
              <c:f>('CHN data'!$E$26:$E$28,'CHN data'!$E$30:$E$41,'CHN data'!$E$43:$E$46,'CHN data'!$E$86,'CHN data'!$E$93)</c:f>
              <c:numCache>
                <c:formatCode>0.00</c:formatCode>
                <c:ptCount val="21"/>
                <c:pt idx="0">
                  <c:v>14.247434616088867</c:v>
                </c:pt>
                <c:pt idx="1">
                  <c:v>14.521237373352051</c:v>
                </c:pt>
                <c:pt idx="2">
                  <c:v>14.122218132019043</c:v>
                </c:pt>
                <c:pt idx="3">
                  <c:v>13.998252868652344</c:v>
                </c:pt>
                <c:pt idx="4">
                  <c:v>13.26401424407959</c:v>
                </c:pt>
                <c:pt idx="5">
                  <c:v>13.046916007995605</c:v>
                </c:pt>
                <c:pt idx="6">
                  <c:v>13.122382164001465</c:v>
                </c:pt>
                <c:pt idx="7">
                  <c:v>12.903997421264648</c:v>
                </c:pt>
                <c:pt idx="8">
                  <c:v>12.563013076782227</c:v>
                </c:pt>
                <c:pt idx="9">
                  <c:v>13.241850852966309</c:v>
                </c:pt>
                <c:pt idx="10">
                  <c:v>12.646408081054688</c:v>
                </c:pt>
                <c:pt idx="11">
                  <c:v>12.868570327758789</c:v>
                </c:pt>
                <c:pt idx="13">
                  <c:v>13.39105224609375</c:v>
                </c:pt>
                <c:pt idx="14">
                  <c:v>13.389961242675781</c:v>
                </c:pt>
                <c:pt idx="15">
                  <c:v>13.844083786010742</c:v>
                </c:pt>
                <c:pt idx="16">
                  <c:v>14.127402305603027</c:v>
                </c:pt>
                <c:pt idx="17">
                  <c:v>15.185502052307129</c:v>
                </c:pt>
                <c:pt idx="18">
                  <c:v>15.645127296447754</c:v>
                </c:pt>
                <c:pt idx="19" formatCode="General">
                  <c:v>13.072277069091797</c:v>
                </c:pt>
                <c:pt idx="20" formatCode="General">
                  <c:v>12.918704032897949</c:v>
                </c:pt>
              </c:numCache>
            </c:numRef>
          </c:yVal>
          <c:smooth val="0"/>
          <c:extLst>
            <c:ext xmlns:c16="http://schemas.microsoft.com/office/drawing/2014/chart" uri="{C3380CC4-5D6E-409C-BE32-E72D297353CC}">
              <c16:uniqueId val="{00000003-CBEA-4DD4-9FDA-ADCFB693E3DF}"/>
            </c:ext>
          </c:extLst>
        </c:ser>
        <c:ser>
          <c:idx val="2"/>
          <c:order val="2"/>
          <c:tx>
            <c:v>3800m</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0.10665117044871236"/>
                  <c:y val="0.1039577829016454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('CHN data'!$D$47:$D$51,'CHN data'!$D$53:$D$56,'CHN data'!$D$58:$D$63,'CHN data'!$D$67:$D$74,'CHN data'!$D$87,'CHN data'!$D$84:$D$85)</c:f>
              <c:numCache>
                <c:formatCode>0.00</c:formatCode>
                <c:ptCount val="26"/>
                <c:pt idx="0">
                  <c:v>0.75171852111816406</c:v>
                </c:pt>
                <c:pt idx="1">
                  <c:v>0.72249287366867065</c:v>
                </c:pt>
                <c:pt idx="2">
                  <c:v>0.66684079170227051</c:v>
                </c:pt>
                <c:pt idx="3">
                  <c:v>1.2000707387924194</c:v>
                </c:pt>
                <c:pt idx="4">
                  <c:v>0.53777742385864258</c:v>
                </c:pt>
                <c:pt idx="5">
                  <c:v>0.45570942759513855</c:v>
                </c:pt>
                <c:pt idx="6">
                  <c:v>0.55595111846923828</c:v>
                </c:pt>
                <c:pt idx="7">
                  <c:v>0.58643555641174316</c:v>
                </c:pt>
                <c:pt idx="8">
                  <c:v>0.63776969909667969</c:v>
                </c:pt>
                <c:pt idx="9">
                  <c:v>0.49478974938392639</c:v>
                </c:pt>
                <c:pt idx="10">
                  <c:v>0.44762051105499268</c:v>
                </c:pt>
                <c:pt idx="11">
                  <c:v>0.65887707471847534</c:v>
                </c:pt>
                <c:pt idx="12">
                  <c:v>0.67238980531692505</c:v>
                </c:pt>
                <c:pt idx="13">
                  <c:v>0.66294419765472412</c:v>
                </c:pt>
                <c:pt idx="14">
                  <c:v>1.0213484764099121</c:v>
                </c:pt>
                <c:pt idx="15">
                  <c:v>0.78940832614898682</c:v>
                </c:pt>
                <c:pt idx="16">
                  <c:v>1.0370098352432251</c:v>
                </c:pt>
                <c:pt idx="17">
                  <c:v>0.75</c:v>
                </c:pt>
                <c:pt idx="18">
                  <c:v>0.59488427639007568</c:v>
                </c:pt>
                <c:pt idx="19">
                  <c:v>0.77587568759918213</c:v>
                </c:pt>
                <c:pt idx="20">
                  <c:v>0.64429038763046265</c:v>
                </c:pt>
                <c:pt idx="21">
                  <c:v>0.57904958724975586</c:v>
                </c:pt>
                <c:pt idx="22">
                  <c:v>0.97274410724639893</c:v>
                </c:pt>
                <c:pt idx="23" formatCode="General">
                  <c:v>0.9995693564414978</c:v>
                </c:pt>
                <c:pt idx="24" formatCode="General">
                  <c:v>0.73464572429656982</c:v>
                </c:pt>
                <c:pt idx="25" formatCode="General">
                  <c:v>0.72562235593795776</c:v>
                </c:pt>
              </c:numCache>
            </c:numRef>
          </c:xVal>
          <c:yVal>
            <c:numRef>
              <c:f>('CHN data'!$E$47:$E$51,'CHN data'!$E$53:$E$56,'CHN data'!$E$58:$E$63,'CHN data'!$E$67:$E$74,'CHN data'!$E$84:$E$85,'CHN data'!$E$87)</c:f>
              <c:numCache>
                <c:formatCode>0.00</c:formatCode>
                <c:ptCount val="26"/>
                <c:pt idx="0">
                  <c:v>13.722061157226563</c:v>
                </c:pt>
                <c:pt idx="1">
                  <c:v>13.56171989440918</c:v>
                </c:pt>
                <c:pt idx="2">
                  <c:v>13.43907642364502</c:v>
                </c:pt>
                <c:pt idx="3">
                  <c:v>15.685426712036133</c:v>
                </c:pt>
                <c:pt idx="4">
                  <c:v>12.691935539245605</c:v>
                </c:pt>
                <c:pt idx="5">
                  <c:v>11.987616539001465</c:v>
                </c:pt>
                <c:pt idx="6">
                  <c:v>11.95491886138916</c:v>
                </c:pt>
                <c:pt idx="7">
                  <c:v>12.301887512207031</c:v>
                </c:pt>
                <c:pt idx="8">
                  <c:v>12.759530067443848</c:v>
                </c:pt>
                <c:pt idx="9">
                  <c:v>12.43962574005127</c:v>
                </c:pt>
                <c:pt idx="10">
                  <c:v>12.442903518676758</c:v>
                </c:pt>
                <c:pt idx="11">
                  <c:v>13.223359107971191</c:v>
                </c:pt>
                <c:pt idx="12">
                  <c:v>12.236926078796387</c:v>
                </c:pt>
                <c:pt idx="13">
                  <c:v>11.76308536529541</c:v>
                </c:pt>
                <c:pt idx="14">
                  <c:v>13.287544250488281</c:v>
                </c:pt>
                <c:pt idx="15">
                  <c:v>12.947148323059082</c:v>
                </c:pt>
                <c:pt idx="16">
                  <c:v>13.322731971740723</c:v>
                </c:pt>
                <c:pt idx="17">
                  <c:v>13.64</c:v>
                </c:pt>
                <c:pt idx="18">
                  <c:v>12.892898559570313</c:v>
                </c:pt>
                <c:pt idx="19">
                  <c:v>13.634238243103027</c:v>
                </c:pt>
                <c:pt idx="20">
                  <c:v>12.664948463439941</c:v>
                </c:pt>
                <c:pt idx="21">
                  <c:v>12.459025382995605</c:v>
                </c:pt>
                <c:pt idx="22">
                  <c:v>13.983448028564453</c:v>
                </c:pt>
                <c:pt idx="23" formatCode="General">
                  <c:v>13.745884895324707</c:v>
                </c:pt>
                <c:pt idx="24" formatCode="General">
                  <c:v>13.748713493347168</c:v>
                </c:pt>
                <c:pt idx="25" formatCode="General">
                  <c:v>13.344185829162598</c:v>
                </c:pt>
              </c:numCache>
            </c:numRef>
          </c:yVal>
          <c:smooth val="0"/>
          <c:extLst>
            <c:ext xmlns:c16="http://schemas.microsoft.com/office/drawing/2014/chart" uri="{C3380CC4-5D6E-409C-BE32-E72D297353CC}">
              <c16:uniqueId val="{00000005-CBEA-4DD4-9FDA-ADCFB693E3DF}"/>
            </c:ext>
          </c:extLst>
        </c:ser>
        <c:ser>
          <c:idx val="3"/>
          <c:order val="3"/>
          <c:tx>
            <c:v>PACS-2</c:v>
          </c:tx>
          <c:spPr>
            <a:ln w="25400" cap="rnd">
              <a:noFill/>
              <a:round/>
            </a:ln>
            <a:effectLst/>
          </c:spPr>
          <c:marker>
            <c:symbol val="circle"/>
            <c:size val="5"/>
            <c:spPr>
              <a:solidFill>
                <a:schemeClr val="accent4"/>
              </a:solidFill>
              <a:ln w="9525">
                <a:solidFill>
                  <a:schemeClr val="accent4"/>
                </a:solidFill>
              </a:ln>
              <a:effectLst/>
            </c:spPr>
          </c:marker>
          <c:xVal>
            <c:numRef>
              <c:f>('CHN data'!$D$21,'CHN data'!$D$29,'CHN data'!$D$64:$D$66,'CHN data'!$D$88,'CHN data'!$D$94)</c:f>
              <c:numCache>
                <c:formatCode>0.00</c:formatCode>
                <c:ptCount val="7"/>
                <c:pt idx="0">
                  <c:v>0.27425473928451538</c:v>
                </c:pt>
                <c:pt idx="1">
                  <c:v>0.27332425117492676</c:v>
                </c:pt>
                <c:pt idx="2">
                  <c:v>0.28835150599479675</c:v>
                </c:pt>
                <c:pt idx="4">
                  <c:v>0.28253743052482605</c:v>
                </c:pt>
                <c:pt idx="5" formatCode="General">
                  <c:v>0.26668828725814819</c:v>
                </c:pt>
                <c:pt idx="6" formatCode="General">
                  <c:v>0.27272194623947144</c:v>
                </c:pt>
              </c:numCache>
            </c:numRef>
          </c:xVal>
          <c:yVal>
            <c:numRef>
              <c:f>('CHN data'!$E$21,'CHN data'!$E$29,'CHN data'!$E$64:$E$66,'CHN data'!$E$88,'CHN data'!$E$94)</c:f>
              <c:numCache>
                <c:formatCode>0.00</c:formatCode>
                <c:ptCount val="7"/>
                <c:pt idx="0">
                  <c:v>3.19893389701843</c:v>
                </c:pt>
                <c:pt idx="1">
                  <c:v>3.2330312728881836</c:v>
                </c:pt>
                <c:pt idx="2">
                  <c:v>3.24717750549316</c:v>
                </c:pt>
                <c:pt idx="4">
                  <c:v>3.2185087203979492</c:v>
                </c:pt>
                <c:pt idx="5" formatCode="General">
                  <c:v>3.177544116973877</c:v>
                </c:pt>
                <c:pt idx="6" formatCode="General">
                  <c:v>3.1984291744232198</c:v>
                </c:pt>
              </c:numCache>
            </c:numRef>
          </c:yVal>
          <c:smooth val="0"/>
          <c:extLst>
            <c:ext xmlns:c16="http://schemas.microsoft.com/office/drawing/2014/chart" uri="{C3380CC4-5D6E-409C-BE32-E72D297353CC}">
              <c16:uniqueId val="{00000006-CBEA-4DD4-9FDA-ADCFB693E3DF}"/>
            </c:ext>
          </c:extLst>
        </c:ser>
        <c:dLbls>
          <c:showLegendKey val="0"/>
          <c:showVal val="0"/>
          <c:showCatName val="0"/>
          <c:showSerName val="0"/>
          <c:showPercent val="0"/>
          <c:showBubbleSize val="0"/>
        </c:dLbls>
        <c:axId val="467551343"/>
        <c:axId val="2036511647"/>
      </c:scatterChart>
      <c:valAx>
        <c:axId val="467551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511647"/>
        <c:crosses val="autoZero"/>
        <c:crossBetween val="midCat"/>
      </c:valAx>
      <c:valAx>
        <c:axId val="2036511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55134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v>2000m</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14902899697346444"/>
                  <c:y val="-8.2304148764786277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('CHN data'!$D$26:$D$28,'CHN data'!$D$30:$D$38,'CHN data'!$D$40:$D$41,'CHN data'!$D$43:$D$46)</c:f>
              <c:numCache>
                <c:formatCode>0.00</c:formatCode>
                <c:ptCount val="18"/>
                <c:pt idx="0">
                  <c:v>0.78490573167800903</c:v>
                </c:pt>
                <c:pt idx="1">
                  <c:v>0.97619426250457764</c:v>
                </c:pt>
                <c:pt idx="2">
                  <c:v>0.88953083753585815</c:v>
                </c:pt>
                <c:pt idx="3">
                  <c:v>0.89602220058441162</c:v>
                </c:pt>
                <c:pt idx="4">
                  <c:v>0.72803771495819092</c:v>
                </c:pt>
                <c:pt idx="5">
                  <c:v>0.71530050039291382</c:v>
                </c:pt>
                <c:pt idx="6">
                  <c:v>0.75174504518508911</c:v>
                </c:pt>
                <c:pt idx="7">
                  <c:v>0.71574407815933228</c:v>
                </c:pt>
                <c:pt idx="8">
                  <c:v>0.59883177280426025</c:v>
                </c:pt>
                <c:pt idx="9">
                  <c:v>0.69182890653610229</c:v>
                </c:pt>
                <c:pt idx="10">
                  <c:v>0.47727426886558533</c:v>
                </c:pt>
                <c:pt idx="11">
                  <c:v>0.57263672351837158</c:v>
                </c:pt>
                <c:pt idx="12">
                  <c:v>0.71534091234207153</c:v>
                </c:pt>
                <c:pt idx="13">
                  <c:v>0.7191697359085083</c:v>
                </c:pt>
                <c:pt idx="14">
                  <c:v>0.86480331420898438</c:v>
                </c:pt>
                <c:pt idx="15">
                  <c:v>0.8928254246711731</c:v>
                </c:pt>
                <c:pt idx="16">
                  <c:v>1.3417773246765137</c:v>
                </c:pt>
                <c:pt idx="17">
                  <c:v>1.4059737920761108</c:v>
                </c:pt>
              </c:numCache>
            </c:numRef>
          </c:xVal>
          <c:yVal>
            <c:numRef>
              <c:f>('CHN data'!$E$26:$E$28,'CHN data'!$E$30:$E$38,'CHN data'!$E$40:$E$41,'CHN data'!$E$43:$E$46,'CHN data'!$E$86,'CHN data'!$E$93)</c:f>
              <c:numCache>
                <c:formatCode>0.00</c:formatCode>
                <c:ptCount val="20"/>
                <c:pt idx="0">
                  <c:v>14.247434616088867</c:v>
                </c:pt>
                <c:pt idx="1">
                  <c:v>14.521237373352051</c:v>
                </c:pt>
                <c:pt idx="2">
                  <c:v>14.122218132019043</c:v>
                </c:pt>
                <c:pt idx="3">
                  <c:v>13.998252868652344</c:v>
                </c:pt>
                <c:pt idx="4">
                  <c:v>13.26401424407959</c:v>
                </c:pt>
                <c:pt idx="5">
                  <c:v>13.046916007995605</c:v>
                </c:pt>
                <c:pt idx="6">
                  <c:v>13.122382164001465</c:v>
                </c:pt>
                <c:pt idx="7">
                  <c:v>12.903997421264648</c:v>
                </c:pt>
                <c:pt idx="8">
                  <c:v>12.563013076782227</c:v>
                </c:pt>
                <c:pt idx="9">
                  <c:v>13.241850852966309</c:v>
                </c:pt>
                <c:pt idx="10">
                  <c:v>12.646408081054688</c:v>
                </c:pt>
                <c:pt idx="11">
                  <c:v>12.868570327758789</c:v>
                </c:pt>
                <c:pt idx="12">
                  <c:v>13.39105224609375</c:v>
                </c:pt>
                <c:pt idx="13">
                  <c:v>13.389961242675781</c:v>
                </c:pt>
                <c:pt idx="14">
                  <c:v>13.844083786010742</c:v>
                </c:pt>
                <c:pt idx="15">
                  <c:v>14.127402305603027</c:v>
                </c:pt>
                <c:pt idx="16">
                  <c:v>15.185502052307129</c:v>
                </c:pt>
                <c:pt idx="17">
                  <c:v>15.645127296447754</c:v>
                </c:pt>
                <c:pt idx="18" formatCode="General">
                  <c:v>13.072277069091797</c:v>
                </c:pt>
                <c:pt idx="19" formatCode="General">
                  <c:v>12.918704032897949</c:v>
                </c:pt>
              </c:numCache>
            </c:numRef>
          </c:yVal>
          <c:smooth val="0"/>
          <c:extLst>
            <c:ext xmlns:c16="http://schemas.microsoft.com/office/drawing/2014/chart" uri="{C3380CC4-5D6E-409C-BE32-E72D297353CC}">
              <c16:uniqueId val="{00000003-7D42-4E86-912C-334821A7C4CD}"/>
            </c:ext>
          </c:extLst>
        </c:ser>
        <c:ser>
          <c:idx val="3"/>
          <c:order val="1"/>
          <c:tx>
            <c:v>PACS-2</c:v>
          </c:tx>
          <c:spPr>
            <a:ln w="25400" cap="rnd">
              <a:noFill/>
              <a:round/>
            </a:ln>
            <a:effectLst/>
          </c:spPr>
          <c:marker>
            <c:symbol val="circle"/>
            <c:size val="5"/>
            <c:spPr>
              <a:solidFill>
                <a:schemeClr val="accent4"/>
              </a:solidFill>
              <a:ln w="9525">
                <a:solidFill>
                  <a:schemeClr val="accent4"/>
                </a:solidFill>
              </a:ln>
              <a:effectLst/>
            </c:spPr>
          </c:marker>
          <c:dPt>
            <c:idx val="0"/>
            <c:marker>
              <c:symbol val="circle"/>
              <c:size val="5"/>
              <c:spPr>
                <a:solidFill>
                  <a:schemeClr val="accent4"/>
                </a:solidFill>
                <a:ln w="9525">
                  <a:solidFill>
                    <a:schemeClr val="accent4"/>
                  </a:solidFill>
                </a:ln>
                <a:effectLst/>
              </c:spPr>
            </c:marker>
            <c:bubble3D val="0"/>
            <c:spPr>
              <a:ln w="25400" cap="rnd">
                <a:noFill/>
                <a:round/>
              </a:ln>
              <a:effectLst/>
            </c:spPr>
            <c:extLst>
              <c:ext xmlns:c16="http://schemas.microsoft.com/office/drawing/2014/chart" uri="{C3380CC4-5D6E-409C-BE32-E72D297353CC}">
                <c16:uniqueId val="{00000002-904C-416D-9FA9-959EE164381B}"/>
              </c:ext>
            </c:extLst>
          </c:dPt>
          <c:xVal>
            <c:numRef>
              <c:f>('CHN data'!$D$21,'CHN data'!$D$29,'CHN data'!$D$64:$D$66)</c:f>
              <c:numCache>
                <c:formatCode>0.00</c:formatCode>
                <c:ptCount val="5"/>
                <c:pt idx="0">
                  <c:v>0.27425473928451538</c:v>
                </c:pt>
                <c:pt idx="1">
                  <c:v>0.27332425117492676</c:v>
                </c:pt>
                <c:pt idx="2">
                  <c:v>0.28835150599479675</c:v>
                </c:pt>
                <c:pt idx="4">
                  <c:v>0.28253743052482605</c:v>
                </c:pt>
              </c:numCache>
            </c:numRef>
          </c:xVal>
          <c:yVal>
            <c:numRef>
              <c:f>('CHN data'!$E$21,'CHN data'!$E$29,'CHN data'!$E$64:$E$66)</c:f>
              <c:numCache>
                <c:formatCode>0.00</c:formatCode>
                <c:ptCount val="5"/>
                <c:pt idx="0">
                  <c:v>3.19893389701843</c:v>
                </c:pt>
                <c:pt idx="1">
                  <c:v>3.2330312728881836</c:v>
                </c:pt>
                <c:pt idx="2">
                  <c:v>3.24717750549316</c:v>
                </c:pt>
                <c:pt idx="4">
                  <c:v>3.2185087203979492</c:v>
                </c:pt>
              </c:numCache>
            </c:numRef>
          </c:yVal>
          <c:smooth val="0"/>
          <c:extLst>
            <c:ext xmlns:c16="http://schemas.microsoft.com/office/drawing/2014/chart" uri="{C3380CC4-5D6E-409C-BE32-E72D297353CC}">
              <c16:uniqueId val="{00000006-7D42-4E86-912C-334821A7C4CD}"/>
            </c:ext>
          </c:extLst>
        </c:ser>
        <c:ser>
          <c:idx val="0"/>
          <c:order val="2"/>
          <c:tx>
            <c:v>1000m</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14640620879327884"/>
                  <c:y val="1.4097931064534775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('CHN data'!$D$92,'CHN data'!$D$22:$D$25,'CHN data'!$D$15:$D$20,'CHN data'!$D$8:$D$13,'CHN data'!$D$3:$D$5)</c:f>
              <c:numCache>
                <c:formatCode>0.00</c:formatCode>
                <c:ptCount val="20"/>
                <c:pt idx="0" formatCode="General">
                  <c:v>0.77766084671020508</c:v>
                </c:pt>
                <c:pt idx="1">
                  <c:v>1.2483048439025879</c:v>
                </c:pt>
                <c:pt idx="2">
                  <c:v>0.86163246631622314</c:v>
                </c:pt>
                <c:pt idx="3">
                  <c:v>1.1338266134262085</c:v>
                </c:pt>
                <c:pt idx="4">
                  <c:v>0.89570164680480957</c:v>
                </c:pt>
                <c:pt idx="5">
                  <c:v>1.3371845483779907</c:v>
                </c:pt>
                <c:pt idx="6">
                  <c:v>0.68985587358474731</c:v>
                </c:pt>
                <c:pt idx="7">
                  <c:v>0.68538850545883179</c:v>
                </c:pt>
                <c:pt idx="8">
                  <c:v>0.71775048971176147</c:v>
                </c:pt>
                <c:pt idx="9">
                  <c:v>0.76607954502105713</c:v>
                </c:pt>
                <c:pt idx="10">
                  <c:v>0.9453589916229248</c:v>
                </c:pt>
                <c:pt idx="11">
                  <c:v>1.430580735206604</c:v>
                </c:pt>
                <c:pt idx="12">
                  <c:v>1.3329753875732422</c:v>
                </c:pt>
                <c:pt idx="13">
                  <c:v>1.3836919069290161</c:v>
                </c:pt>
                <c:pt idx="14">
                  <c:v>0.8400733470916748</c:v>
                </c:pt>
                <c:pt idx="15">
                  <c:v>0.71678870916366577</c:v>
                </c:pt>
                <c:pt idx="16">
                  <c:v>0.60590004920959473</c:v>
                </c:pt>
                <c:pt idx="17">
                  <c:v>0.92014843225479126</c:v>
                </c:pt>
                <c:pt idx="18">
                  <c:v>0.86944180727005005</c:v>
                </c:pt>
                <c:pt idx="19">
                  <c:v>1.1249848604202271</c:v>
                </c:pt>
              </c:numCache>
            </c:numRef>
          </c:xVal>
          <c:yVal>
            <c:numRef>
              <c:f>('CHN data'!$E$3:$E$5,'CHN data'!$E$8:$E$13,'CHN data'!$E$15:$E$20,'CHN data'!$E$22:$E$25,'CHN data'!$E$92)</c:f>
              <c:numCache>
                <c:formatCode>0.00</c:formatCode>
                <c:ptCount val="20"/>
                <c:pt idx="0">
                  <c:v>14.150093078613281</c:v>
                </c:pt>
                <c:pt idx="1">
                  <c:v>14.103673934936523</c:v>
                </c:pt>
                <c:pt idx="2">
                  <c:v>14.953019142150879</c:v>
                </c:pt>
                <c:pt idx="3">
                  <c:v>14.441088676452637</c:v>
                </c:pt>
                <c:pt idx="4">
                  <c:v>16.339384078979492</c:v>
                </c:pt>
                <c:pt idx="5">
                  <c:v>14.778889656066895</c:v>
                </c:pt>
                <c:pt idx="6">
                  <c:v>13.10334587097168</c:v>
                </c:pt>
                <c:pt idx="7">
                  <c:v>12.854622840881348</c:v>
                </c:pt>
                <c:pt idx="8">
                  <c:v>12.759049415588379</c:v>
                </c:pt>
                <c:pt idx="9">
                  <c:v>14.938075065612793</c:v>
                </c:pt>
                <c:pt idx="10">
                  <c:v>13.30765438079834</c:v>
                </c:pt>
                <c:pt idx="11">
                  <c:v>13.279589653015137</c:v>
                </c:pt>
                <c:pt idx="12">
                  <c:v>13.347002983093262</c:v>
                </c:pt>
                <c:pt idx="13">
                  <c:v>13.542201995849609</c:v>
                </c:pt>
                <c:pt idx="14">
                  <c:v>14.125909805297852</c:v>
                </c:pt>
                <c:pt idx="15">
                  <c:v>14.696099281311035</c:v>
                </c:pt>
                <c:pt idx="16">
                  <c:v>14.053082466125488</c:v>
                </c:pt>
                <c:pt idx="17">
                  <c:v>15.229901313781738</c:v>
                </c:pt>
                <c:pt idx="18">
                  <c:v>14.040099143981934</c:v>
                </c:pt>
                <c:pt idx="19" formatCode="General">
                  <c:v>13.765274047851563</c:v>
                </c:pt>
              </c:numCache>
            </c:numRef>
          </c:yVal>
          <c:smooth val="0"/>
          <c:extLst>
            <c:ext xmlns:c16="http://schemas.microsoft.com/office/drawing/2014/chart" uri="{C3380CC4-5D6E-409C-BE32-E72D297353CC}">
              <c16:uniqueId val="{00000004-9F29-432E-8465-DD5FA8850513}"/>
            </c:ext>
          </c:extLst>
        </c:ser>
        <c:ser>
          <c:idx val="2"/>
          <c:order val="3"/>
          <c:tx>
            <c:v>3800m</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0.10723517813861784"/>
                  <c:y val="3.261919480307540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('CHN data'!$D$87,'CHN data'!$D$84:$D$85,'CHN data'!$D$67:$D$74,'CHN data'!$D$58:$D$63,'CHN data'!$D$53:$D$56,'CHN data'!$D$47:$D$51)</c:f>
              <c:numCache>
                <c:formatCode>General</c:formatCode>
                <c:ptCount val="26"/>
                <c:pt idx="0">
                  <c:v>0.9995693564414978</c:v>
                </c:pt>
                <c:pt idx="1">
                  <c:v>0.73464572429656982</c:v>
                </c:pt>
                <c:pt idx="2">
                  <c:v>0.72562235593795776</c:v>
                </c:pt>
                <c:pt idx="3" formatCode="0.00">
                  <c:v>0.78940832614898682</c:v>
                </c:pt>
                <c:pt idx="4" formatCode="0.00">
                  <c:v>1.0370098352432251</c:v>
                </c:pt>
                <c:pt idx="5" formatCode="0.00">
                  <c:v>0.75</c:v>
                </c:pt>
                <c:pt idx="6" formatCode="0.00">
                  <c:v>0.59488427639007568</c:v>
                </c:pt>
                <c:pt idx="7" formatCode="0.00">
                  <c:v>0.77587568759918213</c:v>
                </c:pt>
                <c:pt idx="8" formatCode="0.00">
                  <c:v>0.64429038763046265</c:v>
                </c:pt>
                <c:pt idx="9" formatCode="0.00">
                  <c:v>0.57904958724975586</c:v>
                </c:pt>
                <c:pt idx="10" formatCode="0.00">
                  <c:v>0.97274410724639893</c:v>
                </c:pt>
                <c:pt idx="11" formatCode="0.00">
                  <c:v>0.49478974938392639</c:v>
                </c:pt>
                <c:pt idx="12" formatCode="0.00">
                  <c:v>0.44762051105499268</c:v>
                </c:pt>
                <c:pt idx="13" formatCode="0.00">
                  <c:v>0.65887707471847534</c:v>
                </c:pt>
                <c:pt idx="14" formatCode="0.00">
                  <c:v>0.67238980531692505</c:v>
                </c:pt>
                <c:pt idx="15" formatCode="0.00">
                  <c:v>0.66294419765472412</c:v>
                </c:pt>
                <c:pt idx="16" formatCode="0.00">
                  <c:v>1.0213484764099121</c:v>
                </c:pt>
                <c:pt idx="17" formatCode="0.00">
                  <c:v>0.45570942759513855</c:v>
                </c:pt>
                <c:pt idx="18" formatCode="0.00">
                  <c:v>0.55595111846923828</c:v>
                </c:pt>
                <c:pt idx="19" formatCode="0.00">
                  <c:v>0.58643555641174316</c:v>
                </c:pt>
                <c:pt idx="20" formatCode="0.00">
                  <c:v>0.63776969909667969</c:v>
                </c:pt>
                <c:pt idx="21" formatCode="0.00">
                  <c:v>0.75171852111816406</c:v>
                </c:pt>
                <c:pt idx="22" formatCode="0.00">
                  <c:v>0.72249287366867065</c:v>
                </c:pt>
                <c:pt idx="23" formatCode="0.00">
                  <c:v>0.66684079170227051</c:v>
                </c:pt>
                <c:pt idx="24" formatCode="0.00">
                  <c:v>1.2000707387924194</c:v>
                </c:pt>
                <c:pt idx="25" formatCode="0.00">
                  <c:v>0.53777742385864258</c:v>
                </c:pt>
              </c:numCache>
            </c:numRef>
          </c:xVal>
          <c:yVal>
            <c:numRef>
              <c:f>('CHN data'!$E$47:$E$51,'CHN data'!$E$53:$E$56,'CHN data'!$E$58:$E$63,'CHN data'!$E$67:$E$74,'CHN data'!$E$84:$E$85,'CHN data'!$E$87)</c:f>
              <c:numCache>
                <c:formatCode>0.00</c:formatCode>
                <c:ptCount val="26"/>
                <c:pt idx="0">
                  <c:v>13.722061157226563</c:v>
                </c:pt>
                <c:pt idx="1">
                  <c:v>13.56171989440918</c:v>
                </c:pt>
                <c:pt idx="2">
                  <c:v>13.43907642364502</c:v>
                </c:pt>
                <c:pt idx="3">
                  <c:v>15.685426712036133</c:v>
                </c:pt>
                <c:pt idx="4">
                  <c:v>12.691935539245605</c:v>
                </c:pt>
                <c:pt idx="5">
                  <c:v>11.987616539001465</c:v>
                </c:pt>
                <c:pt idx="6">
                  <c:v>11.95491886138916</c:v>
                </c:pt>
                <c:pt idx="7">
                  <c:v>12.301887512207031</c:v>
                </c:pt>
                <c:pt idx="8">
                  <c:v>12.759530067443848</c:v>
                </c:pt>
                <c:pt idx="9">
                  <c:v>12.43962574005127</c:v>
                </c:pt>
                <c:pt idx="10">
                  <c:v>12.442903518676758</c:v>
                </c:pt>
                <c:pt idx="11">
                  <c:v>13.223359107971191</c:v>
                </c:pt>
                <c:pt idx="12">
                  <c:v>12.236926078796387</c:v>
                </c:pt>
                <c:pt idx="13">
                  <c:v>11.76308536529541</c:v>
                </c:pt>
                <c:pt idx="14">
                  <c:v>13.287544250488281</c:v>
                </c:pt>
                <c:pt idx="15">
                  <c:v>12.947148323059082</c:v>
                </c:pt>
                <c:pt idx="16">
                  <c:v>13.322731971740723</c:v>
                </c:pt>
                <c:pt idx="17">
                  <c:v>13.64</c:v>
                </c:pt>
                <c:pt idx="18">
                  <c:v>12.892898559570313</c:v>
                </c:pt>
                <c:pt idx="19">
                  <c:v>13.634238243103027</c:v>
                </c:pt>
                <c:pt idx="20">
                  <c:v>12.664948463439941</c:v>
                </c:pt>
                <c:pt idx="21">
                  <c:v>12.459025382995605</c:v>
                </c:pt>
                <c:pt idx="22">
                  <c:v>13.983448028564453</c:v>
                </c:pt>
                <c:pt idx="23" formatCode="General">
                  <c:v>13.745884895324707</c:v>
                </c:pt>
                <c:pt idx="24" formatCode="General">
                  <c:v>13.748713493347168</c:v>
                </c:pt>
                <c:pt idx="25" formatCode="General">
                  <c:v>13.344185829162598</c:v>
                </c:pt>
              </c:numCache>
            </c:numRef>
          </c:yVal>
          <c:smooth val="0"/>
          <c:extLst>
            <c:ext xmlns:c16="http://schemas.microsoft.com/office/drawing/2014/chart" uri="{C3380CC4-5D6E-409C-BE32-E72D297353CC}">
              <c16:uniqueId val="{00000005-9F29-432E-8465-DD5FA8850513}"/>
            </c:ext>
          </c:extLst>
        </c:ser>
        <c:dLbls>
          <c:showLegendKey val="0"/>
          <c:showVal val="0"/>
          <c:showCatName val="0"/>
          <c:showSerName val="0"/>
          <c:showPercent val="0"/>
          <c:showBubbleSize val="0"/>
        </c:dLbls>
        <c:axId val="467551343"/>
        <c:axId val="2036511647"/>
      </c:scatterChart>
      <c:valAx>
        <c:axId val="467551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511647"/>
        <c:crosses val="autoZero"/>
        <c:crossBetween val="midCat"/>
      </c:valAx>
      <c:valAx>
        <c:axId val="2036511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55134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 Id="rId9"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43</xdr:col>
      <xdr:colOff>67077</xdr:colOff>
      <xdr:row>7</xdr:row>
      <xdr:rowOff>93908</xdr:rowOff>
    </xdr:from>
    <xdr:to>
      <xdr:col>56</xdr:col>
      <xdr:colOff>417688</xdr:colOff>
      <xdr:row>25</xdr:row>
      <xdr:rowOff>89214</xdr:rowOff>
    </xdr:to>
    <xdr:graphicFrame macro="">
      <xdr:nvGraphicFramePr>
        <xdr:cNvPr id="2" name="Chart 1">
          <a:extLst>
            <a:ext uri="{FF2B5EF4-FFF2-40B4-BE49-F238E27FC236}">
              <a16:creationId xmlns:a16="http://schemas.microsoft.com/office/drawing/2014/main" id="{7A68F929-71E9-47F0-8DDC-9044B95268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39</xdr:col>
      <xdr:colOff>393521</xdr:colOff>
      <xdr:row>7</xdr:row>
      <xdr:rowOff>268310</xdr:rowOff>
    </xdr:from>
    <xdr:to>
      <xdr:col>53</xdr:col>
      <xdr:colOff>135963</xdr:colOff>
      <xdr:row>26</xdr:row>
      <xdr:rowOff>124989</xdr:rowOff>
    </xdr:to>
    <xdr:graphicFrame macro="">
      <xdr:nvGraphicFramePr>
        <xdr:cNvPr id="2" name="Chart 1">
          <a:extLst>
            <a:ext uri="{FF2B5EF4-FFF2-40B4-BE49-F238E27FC236}">
              <a16:creationId xmlns:a16="http://schemas.microsoft.com/office/drawing/2014/main" id="{0834EE1B-97DD-41BB-B3D0-421E552261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39</xdr:col>
      <xdr:colOff>460598</xdr:colOff>
      <xdr:row>28</xdr:row>
      <xdr:rowOff>0</xdr:rowOff>
    </xdr:from>
    <xdr:to>
      <xdr:col>53</xdr:col>
      <xdr:colOff>207511</xdr:colOff>
      <xdr:row>48</xdr:row>
      <xdr:rowOff>156292</xdr:rowOff>
    </xdr:to>
    <xdr:graphicFrame macro="">
      <xdr:nvGraphicFramePr>
        <xdr:cNvPr id="3" name="Chart 2">
          <a:extLst>
            <a:ext uri="{FF2B5EF4-FFF2-40B4-BE49-F238E27FC236}">
              <a16:creationId xmlns:a16="http://schemas.microsoft.com/office/drawing/2014/main" id="{33D3F7EE-9FBB-4FE1-8DC7-5AA5096522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39</xdr:col>
      <xdr:colOff>523204</xdr:colOff>
      <xdr:row>49</xdr:row>
      <xdr:rowOff>84964</xdr:rowOff>
    </xdr:from>
    <xdr:to>
      <xdr:col>53</xdr:col>
      <xdr:colOff>270117</xdr:colOff>
      <xdr:row>70</xdr:row>
      <xdr:rowOff>4249</xdr:rowOff>
    </xdr:to>
    <xdr:graphicFrame macro="">
      <xdr:nvGraphicFramePr>
        <xdr:cNvPr id="4" name="Chart 3">
          <a:extLst>
            <a:ext uri="{FF2B5EF4-FFF2-40B4-BE49-F238E27FC236}">
              <a16:creationId xmlns:a16="http://schemas.microsoft.com/office/drawing/2014/main" id="{EAD2A24F-8AA2-48B4-B682-BCBA396085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40</xdr:col>
      <xdr:colOff>0</xdr:colOff>
      <xdr:row>70</xdr:row>
      <xdr:rowOff>0</xdr:rowOff>
    </xdr:from>
    <xdr:to>
      <xdr:col>53</xdr:col>
      <xdr:colOff>350610</xdr:colOff>
      <xdr:row>90</xdr:row>
      <xdr:rowOff>133932</xdr:rowOff>
    </xdr:to>
    <xdr:graphicFrame macro="">
      <xdr:nvGraphicFramePr>
        <xdr:cNvPr id="5" name="Chart 4">
          <a:extLst>
            <a:ext uri="{FF2B5EF4-FFF2-40B4-BE49-F238E27FC236}">
              <a16:creationId xmlns:a16="http://schemas.microsoft.com/office/drawing/2014/main" id="{C2B25CD1-4E64-4F44-AFF3-0A18914F30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45</xdr:col>
      <xdr:colOff>365124</xdr:colOff>
      <xdr:row>4</xdr:row>
      <xdr:rowOff>71437</xdr:rowOff>
    </xdr:from>
    <xdr:to>
      <xdr:col>58</xdr:col>
      <xdr:colOff>184149</xdr:colOff>
      <xdr:row>28</xdr:row>
      <xdr:rowOff>155575</xdr:rowOff>
    </xdr:to>
    <xdr:graphicFrame macro="">
      <xdr:nvGraphicFramePr>
        <xdr:cNvPr id="2" name="Chart 1">
          <a:extLst>
            <a:ext uri="{FF2B5EF4-FFF2-40B4-BE49-F238E27FC236}">
              <a16:creationId xmlns:a16="http://schemas.microsoft.com/office/drawing/2014/main" id="{39B55C3C-F589-E657-4F02-2BCB905501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104775</xdr:colOff>
      <xdr:row>1</xdr:row>
      <xdr:rowOff>42862</xdr:rowOff>
    </xdr:from>
    <xdr:to>
      <xdr:col>23</xdr:col>
      <xdr:colOff>0</xdr:colOff>
      <xdr:row>16</xdr:row>
      <xdr:rowOff>119062</xdr:rowOff>
    </xdr:to>
    <xdr:graphicFrame macro="">
      <xdr:nvGraphicFramePr>
        <xdr:cNvPr id="3" name="Chart 2">
          <a:extLst>
            <a:ext uri="{FF2B5EF4-FFF2-40B4-BE49-F238E27FC236}">
              <a16:creationId xmlns:a16="http://schemas.microsoft.com/office/drawing/2014/main" id="{478A123C-2630-33E1-D3BD-B389294DDEC8}"/>
            </a:ext>
            <a:ext uri="{147F2762-F138-4A5C-976F-8EAC2B608ADB}">
              <a16:predDERef xmlns:a16="http://schemas.microsoft.com/office/drawing/2014/main" pred="{39B55C3C-F589-E657-4F02-2BCB905501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219075</xdr:colOff>
      <xdr:row>1</xdr:row>
      <xdr:rowOff>76200</xdr:rowOff>
    </xdr:from>
    <xdr:to>
      <xdr:col>36</xdr:col>
      <xdr:colOff>447675</xdr:colOff>
      <xdr:row>26</xdr:row>
      <xdr:rowOff>14288</xdr:rowOff>
    </xdr:to>
    <xdr:graphicFrame macro="">
      <xdr:nvGraphicFramePr>
        <xdr:cNvPr id="4" name="Chart 3">
          <a:extLst>
            <a:ext uri="{FF2B5EF4-FFF2-40B4-BE49-F238E27FC236}">
              <a16:creationId xmlns:a16="http://schemas.microsoft.com/office/drawing/2014/main" id="{A415205B-013C-448F-A4A2-D6A88EE5FFDB}"/>
            </a:ext>
            <a:ext uri="{147F2762-F138-4A5C-976F-8EAC2B608ADB}">
              <a16:predDERef xmlns:a16="http://schemas.microsoft.com/office/drawing/2014/main" pred="{478A123C-2630-33E1-D3BD-B389294DDE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28575</xdr:colOff>
      <xdr:row>26</xdr:row>
      <xdr:rowOff>142875</xdr:rowOff>
    </xdr:from>
    <xdr:to>
      <xdr:col>31</xdr:col>
      <xdr:colOff>571500</xdr:colOff>
      <xdr:row>51</xdr:row>
      <xdr:rowOff>4763</xdr:rowOff>
    </xdr:to>
    <xdr:graphicFrame macro="">
      <xdr:nvGraphicFramePr>
        <xdr:cNvPr id="6" name="Chart 5">
          <a:extLst>
            <a:ext uri="{FF2B5EF4-FFF2-40B4-BE49-F238E27FC236}">
              <a16:creationId xmlns:a16="http://schemas.microsoft.com/office/drawing/2014/main" id="{25E6E77A-ABE9-4E26-9E7B-6795C986BBF4}"/>
            </a:ext>
            <a:ext uri="{147F2762-F138-4A5C-976F-8EAC2B608ADB}">
              <a16:predDERef xmlns:a16="http://schemas.microsoft.com/office/drawing/2014/main" pred="{A415205B-013C-448F-A4A2-D6A88EE5FF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39</xdr:col>
      <xdr:colOff>339725</xdr:colOff>
      <xdr:row>7</xdr:row>
      <xdr:rowOff>79375</xdr:rowOff>
    </xdr:from>
    <xdr:to>
      <xdr:col>52</xdr:col>
      <xdr:colOff>158750</xdr:colOff>
      <xdr:row>31</xdr:row>
      <xdr:rowOff>153988</xdr:rowOff>
    </xdr:to>
    <xdr:graphicFrame macro="">
      <xdr:nvGraphicFramePr>
        <xdr:cNvPr id="5" name="Chart 4">
          <a:extLst>
            <a:ext uri="{FF2B5EF4-FFF2-40B4-BE49-F238E27FC236}">
              <a16:creationId xmlns:a16="http://schemas.microsoft.com/office/drawing/2014/main" id="{45E29CD5-705D-4783-9061-EE503465BC61}"/>
            </a:ext>
            <a:ext uri="{147F2762-F138-4A5C-976F-8EAC2B608ADB}">
              <a16:predDERef xmlns:a16="http://schemas.microsoft.com/office/drawing/2014/main" pred="{25E6E77A-ABE9-4E26-9E7B-6795C986BB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20</xdr:col>
      <xdr:colOff>125184</xdr:colOff>
      <xdr:row>2</xdr:row>
      <xdr:rowOff>54428</xdr:rowOff>
    </xdr:from>
    <xdr:to>
      <xdr:col>31</xdr:col>
      <xdr:colOff>394606</xdr:colOff>
      <xdr:row>16</xdr:row>
      <xdr:rowOff>29482</xdr:rowOff>
    </xdr:to>
    <xdr:graphicFrame macro="">
      <xdr:nvGraphicFramePr>
        <xdr:cNvPr id="2" name="Chart 1">
          <a:extLst>
            <a:ext uri="{FF2B5EF4-FFF2-40B4-BE49-F238E27FC236}">
              <a16:creationId xmlns:a16="http://schemas.microsoft.com/office/drawing/2014/main" id="{7BE00D72-1E5C-DD15-603C-92DF33D627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276225</xdr:colOff>
      <xdr:row>1</xdr:row>
      <xdr:rowOff>85725</xdr:rowOff>
    </xdr:from>
    <xdr:to>
      <xdr:col>11</xdr:col>
      <xdr:colOff>484868</xdr:colOff>
      <xdr:row>17</xdr:row>
      <xdr:rowOff>107723</xdr:rowOff>
    </xdr:to>
    <xdr:graphicFrame macro="">
      <xdr:nvGraphicFramePr>
        <xdr:cNvPr id="2" name="Chart 1">
          <a:extLst>
            <a:ext uri="{FF2B5EF4-FFF2-40B4-BE49-F238E27FC236}">
              <a16:creationId xmlns:a16="http://schemas.microsoft.com/office/drawing/2014/main" id="{9233AF58-44D6-430A-A36A-253E3352AB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342900</xdr:colOff>
      <xdr:row>1</xdr:row>
      <xdr:rowOff>161925</xdr:rowOff>
    </xdr:from>
    <xdr:to>
      <xdr:col>23</xdr:col>
      <xdr:colOff>551543</xdr:colOff>
      <xdr:row>17</xdr:row>
      <xdr:rowOff>183923</xdr:rowOff>
    </xdr:to>
    <xdr:graphicFrame macro="">
      <xdr:nvGraphicFramePr>
        <xdr:cNvPr id="3" name="Chart 2">
          <a:extLst>
            <a:ext uri="{FF2B5EF4-FFF2-40B4-BE49-F238E27FC236}">
              <a16:creationId xmlns:a16="http://schemas.microsoft.com/office/drawing/2014/main" id="{2F80BB0C-590C-416A-A66A-C618AF3A5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0</xdr:colOff>
      <xdr:row>2</xdr:row>
      <xdr:rowOff>0</xdr:rowOff>
    </xdr:from>
    <xdr:to>
      <xdr:col>36</xdr:col>
      <xdr:colOff>208643</xdr:colOff>
      <xdr:row>18</xdr:row>
      <xdr:rowOff>21998</xdr:rowOff>
    </xdr:to>
    <xdr:graphicFrame macro="">
      <xdr:nvGraphicFramePr>
        <xdr:cNvPr id="4" name="Chart 3">
          <a:extLst>
            <a:ext uri="{FF2B5EF4-FFF2-40B4-BE49-F238E27FC236}">
              <a16:creationId xmlns:a16="http://schemas.microsoft.com/office/drawing/2014/main" id="{A8823528-E145-4166-B145-21150F8C0E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371475</xdr:colOff>
      <xdr:row>19</xdr:row>
      <xdr:rowOff>76200</xdr:rowOff>
    </xdr:from>
    <xdr:to>
      <xdr:col>11</xdr:col>
      <xdr:colOff>580118</xdr:colOff>
      <xdr:row>35</xdr:row>
      <xdr:rowOff>98198</xdr:rowOff>
    </xdr:to>
    <xdr:graphicFrame macro="">
      <xdr:nvGraphicFramePr>
        <xdr:cNvPr id="5" name="Chart 4">
          <a:extLst>
            <a:ext uri="{FF2B5EF4-FFF2-40B4-BE49-F238E27FC236}">
              <a16:creationId xmlns:a16="http://schemas.microsoft.com/office/drawing/2014/main" id="{B668386F-541D-4A69-A073-78507339F7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19</xdr:row>
      <xdr:rowOff>0</xdr:rowOff>
    </xdr:from>
    <xdr:to>
      <xdr:col>24</xdr:col>
      <xdr:colOff>208643</xdr:colOff>
      <xdr:row>35</xdr:row>
      <xdr:rowOff>21998</xdr:rowOff>
    </xdr:to>
    <xdr:graphicFrame macro="">
      <xdr:nvGraphicFramePr>
        <xdr:cNvPr id="6" name="Chart 5">
          <a:extLst>
            <a:ext uri="{FF2B5EF4-FFF2-40B4-BE49-F238E27FC236}">
              <a16:creationId xmlns:a16="http://schemas.microsoft.com/office/drawing/2014/main" id="{C1C4AD28-67C1-423F-B19A-AC77D308B1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0</xdr:colOff>
      <xdr:row>19</xdr:row>
      <xdr:rowOff>0</xdr:rowOff>
    </xdr:from>
    <xdr:to>
      <xdr:col>37</xdr:col>
      <xdr:colOff>208643</xdr:colOff>
      <xdr:row>35</xdr:row>
      <xdr:rowOff>21998</xdr:rowOff>
    </xdr:to>
    <xdr:graphicFrame macro="">
      <xdr:nvGraphicFramePr>
        <xdr:cNvPr id="7" name="Chart 6">
          <a:extLst>
            <a:ext uri="{FF2B5EF4-FFF2-40B4-BE49-F238E27FC236}">
              <a16:creationId xmlns:a16="http://schemas.microsoft.com/office/drawing/2014/main" id="{04A4D188-E778-45CF-9033-0A1855A1B2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37</xdr:row>
      <xdr:rowOff>0</xdr:rowOff>
    </xdr:from>
    <xdr:to>
      <xdr:col>12</xdr:col>
      <xdr:colOff>208643</xdr:colOff>
      <xdr:row>53</xdr:row>
      <xdr:rowOff>21998</xdr:rowOff>
    </xdr:to>
    <xdr:graphicFrame macro="">
      <xdr:nvGraphicFramePr>
        <xdr:cNvPr id="8" name="Chart 7">
          <a:extLst>
            <a:ext uri="{FF2B5EF4-FFF2-40B4-BE49-F238E27FC236}">
              <a16:creationId xmlns:a16="http://schemas.microsoft.com/office/drawing/2014/main" id="{9C2C2BB9-121E-4004-BB47-C829D28342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370417</xdr:colOff>
      <xdr:row>35</xdr:row>
      <xdr:rowOff>63499</xdr:rowOff>
    </xdr:from>
    <xdr:to>
      <xdr:col>24</xdr:col>
      <xdr:colOff>74083</xdr:colOff>
      <xdr:row>56</xdr:row>
      <xdr:rowOff>21166</xdr:rowOff>
    </xdr:to>
    <xdr:graphicFrame macro="">
      <xdr:nvGraphicFramePr>
        <xdr:cNvPr id="9" name="Chart 8">
          <a:extLst>
            <a:ext uri="{FF2B5EF4-FFF2-40B4-BE49-F238E27FC236}">
              <a16:creationId xmlns:a16="http://schemas.microsoft.com/office/drawing/2014/main" id="{BBA5BF4F-B7EE-405B-84AB-75D36EE51A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84667</xdr:colOff>
      <xdr:row>56</xdr:row>
      <xdr:rowOff>10583</xdr:rowOff>
    </xdr:from>
    <xdr:to>
      <xdr:col>24</xdr:col>
      <xdr:colOff>155727</xdr:colOff>
      <xdr:row>76</xdr:row>
      <xdr:rowOff>74082</xdr:rowOff>
    </xdr:to>
    <xdr:graphicFrame macro="">
      <xdr:nvGraphicFramePr>
        <xdr:cNvPr id="10" name="Chart 9">
          <a:extLst>
            <a:ext uri="{FF2B5EF4-FFF2-40B4-BE49-F238E27FC236}">
              <a16:creationId xmlns:a16="http://schemas.microsoft.com/office/drawing/2014/main" id="{640B5FE2-E552-4BC5-9265-7C70A552FC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universitytasmania-my.sharepoint.com/personal/cathryn_wynnedwards_utas_edu_au/Documents/sediment%20trap%20lab%20proc/2021_saz23/2021_saz23_47_sed_ver1.xlsx" TargetMode="External"/><Relationship Id="rId1" Type="http://schemas.openxmlformats.org/officeDocument/2006/relationships/externalLinkPath" Target="/personal/cathryn_wynnedwards_utas_edu_au/Documents/sediment%20trap%20lab%20proc/2021_saz23/2021_saz23_47_sed_ver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9bY0WLRLQU2HX6rfSm_IXmVj6wy2zhxBlDuE1vFLHTUx_6nGqd6_RLEcAbxPg59f" itemId="01NFK2GUDF2IFKX5W3RNAYAE6AK2VJGTR2">
      <xxl21:absoluteUrl r:id="rId2"/>
    </xxl21:alternateUrls>
    <sheetNames>
      <sheetName val="cup photo labels"/>
      <sheetName val="notes"/>
      <sheetName val="prep brines"/>
      <sheetName val="Schedule and logs"/>
      <sheetName val="sample processing comments"/>
      <sheetName val="mass filt"/>
      <sheetName val="pH_Sal"/>
      <sheetName val="PIC weights"/>
      <sheetName val="PIC data"/>
      <sheetName val="CHN raw data"/>
      <sheetName val="BSi data"/>
      <sheetName val="main"/>
      <sheetName val="report_47_flagged"/>
      <sheetName val="netcdf_format"/>
      <sheetName val="depths"/>
      <sheetName val="plots"/>
    </sheetNames>
    <sheetDataSet>
      <sheetData sheetId="0"/>
      <sheetData sheetId="1"/>
      <sheetData sheetId="2"/>
      <sheetData sheetId="3"/>
      <sheetData sheetId="4">
        <row r="30">
          <cell r="B30" t="str">
            <v>47_2000</v>
          </cell>
        </row>
        <row r="31">
          <cell r="B31" t="str">
            <v>47_2000</v>
          </cell>
        </row>
        <row r="32">
          <cell r="B32" t="str">
            <v>47_2000</v>
          </cell>
        </row>
        <row r="33">
          <cell r="B33" t="str">
            <v>47_2000</v>
          </cell>
        </row>
        <row r="34">
          <cell r="B34" t="str">
            <v>47_2000</v>
          </cell>
        </row>
        <row r="35">
          <cell r="B35" t="str">
            <v>47_2000</v>
          </cell>
        </row>
        <row r="36">
          <cell r="B36" t="str">
            <v>47_2000</v>
          </cell>
        </row>
        <row r="37">
          <cell r="B37" t="str">
            <v>47_2000</v>
          </cell>
        </row>
        <row r="38">
          <cell r="B38" t="str">
            <v>47_2000</v>
          </cell>
        </row>
        <row r="39">
          <cell r="B39" t="str">
            <v>47_2000</v>
          </cell>
        </row>
        <row r="40">
          <cell r="B40" t="str">
            <v>47_2000</v>
          </cell>
        </row>
        <row r="41">
          <cell r="B41" t="str">
            <v>47_2000</v>
          </cell>
        </row>
        <row r="42">
          <cell r="B42" t="str">
            <v>47_2000</v>
          </cell>
        </row>
        <row r="44">
          <cell r="B44" t="str">
            <v>47_2000</v>
          </cell>
        </row>
        <row r="45">
          <cell r="B45" t="str">
            <v>47_2000</v>
          </cell>
        </row>
        <row r="46">
          <cell r="B46" t="str">
            <v>47_2000</v>
          </cell>
        </row>
        <row r="47">
          <cell r="B47" t="str">
            <v>47_2000</v>
          </cell>
        </row>
        <row r="48">
          <cell r="B48" t="str">
            <v>47_2000</v>
          </cell>
        </row>
        <row r="49">
          <cell r="B49" t="str">
            <v>47_2000</v>
          </cell>
        </row>
        <row r="50">
          <cell r="B50" t="str">
            <v>47_2000</v>
          </cell>
        </row>
        <row r="54">
          <cell r="B54" t="str">
            <v>47_3800</v>
          </cell>
        </row>
        <row r="55">
          <cell r="B55" t="str">
            <v>47_3800</v>
          </cell>
        </row>
        <row r="56">
          <cell r="B56" t="str">
            <v>47_3800</v>
          </cell>
        </row>
        <row r="57">
          <cell r="B57" t="str">
            <v>47_3800</v>
          </cell>
        </row>
        <row r="58">
          <cell r="B58" t="str">
            <v>47_3800</v>
          </cell>
        </row>
        <row r="59">
          <cell r="B59" t="str">
            <v>47_3800</v>
          </cell>
        </row>
        <row r="60">
          <cell r="B60" t="str">
            <v>47_3800</v>
          </cell>
        </row>
        <row r="61">
          <cell r="B61" t="str">
            <v>47_3800</v>
          </cell>
        </row>
        <row r="62">
          <cell r="B62" t="str">
            <v>47_3800</v>
          </cell>
        </row>
        <row r="63">
          <cell r="B63" t="str">
            <v>47_3800</v>
          </cell>
        </row>
        <row r="64">
          <cell r="B64" t="str">
            <v>47_3800</v>
          </cell>
        </row>
        <row r="65">
          <cell r="B65" t="str">
            <v>47_3800</v>
          </cell>
        </row>
        <row r="66">
          <cell r="B66" t="str">
            <v>47_3800</v>
          </cell>
        </row>
        <row r="67">
          <cell r="B67" t="str">
            <v>47_3800</v>
          </cell>
        </row>
        <row r="68">
          <cell r="B68" t="str">
            <v>47_3800</v>
          </cell>
        </row>
        <row r="69">
          <cell r="B69" t="str">
            <v>47_3800</v>
          </cell>
        </row>
        <row r="70">
          <cell r="B70" t="str">
            <v>47_3800</v>
          </cell>
        </row>
        <row r="71">
          <cell r="B71" t="str">
            <v>47_3800</v>
          </cell>
        </row>
        <row r="72">
          <cell r="B72" t="str">
            <v>47_3800</v>
          </cell>
        </row>
        <row r="73">
          <cell r="B73" t="str">
            <v>47_3800</v>
          </cell>
        </row>
        <row r="74">
          <cell r="B74" t="str">
            <v>47_3800</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persons/person.xml><?xml version="1.0" encoding="utf-8"?>
<personList xmlns="http://schemas.microsoft.com/office/spreadsheetml/2018/threadedcomments" xmlns:x="http://schemas.openxmlformats.org/spreadsheetml/2006/main">
  <person displayName="Cathryn Wynn-Edwards" id="{EA50E0F4-71C5-4F8A-82F6-97D726988E74}" userId="S::wyn028@csiro.au::a8684030-b961-4440-92ee-d7eb100364bc" providerId="AD"/>
  <person displayName="Gemma Woodward" id="{D5A7BF83-EDF6-4EB2-9005-61D52D70A852}" userId="S::Gemma.Woodward@utas.edu.au::845a9ce8-7428-424d-9a1e-761037a8a19b" providerId="AD"/>
  <person displayName="Cathryn Wynn-Edwards" id="{80B29E3B-B9AB-4554-BB5D-DF23516F9EC3}" userId="S::Cathryn.WynnEdwards@utas.edu.au::9c2180b6-ad09-41fe-a2e9-98fe686191a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48" dT="2024-06-11T03:10:48.72" personId="{EA50E0F4-71C5-4F8A-82F6-97D726988E74}" id="{B3977FC7-5C35-4C65-9488-9A883D758501}">
    <text>Is this correct or did you combine all of the splits, or never even split the &lt;1mm fractions?</text>
  </threadedComment>
</ThreadedComments>
</file>

<file path=xl/threadedComments/threadedComment2.xml><?xml version="1.0" encoding="utf-8"?>
<ThreadedComments xmlns="http://schemas.microsoft.com/office/spreadsheetml/2018/threadedcomments" xmlns:x="http://schemas.openxmlformats.org/spreadsheetml/2006/main">
  <threadedComment ref="E2" dT="2023-07-07T06:38:55.53" personId="{D5A7BF83-EDF6-4EB2-9005-61D52D70A852}" id="{B2254075-B804-4881-8B9C-8297DD5729CD}">
    <text>Conversion equation from https://sciencing.com/convert-specific-conductivity-salinity-5915328.html</text>
    <extLst>
      <x:ext xmlns:xltc2="http://schemas.microsoft.com/office/spreadsheetml/2020/threadedcomments2" uri="{F7C98A9C-CBB3-438F-8F68-D28B6AF4A901}">
        <xltc2:checksum>2778578987</xltc2:checksum>
        <xltc2:hyperlink startIndex="25" length="73" url="https://sciencing.com/convert-specific-conductivity-salinity-5915328.html"/>
      </x:ext>
    </extLst>
  </threadedComment>
</ThreadedComments>
</file>

<file path=xl/threadedComments/threadedComment3.xml><?xml version="1.0" encoding="utf-8"?>
<ThreadedComments xmlns="http://schemas.microsoft.com/office/spreadsheetml/2018/threadedcomments" xmlns:x="http://schemas.openxmlformats.org/spreadsheetml/2006/main">
  <threadedComment ref="M8" dT="2024-09-06T01:45:11.57" personId="{80B29E3B-B9AB-4554-BB5D-DF23516F9EC3}" id="{10F605F3-BE9B-4879-BD21-F1CB72021FF4}">
    <text>Average of duplicates</text>
  </threadedComment>
  <threadedComment ref="N8" dT="2024-09-06T01:45:16.89" personId="{80B29E3B-B9AB-4554-BB5D-DF23516F9EC3}" id="{BAFA2492-01C3-4937-9839-8D3D4601CBDB}">
    <text>Average of duplicates</text>
  </threadedComment>
  <threadedComment ref="O8" dT="2024-09-06T01:45:22.91" personId="{80B29E3B-B9AB-4554-BB5D-DF23516F9EC3}" id="{5D227335-DA52-4EB3-80CB-586BB00AD5E4}">
    <text>Average of duplicates</text>
  </threadedComment>
  <threadedComment ref="R9" dT="2022-06-21T05:16:05.85" personId="{80B29E3B-B9AB-4554-BB5D-DF23516F9EC3}" id="{CF044CF0-65B6-468E-A48F-6A5DFD22AC4F}">
    <text>average of duplicate measurement</text>
  </threadedComment>
  <threadedComment ref="S9" dT="2022-06-21T05:15:18.92" personId="{80B29E3B-B9AB-4554-BB5D-DF23516F9EC3}" id="{EB8615CD-7E30-4B63-9306-2479B6D4FF5B}">
    <text>average of duplicate measurement</text>
  </threadedComment>
  <threadedComment ref="M12" dT="2024-09-06T01:46:46.40" personId="{80B29E3B-B9AB-4554-BB5D-DF23516F9EC3}" id="{698BCB22-2998-4E43-9A6D-D22533DD0D97}">
    <text>Average of duplicates</text>
  </threadedComment>
  <threadedComment ref="N12" dT="2024-09-06T01:46:57.24" personId="{80B29E3B-B9AB-4554-BB5D-DF23516F9EC3}" id="{8E6B4835-E7C4-44B0-8C74-52EB79229616}">
    <text>Average of duplicates</text>
  </threadedComment>
  <threadedComment ref="O12" dT="2024-09-06T01:47:03.85" personId="{80B29E3B-B9AB-4554-BB5D-DF23516F9EC3}" id="{AAAFC12E-D531-4770-AC1B-726201C61069}">
    <text>Average of duplicates</text>
  </threadedComment>
  <threadedComment ref="R18" dT="2022-06-21T05:16:20.83" personId="{80B29E3B-B9AB-4554-BB5D-DF23516F9EC3}" id="{A09A1314-7616-4277-83A0-E55E36DBEED9}">
    <text>average of duplicate measurement</text>
  </threadedComment>
  <threadedComment ref="S18" dT="2022-06-21T05:15:07.96" personId="{80B29E3B-B9AB-4554-BB5D-DF23516F9EC3}" id="{D9FEC44F-CA41-47A5-B245-1DD00C5970F6}">
    <text>average of duplicate measurement</text>
  </threadedComment>
  <threadedComment ref="M20" dT="2024-04-18T00:04:23.39" personId="{D5A7BF83-EDF6-4EB2-9005-61D52D70A852}" id="{9478C28A-EBD3-4939-9924-74277F32BF56}">
    <text>Average of 2</text>
  </threadedComment>
  <threadedComment ref="N20" dT="2024-04-18T00:19:25.23" personId="{D5A7BF83-EDF6-4EB2-9005-61D52D70A852}" id="{C181CC9B-FC68-4EC4-B2E9-446F70D4F6A2}">
    <text>duplicate</text>
  </threadedComment>
  <threadedComment ref="O20" dT="2024-04-18T00:19:52.90" personId="{D5A7BF83-EDF6-4EB2-9005-61D52D70A852}" id="{C4DD8C95-267F-4B8A-8651-B1ACAE0A3FE9}">
    <text>duplicate</text>
  </threadedComment>
  <threadedComment ref="AB27" dT="2024-04-18T02:12:56.69" personId="{D5A7BF83-EDF6-4EB2-9005-61D52D70A852}" id="{55A201EB-3973-485C-9451-CBDA2B344C0E}">
    <text>Used from run1</text>
  </threadedComment>
  <threadedComment ref="AC27" dT="2024-04-18T02:13:11.21" personId="{D5A7BF83-EDF6-4EB2-9005-61D52D70A852}" id="{A0063A7D-A2DC-4BE2-8389-BD032969860A}">
    <text xml:space="preserve">Used from run 1 </text>
  </threadedComment>
  <threadedComment ref="M33" dT="2024-04-18T00:04:08.01" personId="{D5A7BF83-EDF6-4EB2-9005-61D52D70A852}" id="{1470FB81-D0FB-4A08-AF6E-3A051AD71AC0}">
    <text>Average of 2</text>
  </threadedComment>
  <threadedComment ref="N33" dT="2024-04-18T00:18:13.58" personId="{D5A7BF83-EDF6-4EB2-9005-61D52D70A852}" id="{79A61E41-989E-453A-B86B-284965E9B9B5}">
    <text>duplicate</text>
  </threadedComment>
  <threadedComment ref="O33" dT="2024-04-18T00:18:42.03" personId="{D5A7BF83-EDF6-4EB2-9005-61D52D70A852}" id="{C5460CCD-5C4A-4112-AE34-C462D9A3075D}">
    <text>duplicate</text>
  </threadedComment>
  <threadedComment ref="R33" dT="2022-06-21T05:17:23.74" personId="{80B29E3B-B9AB-4554-BB5D-DF23516F9EC3}" id="{B2289B58-BA3F-4CF7-A5F8-A705043D0067}">
    <text>average of duplicate measurement</text>
  </threadedComment>
  <threadedComment ref="S33" dT="2022-06-21T05:16:49.76" personId="{80B29E3B-B9AB-4554-BB5D-DF23516F9EC3}" id="{C260CE5E-3A9C-4BF1-89C8-341F65CB2257}">
    <text>average of duplicate measurement</text>
  </threadedComment>
  <threadedComment ref="M38" dT="2024-04-18T00:03:54.75" personId="{D5A7BF83-EDF6-4EB2-9005-61D52D70A852}" id="{4D0EB33D-A845-48EC-9775-3D154C609774}">
    <text>Average of 2</text>
  </threadedComment>
  <threadedComment ref="M38" dT="2024-06-11T02:02:22.24" personId="{EA50E0F4-71C5-4F8A-82F6-97D726988E74}" id="{F95053A8-815D-4C0D-A125-3578E0BA2AFD}" parentId="{4D0EB33D-A845-48EC-9775-3D154C609774}">
    <text>Only run 1 will be used, since weights of rerun cannot be verified</text>
  </threadedComment>
  <threadedComment ref="N38" dT="2024-04-18T00:18:19.21" personId="{D5A7BF83-EDF6-4EB2-9005-61D52D70A852}" id="{A284372E-51AA-4A40-B9C3-C93D8E11F335}">
    <text>duplicate</text>
  </threadedComment>
  <threadedComment ref="O38" dT="2024-04-18T00:18:48.47" personId="{D5A7BF83-EDF6-4EB2-9005-61D52D70A852}" id="{83B4B3A1-80F3-479F-A92D-8A1FCA3594C1}">
    <text>duplicate</text>
  </threadedComment>
  <threadedComment ref="M42" dT="2024-04-18T00:03:43.17" personId="{D5A7BF83-EDF6-4EB2-9005-61D52D70A852}" id="{FD29F109-A6E0-4B94-8AD3-115118C20B39}">
    <text>Average of 2</text>
  </threadedComment>
  <threadedComment ref="M42" dT="2024-06-11T02:03:03.34" personId="{EA50E0F4-71C5-4F8A-82F6-97D726988E74}" id="{AA0045D7-D3CB-4A59-ADFF-F46E45333271}" parentId="{FD29F109-A6E0-4B94-8AD3-115118C20B39}">
    <text>Only run 1 will be used, since weights of rerun cannot be verified</text>
  </threadedComment>
  <threadedComment ref="N42" dT="2024-04-18T00:18:25.03" personId="{D5A7BF83-EDF6-4EB2-9005-61D52D70A852}" id="{F8CA0952-735C-45D5-B683-CFCE8D77D295}">
    <text>duplicate</text>
  </threadedComment>
  <threadedComment ref="O42" dT="2024-04-18T00:18:54.01" personId="{D5A7BF83-EDF6-4EB2-9005-61D52D70A852}" id="{14B5ADA8-93DE-486A-BB3A-D5BEE1FC659D}">
    <text>duplicate</text>
  </threadedComment>
  <threadedComment ref="M43" dT="2024-04-18T00:03:33.66" personId="{D5A7BF83-EDF6-4EB2-9005-61D52D70A852}" id="{AF0859C0-6CBA-4B22-8B32-CC9FCA9032BF}">
    <text>Average of 2</text>
  </threadedComment>
  <threadedComment ref="N43" dT="2024-04-18T00:18:34.81" personId="{D5A7BF83-EDF6-4EB2-9005-61D52D70A852}" id="{03817F99-CFB1-45E3-98D7-745D860A6870}">
    <text>duplicate</text>
  </threadedComment>
  <threadedComment ref="O43" dT="2024-04-18T00:18:59.34" personId="{D5A7BF83-EDF6-4EB2-9005-61D52D70A852}" id="{B3213D49-5E71-493A-9FD2-BCC316A31B4E}">
    <text>duplicate</text>
  </threadedComment>
  <threadedComment ref="R43" dT="2023-06-16T05:58:55.00" personId="{D5A7BF83-EDF6-4EB2-9005-61D52D70A852}" id="{207115CD-FE05-4FDA-BE1F-38430B68EF5D}">
    <text>Average of replicates</text>
  </threadedComment>
  <threadedComment ref="S43" dT="2023-06-16T05:59:06.37" personId="{D5A7BF83-EDF6-4EB2-9005-61D52D70A852}" id="{605100AD-0BA1-48EC-925C-20806508797A}">
    <text>Average of replicates</text>
  </threadedComment>
  <threadedComment ref="E46" dT="2024-06-11T03:11:04.01" personId="{EA50E0F4-71C5-4F8A-82F6-97D726988E74}" id="{A8B047F0-ED9E-4A52-BB09-2F8B9259B3CB}">
    <text>See comment on filtration tab!</text>
  </threadedComment>
  <threadedComment ref="R57" dT="2022-06-21T05:18:43.23" personId="{80B29E3B-B9AB-4554-BB5D-DF23516F9EC3}" id="{87BEF144-4BB9-47BC-8C90-A727E510255D}">
    <text>average of duplicate measurement</text>
  </threadedComment>
  <threadedComment ref="S57" dT="2022-06-21T05:18:17.63" personId="{80B29E3B-B9AB-4554-BB5D-DF23516F9EC3}" id="{AD6C950B-FBCD-4EB3-8CF9-AB2E9ED8E92E}">
    <text>average of duplicate measurement</text>
  </threadedComment>
  <threadedComment ref="R66" dT="2022-06-21T05:18:59.49" personId="{80B29E3B-B9AB-4554-BB5D-DF23516F9EC3}" id="{24F46A7C-83B4-4B24-AABC-1FECE7CE9F4C}">
    <text>average of duplicate measurement</text>
  </threadedComment>
  <threadedComment ref="S66" dT="2022-06-21T05:18:30.08" personId="{80B29E3B-B9AB-4554-BB5D-DF23516F9EC3}" id="{7BB9A6C1-DA01-4BE5-8726-D0177597D46B}">
    <text>average of duplicate measurement</text>
  </threadedComment>
  <threadedComment ref="M69" dT="2024-04-18T00:01:05.70" personId="{D5A7BF83-EDF6-4EB2-9005-61D52D70A852}" id="{2FCCD2EB-3B06-415A-8853-2BFD4BF5A723}">
    <text>Average of 3</text>
  </threadedComment>
  <threadedComment ref="M69" dT="2024-06-11T02:03:57.11" personId="{EA50E0F4-71C5-4F8A-82F6-97D726988E74}" id="{9AF6B788-1BA8-490C-90A4-A298C77D6B0E}" parentId="{2FCCD2EB-3B06-415A-8853-2BFD4BF5A723}">
    <text>Only run 1 will be used, since weights of rerun cannot be verified</text>
  </threadedComment>
  <threadedComment ref="N69" dT="2024-04-18T00:01:05.70" personId="{D5A7BF83-EDF6-4EB2-9005-61D52D70A852}" id="{A849C064-6399-48E5-8F18-738B711196EA}">
    <text>Average of 3</text>
  </threadedComment>
  <threadedComment ref="O69" dT="2024-04-18T00:01:05.70" personId="{D5A7BF83-EDF6-4EB2-9005-61D52D70A852}" id="{17AEC38B-FB39-4CCE-A0A8-4346F67E1BB8}">
    <text>Average of 3</text>
  </threadedComment>
  <threadedComment ref="M71" dT="2024-04-18T00:00:52.64" personId="{D5A7BF83-EDF6-4EB2-9005-61D52D70A852}" id="{229A4FC0-3ECC-4E60-9666-0507F6ED1894}">
    <text>Average of 4</text>
  </threadedComment>
  <threadedComment ref="M71" dT="2024-06-11T02:05:13.17" personId="{EA50E0F4-71C5-4F8A-82F6-97D726988E74}" id="{5B495BDE-65DE-4338-B6A1-12E47F955210}" parentId="{229A4FC0-3ECC-4E60-9666-0507F6ED1894}">
    <text>Only run 1 will be used, since weights of rerun cannot be verified</text>
  </threadedComment>
  <threadedComment ref="N71" dT="2024-04-18T00:00:52.64" personId="{D5A7BF83-EDF6-4EB2-9005-61D52D70A852}" id="{B5B83535-50D3-4987-84AA-9F4242EF61E3}">
    <text>Average of 4</text>
  </threadedComment>
  <threadedComment ref="O71" dT="2024-04-18T00:00:52.64" personId="{D5A7BF83-EDF6-4EB2-9005-61D52D70A852}" id="{B18D0516-7487-4F33-BF96-AF96E3FABB34}">
    <text>Average of 2</text>
  </threadedComment>
</ThreadedComments>
</file>

<file path=xl/threadedComments/threadedComment4.xml><?xml version="1.0" encoding="utf-8"?>
<ThreadedComments xmlns="http://schemas.microsoft.com/office/spreadsheetml/2018/threadedcomments" xmlns:x="http://schemas.openxmlformats.org/spreadsheetml/2006/main">
  <threadedComment ref="F9" dT="2024-09-23T22:46:49.48" personId="{80B29E3B-B9AB-4554-BB5D-DF23516F9EC3}" id="{A4D476F7-7D06-4853-8303-721D8080F89C}">
    <text>Fish!</text>
  </threadedComment>
  <threadedComment ref="J27" dT="2024-09-06T02:56:07.93" personId="{80B29E3B-B9AB-4554-BB5D-DF23516F9EC3}" id="{7AA7CADB-E410-403D-A05F-120ADF502F07}">
    <text>No handwritten notes, hence flag 3 for all of 2000 and 3800m cups</text>
  </threadedComment>
  <threadedComment ref="G42" dT="2024-06-11T02:33:05.38" personId="{EA50E0F4-71C5-4F8A-82F6-97D726988E74}" id="{DECABED5-0D1C-4CA8-83C7-645455415CAD}">
    <text>This is from all four cups, so the number could be divided by 4 but this number does not go into the netCDF file</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9.bin"/><Relationship Id="rId4" Type="http://schemas.microsoft.com/office/2017/10/relationships/threadedComment" Target="../threadedComments/threadedComment3.xml"/></Relationships>
</file>

<file path=xl/worksheets/_rels/sheet13.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49371-6FB9-4BD6-9E42-C8D6A8D6988F}">
  <dimension ref="A1:BB335"/>
  <sheetViews>
    <sheetView topLeftCell="O1" zoomScale="85" zoomScaleNormal="85" workbookViewId="0">
      <selection activeCell="AD20" sqref="AD20"/>
    </sheetView>
  </sheetViews>
  <sheetFormatPr defaultRowHeight="14.5"/>
  <cols>
    <col min="1" max="1" width="23.26953125" style="148" customWidth="1"/>
    <col min="2" max="2" width="17.54296875" bestFit="1" customWidth="1"/>
    <col min="3" max="3" width="22.26953125" bestFit="1" customWidth="1"/>
    <col min="8" max="8" width="9.1796875" style="283"/>
    <col min="12" max="12" width="9.1796875" style="277"/>
    <col min="14" max="14" width="14.54296875" bestFit="1" customWidth="1"/>
    <col min="21" max="22" width="10.7265625" bestFit="1" customWidth="1"/>
    <col min="24" max="24" width="19.54296875" customWidth="1"/>
    <col min="25" max="25" width="12.54296875" bestFit="1" customWidth="1"/>
    <col min="28" max="28" width="10.81640625" bestFit="1" customWidth="1"/>
  </cols>
  <sheetData>
    <row r="1" spans="1:54" s="234" customFormat="1" ht="37.5" customHeight="1">
      <c r="A1" s="336" t="s">
        <v>0</v>
      </c>
      <c r="B1" s="337"/>
      <c r="C1" s="337"/>
      <c r="D1" s="337"/>
      <c r="E1" s="337"/>
      <c r="F1" s="337"/>
      <c r="G1" s="337"/>
      <c r="H1" s="337"/>
      <c r="I1" s="337"/>
      <c r="J1" s="337"/>
      <c r="K1" s="337"/>
      <c r="L1" s="277"/>
      <c r="M1" s="337"/>
      <c r="N1" s="337"/>
      <c r="O1" s="337"/>
      <c r="P1" s="337"/>
      <c r="Q1" s="337"/>
      <c r="R1" s="337"/>
      <c r="S1" s="337"/>
      <c r="T1" s="337"/>
      <c r="U1" s="337"/>
      <c r="V1" s="337"/>
      <c r="W1" s="337"/>
      <c r="X1" s="337"/>
      <c r="Y1" s="337"/>
      <c r="Z1" s="337"/>
      <c r="AA1" s="337"/>
      <c r="AB1" s="337"/>
      <c r="AC1" s="337"/>
      <c r="AD1" s="337"/>
      <c r="AE1" s="337"/>
      <c r="AF1" s="337"/>
      <c r="AG1" s="337"/>
      <c r="AH1" s="337"/>
      <c r="AI1" s="337"/>
      <c r="AJ1" s="337"/>
      <c r="AK1" s="337"/>
      <c r="AL1" s="337"/>
      <c r="AM1" s="337"/>
      <c r="AN1" s="337"/>
      <c r="AO1" s="337"/>
      <c r="AP1" s="337"/>
      <c r="AQ1" s="337"/>
      <c r="AR1" s="337"/>
      <c r="AS1" s="337"/>
      <c r="AT1" s="337"/>
      <c r="AU1" s="337"/>
      <c r="AV1" s="337"/>
      <c r="AW1" s="337"/>
      <c r="AX1" s="337"/>
      <c r="AY1" s="337"/>
      <c r="AZ1" s="337"/>
      <c r="BA1" s="337"/>
      <c r="BB1" s="337"/>
    </row>
    <row r="2" spans="1:54" s="240" customFormat="1" ht="15" thickBot="1">
      <c r="A2"/>
      <c r="B2"/>
      <c r="C2"/>
      <c r="D2"/>
      <c r="E2"/>
      <c r="F2"/>
      <c r="G2"/>
      <c r="H2"/>
      <c r="I2"/>
      <c r="J2"/>
      <c r="K2"/>
      <c r="L2" s="277"/>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row>
    <row r="3" spans="1:54" ht="29">
      <c r="A3" s="338"/>
      <c r="B3" s="339"/>
      <c r="C3" s="234"/>
      <c r="D3" s="235" t="s">
        <v>1</v>
      </c>
      <c r="E3" s="236" t="s">
        <v>2</v>
      </c>
      <c r="F3" s="236" t="s">
        <v>1</v>
      </c>
      <c r="G3" s="237"/>
      <c r="H3" s="236"/>
      <c r="I3" s="236" t="s">
        <v>3</v>
      </c>
      <c r="J3" s="237"/>
      <c r="K3" s="527" t="s">
        <v>4</v>
      </c>
      <c r="L3" s="528"/>
      <c r="M3" s="527" t="s">
        <v>5</v>
      </c>
      <c r="N3" s="529"/>
      <c r="O3" s="238"/>
      <c r="P3" s="238"/>
      <c r="Q3" s="238"/>
      <c r="R3" s="238"/>
      <c r="S3" s="234"/>
      <c r="T3" s="234"/>
      <c r="U3" s="234"/>
      <c r="X3" s="292" t="s">
        <v>6</v>
      </c>
      <c r="Y3" s="293"/>
      <c r="Z3" s="293"/>
      <c r="AA3" s="293"/>
      <c r="AB3" s="294"/>
    </row>
    <row r="4" spans="1:54" ht="87">
      <c r="A4" s="340" t="s">
        <v>7</v>
      </c>
      <c r="B4" s="341" t="s">
        <v>8</v>
      </c>
      <c r="C4" s="239" t="s">
        <v>9</v>
      </c>
      <c r="D4" s="240" t="s">
        <v>10</v>
      </c>
      <c r="E4" s="235"/>
      <c r="F4" s="235" t="s">
        <v>11</v>
      </c>
      <c r="G4" s="235" t="s">
        <v>12</v>
      </c>
      <c r="H4" s="235" t="s">
        <v>13</v>
      </c>
      <c r="I4" s="235" t="s">
        <v>14</v>
      </c>
      <c r="J4" s="235" t="s">
        <v>15</v>
      </c>
      <c r="K4" s="241" t="s">
        <v>16</v>
      </c>
      <c r="L4" s="342" t="s">
        <v>17</v>
      </c>
      <c r="M4" s="235" t="s">
        <v>16</v>
      </c>
      <c r="N4" s="242" t="s">
        <v>18</v>
      </c>
      <c r="O4" s="235" t="s">
        <v>19</v>
      </c>
      <c r="P4" s="235" t="s">
        <v>20</v>
      </c>
      <c r="Q4" s="235" t="s">
        <v>21</v>
      </c>
      <c r="R4" s="235" t="s">
        <v>22</v>
      </c>
      <c r="S4" s="239" t="s">
        <v>23</v>
      </c>
      <c r="T4" s="239" t="s">
        <v>24</v>
      </c>
      <c r="U4" s="240" t="s">
        <v>25</v>
      </c>
      <c r="X4" s="295" t="s">
        <v>26</v>
      </c>
      <c r="Y4" s="296" t="s">
        <v>27</v>
      </c>
      <c r="Z4" s="297" t="s">
        <v>28</v>
      </c>
      <c r="AA4" s="297" t="s">
        <v>29</v>
      </c>
      <c r="AB4" s="298" t="s">
        <v>30</v>
      </c>
      <c r="AC4" s="343" t="s">
        <v>31</v>
      </c>
      <c r="AD4" s="344" t="s">
        <v>32</v>
      </c>
      <c r="AE4" s="343" t="s">
        <v>33</v>
      </c>
      <c r="AF4" s="343" t="s">
        <v>18</v>
      </c>
      <c r="AG4" s="343" t="s">
        <v>34</v>
      </c>
      <c r="AJ4" s="524" t="s">
        <v>35</v>
      </c>
      <c r="AK4" s="2"/>
      <c r="AL4" s="2"/>
      <c r="AM4" s="2"/>
    </row>
    <row r="5" spans="1:54" ht="15.5">
      <c r="A5" t="s">
        <v>36</v>
      </c>
      <c r="H5"/>
      <c r="X5" s="299"/>
      <c r="Y5" s="300"/>
      <c r="Z5" s="301" t="e">
        <f>MAX(Y15,Y54,Y91,Y128,Y162,Y185,Y213)</f>
        <v>#VALUE!</v>
      </c>
      <c r="AA5" s="301" t="e">
        <f>MIN(Y15,Y54,Y91,Y128,Y162,Y185,Y213)</f>
        <v>#VALUE!</v>
      </c>
      <c r="AB5" s="302" t="e">
        <f>(Z5/12.01)*100.0869</f>
        <v>#VALUE!</v>
      </c>
      <c r="AC5" s="343"/>
      <c r="AD5" s="344"/>
      <c r="AE5" s="343"/>
      <c r="AF5" s="343"/>
      <c r="AG5" s="343"/>
      <c r="AJ5" s="524"/>
      <c r="AK5" s="52" t="s">
        <v>37</v>
      </c>
      <c r="AL5" s="2"/>
      <c r="AM5" s="52"/>
    </row>
    <row r="6" spans="1:54" ht="16" thickBot="1">
      <c r="A6" t="s">
        <v>38</v>
      </c>
      <c r="H6"/>
      <c r="X6" s="525" t="s">
        <v>39</v>
      </c>
      <c r="Y6" s="526"/>
      <c r="Z6" s="303" t="e">
        <f>(Z5/AK15)*100</f>
        <v>#VALUE!</v>
      </c>
      <c r="AA6" s="303" t="e">
        <f>(AA5/AK15)*100</f>
        <v>#VALUE!</v>
      </c>
      <c r="AB6" s="304" t="e">
        <f>(AB5/((AK15/12.01)*100.0869))*100</f>
        <v>#VALUE!</v>
      </c>
      <c r="AC6" s="343"/>
      <c r="AD6" s="344"/>
      <c r="AE6" s="343" t="s">
        <v>40</v>
      </c>
      <c r="AF6" s="343" t="s">
        <v>41</v>
      </c>
      <c r="AG6" s="343"/>
      <c r="AJ6" s="524"/>
      <c r="AK6" s="2"/>
      <c r="AL6" s="2"/>
      <c r="AM6" s="52" t="s">
        <v>42</v>
      </c>
    </row>
    <row r="7" spans="1:54" ht="15.5">
      <c r="A7" t="s">
        <v>43</v>
      </c>
      <c r="H7"/>
      <c r="AJ7" s="52" t="s">
        <v>44</v>
      </c>
      <c r="AK7" s="16">
        <f>AVERAGE(H8:H10,H16:H17,H20:H21,H28,H34,H36,H42:H44,H50:H51,H54:H55,H62,H69,H71,H76:H78,H84:H85,H88:H89,H94,H100,H102,H107:H109,H115:H116,H119:H120,H125,H130,H132,H137:H139,H145:H146,H149:H150,H155,H161,H163,H168:H170,H176:H177,H180:H181,H186,H190,H192,H197:H199,H205:H206,H209:H210,H214,H218,H220,H245:H247,H253:H254,H257:H258,H264,H270,H272,H277:H279,H285:H286,H291:H292,H297,H302,H304,H309:H311,H317:H318,H323:H324,H329,H333,H335)</f>
        <v>0.333397</v>
      </c>
      <c r="AL7" s="2"/>
      <c r="AM7" s="16">
        <f>(AK7/AK15)*100</f>
        <v>0.46947730084651279</v>
      </c>
    </row>
    <row r="8" spans="1:54" ht="46.5">
      <c r="A8" s="148">
        <v>45351</v>
      </c>
      <c r="B8">
        <v>1</v>
      </c>
      <c r="C8" t="s">
        <v>45</v>
      </c>
      <c r="H8">
        <v>0.1923</v>
      </c>
      <c r="X8" s="345">
        <f>A9</f>
        <v>45351</v>
      </c>
      <c r="AC8">
        <v>2022</v>
      </c>
      <c r="AD8" t="s">
        <v>46</v>
      </c>
      <c r="AE8">
        <v>1</v>
      </c>
      <c r="AF8">
        <f>L90</f>
        <v>79.788805573288499</v>
      </c>
      <c r="AH8" s="346" t="s">
        <v>47</v>
      </c>
      <c r="AJ8" s="52" t="s">
        <v>48</v>
      </c>
      <c r="AK8" s="16">
        <f>_xlfn.STDEV.P((H8:H10,H16:H17,H20:H21,H28,H34,H36,H42:H44,H50:H51,H54:H55,H62,H69,H71,H76:H78,H84:H85,H88:H89,H94,H100,H102,H107:H109,H115:H116,H119:H120,H125,H130,H132,H137:H139,H145:H146,H149:H150,H155,H161,H163,H168:H170,H176:H177,H180:H181,H186,H190,H192,H197:H199,H205:H206,H209:H210,H214,H218,H220,H245:H247,H253:H254,H257:H258,H264,H270,H272,H277:H279,H285:H286,H291:H292,H297,H302,H304,H309:H311,H317:H318,H323:H324,H329,H333,H335))</f>
        <v>0.16493681181288775</v>
      </c>
      <c r="AN8" s="129">
        <v>45356</v>
      </c>
      <c r="AP8">
        <v>1</v>
      </c>
    </row>
    <row r="9" spans="1:54" ht="15.5">
      <c r="A9" s="148">
        <v>45351</v>
      </c>
      <c r="B9">
        <v>2</v>
      </c>
      <c r="C9" t="s">
        <v>49</v>
      </c>
      <c r="H9">
        <v>0.32540000000000002</v>
      </c>
      <c r="X9" s="110">
        <f>((J10-INDEX(LINEST($H$10:$H$15,$G$10:$G$15),2))/INDEX(LINEST($H$10:$H$15,$G$10:$G$15),1)/100.09)*12.01</f>
        <v>2.812883284392724E-2</v>
      </c>
      <c r="Y9" s="110">
        <f>(J10-X9)^2</f>
        <v>6.37113973050909E-2</v>
      </c>
      <c r="AC9">
        <v>2022</v>
      </c>
      <c r="AD9" t="s">
        <v>46</v>
      </c>
      <c r="AE9">
        <v>2</v>
      </c>
      <c r="AF9">
        <f>L91</f>
        <v>77.884081075626099</v>
      </c>
      <c r="AJ9" s="52" t="s">
        <v>50</v>
      </c>
      <c r="AK9" s="2">
        <f>COUNT(H8:H10,H16:H17,H20:H21,H28,H34,H36,H42:H44,H50:H51,H54:H55,H62,H69,H71,H76:H78,H84:H85,H88:H89,H94,H100,H102,H107:H109,H115:H116,H119:H120,H125,H130,H132,H137:H139,H145:H146,H149:H150,H155,H161,H163,H168:H170,H176:H177,H180:H181,H186,H190,H192,H197:H199,H205:H206,H209:H210,H214,H218,H220,H245:H247,H253:H254,H257:H258,H264,H270,H272,H277:H279,H285:H286,H291:H292,H297,H302,H304,H309:H311,H317:H318,H323:H324,H329,H333,H335)</f>
        <v>100</v>
      </c>
      <c r="AN9" s="129">
        <v>45356</v>
      </c>
      <c r="AP9">
        <v>1</v>
      </c>
    </row>
    <row r="10" spans="1:54" ht="15.5">
      <c r="A10" s="148">
        <v>45351</v>
      </c>
      <c r="B10">
        <v>3</v>
      </c>
      <c r="C10" t="s">
        <v>51</v>
      </c>
      <c r="G10">
        <v>0</v>
      </c>
      <c r="H10">
        <v>0.2321</v>
      </c>
      <c r="I10">
        <v>0.28054000000000001</v>
      </c>
      <c r="J10">
        <v>0.28054000000000001</v>
      </c>
      <c r="X10" s="110">
        <f t="shared" ref="X10:X14" si="0">((J11-INDEX(LINEST($H$10:$H$15,$G$10:$G$15),2))/INDEX(LINEST($H$10:$H$15,$G$10:$G$15),1)/100.09)*12.01</f>
        <v>38.372566649614441</v>
      </c>
      <c r="Y10" s="110">
        <f t="shared" ref="Y10:Y13" si="1">(J11-X10)^2</f>
        <v>0.98804921947772628</v>
      </c>
      <c r="AC10">
        <v>2022</v>
      </c>
      <c r="AD10" t="s">
        <v>46</v>
      </c>
      <c r="AE10">
        <v>3</v>
      </c>
      <c r="AF10" s="277">
        <f>AVERAGE(L92,L95)</f>
        <v>70.410326660009275</v>
      </c>
      <c r="AG10" s="38" t="s">
        <v>52</v>
      </c>
      <c r="AH10" s="38">
        <f>((L92-L95)/AVERAGE(L92,L95))*100</f>
        <v>2.8023327256353339</v>
      </c>
      <c r="AJ10" s="52"/>
      <c r="AK10" s="2"/>
      <c r="AN10" s="129">
        <v>45356</v>
      </c>
      <c r="AP10">
        <v>2</v>
      </c>
    </row>
    <row r="11" spans="1:54">
      <c r="A11" s="148">
        <v>45351</v>
      </c>
      <c r="B11">
        <v>4</v>
      </c>
      <c r="C11" t="s">
        <v>53</v>
      </c>
      <c r="D11">
        <v>319.2</v>
      </c>
      <c r="G11">
        <v>319.13616000000002</v>
      </c>
      <c r="H11">
        <v>37.659100000000002</v>
      </c>
      <c r="I11">
        <v>0.28054000000000001</v>
      </c>
      <c r="J11">
        <v>37.37856</v>
      </c>
      <c r="K11">
        <v>321.12685259724225</v>
      </c>
      <c r="L11" s="277">
        <v>100.62377531810944</v>
      </c>
      <c r="M11">
        <v>311.50874857618652</v>
      </c>
      <c r="N11">
        <v>97.609982076674257</v>
      </c>
      <c r="O11">
        <v>128</v>
      </c>
      <c r="P11">
        <v>41.7</v>
      </c>
      <c r="Q11">
        <v>100</v>
      </c>
      <c r="R11">
        <v>3</v>
      </c>
      <c r="S11" t="s">
        <v>54</v>
      </c>
      <c r="T11" t="s">
        <v>54</v>
      </c>
      <c r="X11" s="110">
        <f t="shared" si="0"/>
        <v>125.41009380081971</v>
      </c>
      <c r="Y11" s="110">
        <f t="shared" si="1"/>
        <v>14.617116695730306</v>
      </c>
      <c r="AC11">
        <v>2022</v>
      </c>
      <c r="AD11" t="s">
        <v>46</v>
      </c>
      <c r="AE11">
        <v>4</v>
      </c>
      <c r="AF11">
        <f>L93</f>
        <v>31.299571301191897</v>
      </c>
      <c r="AN11" s="129">
        <v>45356</v>
      </c>
      <c r="AP11">
        <v>1</v>
      </c>
    </row>
    <row r="12" spans="1:54" ht="15.5">
      <c r="A12" s="148">
        <v>45351</v>
      </c>
      <c r="B12">
        <v>5</v>
      </c>
      <c r="C12" t="s">
        <v>55</v>
      </c>
      <c r="D12">
        <v>1059.4000000000001</v>
      </c>
      <c r="G12">
        <v>1059.18812</v>
      </c>
      <c r="H12">
        <v>121.8674</v>
      </c>
      <c r="I12">
        <v>0.28054000000000001</v>
      </c>
      <c r="J12">
        <v>121.58686</v>
      </c>
      <c r="K12">
        <v>1046.8169137670295</v>
      </c>
      <c r="L12" s="277">
        <v>98.832010480539523</v>
      </c>
      <c r="M12">
        <v>1013.2913253455454</v>
      </c>
      <c r="N12">
        <v>95.666794803697883</v>
      </c>
      <c r="O12">
        <v>128</v>
      </c>
      <c r="P12">
        <v>41.7</v>
      </c>
      <c r="Q12">
        <v>100</v>
      </c>
      <c r="R12">
        <v>3</v>
      </c>
      <c r="S12" t="s">
        <v>54</v>
      </c>
      <c r="T12" t="s">
        <v>54</v>
      </c>
      <c r="X12" s="110">
        <f t="shared" si="0"/>
        <v>258.07073829564689</v>
      </c>
      <c r="Y12" s="110">
        <f t="shared" si="1"/>
        <v>66.186007098941644</v>
      </c>
      <c r="AC12">
        <v>2022</v>
      </c>
      <c r="AD12" t="s">
        <v>46</v>
      </c>
      <c r="AE12">
        <v>5</v>
      </c>
      <c r="AF12">
        <f>L96</f>
        <v>51.235828006705972</v>
      </c>
      <c r="AJ12" s="2"/>
      <c r="AK12" s="2"/>
      <c r="AN12" s="129">
        <v>45356</v>
      </c>
      <c r="AP12">
        <v>1</v>
      </c>
    </row>
    <row r="13" spans="1:54" ht="15.5">
      <c r="A13" s="148">
        <v>45351</v>
      </c>
      <c r="B13">
        <v>6</v>
      </c>
      <c r="C13" t="s">
        <v>56</v>
      </c>
      <c r="D13">
        <v>2141.6</v>
      </c>
      <c r="G13">
        <v>2141.1716799999999</v>
      </c>
      <c r="H13">
        <v>250.2158</v>
      </c>
      <c r="I13">
        <v>0.28054000000000001</v>
      </c>
      <c r="J13">
        <v>249.93526</v>
      </c>
      <c r="K13">
        <v>2152.8974099537991</v>
      </c>
      <c r="L13" s="277">
        <v>100.54763147034519</v>
      </c>
      <c r="M13">
        <v>2082.9325706411323</v>
      </c>
      <c r="N13">
        <v>97.280035510330137</v>
      </c>
      <c r="O13">
        <v>128</v>
      </c>
      <c r="P13">
        <v>41.7</v>
      </c>
      <c r="Q13">
        <v>100</v>
      </c>
      <c r="R13">
        <v>3</v>
      </c>
      <c r="S13" t="s">
        <v>54</v>
      </c>
      <c r="T13" t="s">
        <v>54</v>
      </c>
      <c r="X13" s="110">
        <f t="shared" si="0"/>
        <v>344.35105158086782</v>
      </c>
      <c r="Y13" s="110">
        <f t="shared" si="1"/>
        <v>119.68560379777391</v>
      </c>
      <c r="AA13" s="52" t="s">
        <v>42</v>
      </c>
      <c r="AC13">
        <v>2022</v>
      </c>
      <c r="AD13" t="s">
        <v>46</v>
      </c>
      <c r="AE13">
        <v>6</v>
      </c>
      <c r="AF13">
        <f>L97</f>
        <v>63.485311744443059</v>
      </c>
      <c r="AJ13" s="2"/>
      <c r="AK13" s="52" t="s">
        <v>57</v>
      </c>
      <c r="AN13" s="129">
        <v>45356</v>
      </c>
      <c r="AP13">
        <v>1</v>
      </c>
    </row>
    <row r="14" spans="1:54" ht="15.5">
      <c r="A14" s="148">
        <v>45351</v>
      </c>
      <c r="B14">
        <v>7</v>
      </c>
      <c r="C14" t="s">
        <v>58</v>
      </c>
      <c r="D14">
        <v>2869.3</v>
      </c>
      <c r="G14">
        <v>2868.7261400000002</v>
      </c>
      <c r="H14">
        <v>333.69150000000002</v>
      </c>
      <c r="I14">
        <v>0.28054000000000001</v>
      </c>
      <c r="J14">
        <v>333.41096000000005</v>
      </c>
      <c r="K14">
        <v>2872.2740728147141</v>
      </c>
      <c r="L14" s="277">
        <v>100.12367624658359</v>
      </c>
      <c r="M14">
        <v>2778.6097407493762</v>
      </c>
      <c r="N14">
        <v>96.858661480645068</v>
      </c>
      <c r="O14">
        <v>128</v>
      </c>
      <c r="P14">
        <v>41.7</v>
      </c>
      <c r="Q14">
        <v>100</v>
      </c>
      <c r="R14">
        <v>3</v>
      </c>
      <c r="S14" t="s">
        <v>54</v>
      </c>
      <c r="T14" t="s">
        <v>54</v>
      </c>
      <c r="X14" s="110">
        <f t="shared" si="0"/>
        <v>432.3236748070882</v>
      </c>
      <c r="Y14" s="110">
        <f>(J15-X14)^2</f>
        <v>190.43212875696796</v>
      </c>
      <c r="AA14" s="347">
        <f>(Y15/$AK$15)*100</f>
        <v>13.939615029114766</v>
      </c>
      <c r="AC14">
        <v>2022</v>
      </c>
      <c r="AD14" t="s">
        <v>46</v>
      </c>
      <c r="AE14">
        <v>7</v>
      </c>
      <c r="AF14">
        <f>L293</f>
        <v>67.018420910104922</v>
      </c>
      <c r="AJ14" s="2"/>
      <c r="AK14" s="2"/>
      <c r="AN14" s="129">
        <v>45475</v>
      </c>
      <c r="AP14">
        <v>1</v>
      </c>
    </row>
    <row r="15" spans="1:54" ht="15.5">
      <c r="A15" s="148">
        <v>45351</v>
      </c>
      <c r="B15">
        <v>8</v>
      </c>
      <c r="C15" t="s">
        <v>59</v>
      </c>
      <c r="D15">
        <v>3612.8</v>
      </c>
      <c r="G15">
        <v>3612.0774400000005</v>
      </c>
      <c r="H15">
        <v>418.80450000000002</v>
      </c>
      <c r="I15">
        <v>0.28054000000000001</v>
      </c>
      <c r="J15">
        <v>418.52396000000005</v>
      </c>
      <c r="K15">
        <v>3605.760655210323</v>
      </c>
      <c r="L15" s="277">
        <v>99.82512044953063</v>
      </c>
      <c r="M15">
        <v>3487.9319863780188</v>
      </c>
      <c r="N15">
        <v>96.563045624459761</v>
      </c>
      <c r="O15">
        <v>128</v>
      </c>
      <c r="P15">
        <v>41.7</v>
      </c>
      <c r="Q15">
        <v>100</v>
      </c>
      <c r="R15">
        <v>3</v>
      </c>
      <c r="S15" t="s">
        <v>54</v>
      </c>
      <c r="T15" t="s">
        <v>54</v>
      </c>
      <c r="Y15" s="211">
        <f>SQRT(SUM(Y9:Y14)/(6-2))</f>
        <v>9.899149167557237</v>
      </c>
      <c r="Z15" s="213" t="s">
        <v>60</v>
      </c>
      <c r="AC15">
        <v>2022</v>
      </c>
      <c r="AD15" t="s">
        <v>46</v>
      </c>
      <c r="AE15">
        <v>8</v>
      </c>
      <c r="AF15">
        <f>L99</f>
        <v>65.041725414352499</v>
      </c>
      <c r="AJ15" s="52" t="s">
        <v>44</v>
      </c>
      <c r="AK15" s="16">
        <f>AVERAGE(L22:L25,L27,L29,L31:L33,L56,L58:L59,L60,L63:L68,L61,L90:L93,L95:L97,L99,L121:L124,L126:L129,L151:L154,L156:L160,L182:L183,L185,L188:L189,L211:L213,L215:L217,L260:L263,L266:L269,L293:L296,L298:L301,L326:L328,L330:L331)</f>
        <v>71.014508986665192</v>
      </c>
      <c r="AN15" s="129">
        <v>45356</v>
      </c>
      <c r="AP15">
        <v>1</v>
      </c>
    </row>
    <row r="16" spans="1:54" ht="15.5">
      <c r="A16" s="148">
        <v>45351</v>
      </c>
      <c r="B16">
        <v>9</v>
      </c>
      <c r="C16" t="s">
        <v>61</v>
      </c>
      <c r="H16">
        <v>0.60629999999999995</v>
      </c>
      <c r="I16">
        <v>0.28054000000000001</v>
      </c>
      <c r="J16">
        <v>0.32575999999999994</v>
      </c>
      <c r="K16">
        <v>1.8133324512246456</v>
      </c>
      <c r="O16">
        <v>128</v>
      </c>
      <c r="P16">
        <v>41.7</v>
      </c>
      <c r="Q16">
        <v>100</v>
      </c>
      <c r="R16">
        <v>3</v>
      </c>
      <c r="S16" t="s">
        <v>54</v>
      </c>
      <c r="T16" t="s">
        <v>54</v>
      </c>
      <c r="Y16" s="211">
        <f>(Y15/12.01)*100.09</f>
        <v>82.498404677835453</v>
      </c>
      <c r="Z16" s="213" t="s">
        <v>62</v>
      </c>
      <c r="AC16">
        <v>2022</v>
      </c>
      <c r="AD16" t="s">
        <v>46</v>
      </c>
      <c r="AE16">
        <v>9</v>
      </c>
      <c r="AF16">
        <f>L121</f>
        <v>71.887348710119184</v>
      </c>
      <c r="AJ16" s="52" t="s">
        <v>48</v>
      </c>
      <c r="AK16" s="2">
        <f>_xlfn.STDEV.P(L22:L25,L27,L29,L31:L33,L56,L58:L59,L60,L63:L68,L61,L90:L93,L95:L97,L99,L121:L124,L126:L129,L151:L154,L156:L160,L182:L183,L185,L188:L189,L211:L213,L215:L217,L260:L263,L266:L269,L293:L296,L298:L301,L326:L328,L330:L331)</f>
        <v>7.7067350089242419</v>
      </c>
      <c r="AN16" s="129">
        <v>45357</v>
      </c>
      <c r="AP16">
        <v>1</v>
      </c>
    </row>
    <row r="17" spans="1:42" ht="15.5">
      <c r="A17" s="148">
        <v>45351</v>
      </c>
      <c r="B17">
        <v>10</v>
      </c>
      <c r="C17" t="s">
        <v>63</v>
      </c>
      <c r="H17">
        <v>0.22839999999999999</v>
      </c>
      <c r="I17">
        <v>0.28054000000000001</v>
      </c>
      <c r="J17">
        <v>-5.214000000000002E-2</v>
      </c>
      <c r="K17">
        <v>-1.4433331520004828</v>
      </c>
      <c r="O17">
        <v>128</v>
      </c>
      <c r="P17">
        <v>41.7</v>
      </c>
      <c r="Q17">
        <v>100</v>
      </c>
      <c r="R17">
        <v>3</v>
      </c>
      <c r="S17" t="s">
        <v>54</v>
      </c>
      <c r="T17" t="s">
        <v>54</v>
      </c>
      <c r="AC17">
        <v>2022</v>
      </c>
      <c r="AD17" t="s">
        <v>46</v>
      </c>
      <c r="AE17">
        <v>10</v>
      </c>
      <c r="AF17">
        <f>L122</f>
        <v>75.766457830914462</v>
      </c>
      <c r="AJ17" s="52" t="s">
        <v>50</v>
      </c>
      <c r="AK17" s="2">
        <f>COUNT(L22:L25,L27,L29,L31:L33,L56,L58:L59,L60,L63:L68,L61,L90:L93,L95:L97,L99,L121:L124,L126:L129,L151:L154,L156:L160,L182:L183,L185,L188:L189,L211:L213,L215:L217,L260:L263,L266:L269,L293:L296,L298:L301,L326:L328,L330:L331)</f>
        <v>77</v>
      </c>
      <c r="AN17" s="129">
        <v>45357</v>
      </c>
      <c r="AP17">
        <v>1</v>
      </c>
    </row>
    <row r="18" spans="1:42">
      <c r="A18" s="148">
        <v>45351</v>
      </c>
      <c r="B18">
        <v>11</v>
      </c>
      <c r="C18" t="s">
        <v>64</v>
      </c>
      <c r="D18">
        <v>1015.5</v>
      </c>
      <c r="H18">
        <v>14.8574</v>
      </c>
      <c r="I18">
        <v>0.28054000000000001</v>
      </c>
      <c r="J18">
        <v>14.57686</v>
      </c>
      <c r="K18">
        <v>124.62642368732317</v>
      </c>
      <c r="L18" s="277">
        <v>12.272419860888546</v>
      </c>
      <c r="M18">
        <v>121.4819248459617</v>
      </c>
      <c r="N18">
        <v>11.962769556470871</v>
      </c>
      <c r="O18">
        <v>128</v>
      </c>
      <c r="P18">
        <v>41.7</v>
      </c>
      <c r="Q18">
        <v>100</v>
      </c>
      <c r="R18">
        <v>3</v>
      </c>
      <c r="S18" t="s">
        <v>54</v>
      </c>
      <c r="T18" t="s">
        <v>54</v>
      </c>
      <c r="AC18">
        <v>2022</v>
      </c>
      <c r="AD18" t="s">
        <v>46</v>
      </c>
      <c r="AE18">
        <v>11</v>
      </c>
      <c r="AF18" s="277">
        <f>AVERAGE(L123,L126)</f>
        <v>76.73413233234993</v>
      </c>
      <c r="AG18" s="38" t="s">
        <v>52</v>
      </c>
      <c r="AH18" s="38">
        <f>((L123-L126)/AVERAGE(L123,L126))*100</f>
        <v>-1.6642021672239877</v>
      </c>
      <c r="AN18" s="129">
        <v>45357</v>
      </c>
      <c r="AP18">
        <v>2</v>
      </c>
    </row>
    <row r="19" spans="1:42">
      <c r="A19" s="148">
        <v>45351</v>
      </c>
      <c r="B19">
        <v>12</v>
      </c>
      <c r="C19" t="s">
        <v>64</v>
      </c>
      <c r="D19">
        <v>1982.1</v>
      </c>
      <c r="H19">
        <v>29.687999999999999</v>
      </c>
      <c r="I19">
        <v>0.28054000000000001</v>
      </c>
      <c r="J19">
        <v>29.40746</v>
      </c>
      <c r="K19">
        <v>252.4335284642234</v>
      </c>
      <c r="L19" s="277">
        <v>12.735660585450956</v>
      </c>
      <c r="M19">
        <v>245.07849054121564</v>
      </c>
      <c r="N19">
        <v>12.36458758595508</v>
      </c>
      <c r="O19">
        <v>128</v>
      </c>
      <c r="P19">
        <v>41.7</v>
      </c>
      <c r="Q19">
        <v>100</v>
      </c>
      <c r="R19">
        <v>3</v>
      </c>
      <c r="S19" t="s">
        <v>54</v>
      </c>
      <c r="T19" t="s">
        <v>54</v>
      </c>
      <c r="AC19">
        <v>2022</v>
      </c>
      <c r="AD19" t="s">
        <v>46</v>
      </c>
      <c r="AE19">
        <v>12</v>
      </c>
      <c r="AF19">
        <f>L124</f>
        <v>76.369384652830846</v>
      </c>
      <c r="AN19" s="129">
        <v>45357</v>
      </c>
      <c r="AP19">
        <v>1</v>
      </c>
    </row>
    <row r="20" spans="1:42">
      <c r="A20" s="148">
        <v>45351</v>
      </c>
      <c r="B20">
        <v>13</v>
      </c>
      <c r="C20" t="s">
        <v>65</v>
      </c>
      <c r="H20">
        <v>0.182</v>
      </c>
      <c r="I20">
        <v>0.28054000000000001</v>
      </c>
      <c r="J20">
        <v>-9.8540000000000016E-2</v>
      </c>
      <c r="K20">
        <v>-1.8431989471569952</v>
      </c>
      <c r="O20">
        <v>128</v>
      </c>
      <c r="P20">
        <v>41.7</v>
      </c>
      <c r="Q20">
        <v>100</v>
      </c>
      <c r="R20">
        <v>3</v>
      </c>
      <c r="S20" t="s">
        <v>54</v>
      </c>
      <c r="T20" t="s">
        <v>54</v>
      </c>
      <c r="AC20">
        <v>2022</v>
      </c>
      <c r="AD20" t="s">
        <v>46</v>
      </c>
      <c r="AE20">
        <v>13</v>
      </c>
      <c r="AF20">
        <f>L127</f>
        <v>74.358317154949518</v>
      </c>
      <c r="AN20" s="129">
        <v>45357</v>
      </c>
      <c r="AP20">
        <v>1</v>
      </c>
    </row>
    <row r="21" spans="1:42">
      <c r="A21" s="148">
        <v>45351</v>
      </c>
      <c r="B21">
        <v>14</v>
      </c>
      <c r="C21" t="s">
        <v>66</v>
      </c>
      <c r="H21">
        <v>0.188</v>
      </c>
      <c r="I21">
        <v>0.28054000000000001</v>
      </c>
      <c r="J21">
        <v>-9.2540000000000011E-2</v>
      </c>
      <c r="K21">
        <v>-1.7914921633005496</v>
      </c>
      <c r="O21">
        <v>128</v>
      </c>
      <c r="P21">
        <v>41.7</v>
      </c>
      <c r="Q21">
        <v>100</v>
      </c>
      <c r="R21">
        <v>3</v>
      </c>
      <c r="S21" t="s">
        <v>54</v>
      </c>
      <c r="T21" t="s">
        <v>54</v>
      </c>
      <c r="AC21">
        <v>2022</v>
      </c>
      <c r="AD21" t="s">
        <v>46</v>
      </c>
      <c r="AE21">
        <v>14</v>
      </c>
      <c r="AF21">
        <f>L128</f>
        <v>74.385778264381358</v>
      </c>
      <c r="AN21" s="129">
        <v>45357</v>
      </c>
      <c r="AP21">
        <v>1</v>
      </c>
    </row>
    <row r="22" spans="1:42">
      <c r="A22" s="148">
        <v>45351</v>
      </c>
      <c r="B22">
        <v>15</v>
      </c>
      <c r="C22" t="s">
        <v>67</v>
      </c>
      <c r="D22">
        <v>2632.6</v>
      </c>
      <c r="E22" t="s">
        <v>68</v>
      </c>
      <c r="H22">
        <v>235.5907</v>
      </c>
      <c r="I22">
        <v>0.28054000000000001</v>
      </c>
      <c r="J22">
        <v>235.31016</v>
      </c>
      <c r="K22">
        <v>2026.8612625239818</v>
      </c>
      <c r="L22" s="277">
        <v>76.990855523968023</v>
      </c>
      <c r="M22">
        <v>1961.0486190174854</v>
      </c>
      <c r="N22">
        <v>74.490945035990492</v>
      </c>
      <c r="O22">
        <v>128</v>
      </c>
      <c r="P22">
        <v>41.7</v>
      </c>
      <c r="Q22">
        <v>100</v>
      </c>
      <c r="R22">
        <v>3</v>
      </c>
      <c r="S22" t="s">
        <v>54</v>
      </c>
      <c r="T22" t="s">
        <v>54</v>
      </c>
      <c r="AC22">
        <v>2022</v>
      </c>
      <c r="AD22" t="s">
        <v>46</v>
      </c>
      <c r="AE22">
        <v>15</v>
      </c>
      <c r="AF22">
        <f>L129</f>
        <v>71.153571201162194</v>
      </c>
      <c r="AN22" s="129">
        <v>45357</v>
      </c>
      <c r="AP22">
        <v>1</v>
      </c>
    </row>
    <row r="23" spans="1:42">
      <c r="A23" s="148">
        <v>45351</v>
      </c>
      <c r="B23">
        <v>16</v>
      </c>
      <c r="C23" t="s">
        <v>69</v>
      </c>
      <c r="D23">
        <v>2120.9</v>
      </c>
      <c r="H23">
        <v>188.71889999999999</v>
      </c>
      <c r="I23">
        <v>0.28054000000000001</v>
      </c>
      <c r="J23">
        <v>188.43835999999999</v>
      </c>
      <c r="K23">
        <v>1622.9295905968911</v>
      </c>
      <c r="L23" s="277">
        <v>76.520797331175018</v>
      </c>
      <c r="M23">
        <v>1570.4242674771024</v>
      </c>
      <c r="N23">
        <v>74.045182115003172</v>
      </c>
      <c r="O23">
        <v>128</v>
      </c>
      <c r="P23">
        <v>41.7</v>
      </c>
      <c r="Q23">
        <v>100</v>
      </c>
      <c r="R23">
        <v>3</v>
      </c>
      <c r="S23" t="s">
        <v>54</v>
      </c>
      <c r="T23" t="s">
        <v>54</v>
      </c>
      <c r="AC23">
        <v>2022</v>
      </c>
      <c r="AD23" t="s">
        <v>46</v>
      </c>
      <c r="AE23">
        <v>16</v>
      </c>
    </row>
    <row r="24" spans="1:42">
      <c r="A24" s="148">
        <v>45351</v>
      </c>
      <c r="B24">
        <v>17</v>
      </c>
      <c r="C24" t="s">
        <v>70</v>
      </c>
      <c r="D24">
        <v>3322.7</v>
      </c>
      <c r="H24">
        <v>298.76209999999998</v>
      </c>
      <c r="I24">
        <v>0.28054000000000001</v>
      </c>
      <c r="J24">
        <v>298.48156</v>
      </c>
      <c r="K24">
        <v>2571.2595834754929</v>
      </c>
      <c r="L24" s="277">
        <v>77.384644520284496</v>
      </c>
      <c r="M24">
        <v>2487.5120183513741</v>
      </c>
      <c r="N24">
        <v>74.864177276051834</v>
      </c>
      <c r="O24">
        <v>128</v>
      </c>
      <c r="P24">
        <v>41.7</v>
      </c>
      <c r="Q24">
        <v>100</v>
      </c>
      <c r="R24">
        <v>3</v>
      </c>
      <c r="S24" t="s">
        <v>54</v>
      </c>
      <c r="T24" t="s">
        <v>54</v>
      </c>
      <c r="AC24">
        <v>2022</v>
      </c>
      <c r="AD24" t="s">
        <v>46</v>
      </c>
      <c r="AE24">
        <v>17</v>
      </c>
    </row>
    <row r="25" spans="1:42">
      <c r="A25" s="148">
        <v>45351</v>
      </c>
      <c r="B25">
        <v>18</v>
      </c>
      <c r="C25" t="s">
        <v>71</v>
      </c>
      <c r="D25">
        <v>2831</v>
      </c>
      <c r="H25">
        <v>225.82570000000001</v>
      </c>
      <c r="I25">
        <v>0.28054000000000001</v>
      </c>
      <c r="J25">
        <v>225.54516000000001</v>
      </c>
      <c r="K25">
        <v>1942.7084717976168</v>
      </c>
      <c r="L25" s="277">
        <v>68.62269416452196</v>
      </c>
      <c r="M25">
        <v>1879.6681985345547</v>
      </c>
      <c r="N25">
        <v>66.395909520824958</v>
      </c>
      <c r="O25">
        <v>128</v>
      </c>
      <c r="P25">
        <v>41.7</v>
      </c>
      <c r="Q25">
        <v>100</v>
      </c>
      <c r="R25">
        <v>3</v>
      </c>
      <c r="S25" t="s">
        <v>54</v>
      </c>
      <c r="T25" t="s">
        <v>54</v>
      </c>
      <c r="AC25">
        <v>2022</v>
      </c>
      <c r="AD25" t="s">
        <v>46</v>
      </c>
      <c r="AE25">
        <v>18</v>
      </c>
      <c r="AF25">
        <f>L211</f>
        <v>70.446478281874576</v>
      </c>
      <c r="AN25" s="129">
        <v>45373</v>
      </c>
      <c r="AP25">
        <v>1</v>
      </c>
    </row>
    <row r="26" spans="1:42">
      <c r="A26" s="148">
        <v>45351</v>
      </c>
      <c r="B26">
        <v>19</v>
      </c>
      <c r="C26" t="s">
        <v>72</v>
      </c>
      <c r="D26">
        <v>2686.5</v>
      </c>
      <c r="H26">
        <v>241.71520000000001</v>
      </c>
      <c r="I26">
        <v>0.28054000000000001</v>
      </c>
      <c r="J26">
        <v>241.43466000000001</v>
      </c>
      <c r="K26">
        <v>2079.6409621454486</v>
      </c>
      <c r="L26" s="277">
        <v>77.410793305246557</v>
      </c>
      <c r="M26">
        <v>2012.08951868443</v>
      </c>
      <c r="N26">
        <v>74.896315603366091</v>
      </c>
      <c r="O26">
        <v>128</v>
      </c>
      <c r="P26">
        <v>41.7</v>
      </c>
      <c r="Q26">
        <v>100</v>
      </c>
      <c r="R26">
        <v>3</v>
      </c>
      <c r="S26" t="s">
        <v>54</v>
      </c>
      <c r="T26" t="s">
        <v>54</v>
      </c>
      <c r="AC26">
        <v>2022</v>
      </c>
      <c r="AD26" t="s">
        <v>46</v>
      </c>
      <c r="AE26">
        <v>19</v>
      </c>
      <c r="AF26">
        <f>L212</f>
        <v>70.987032078938213</v>
      </c>
      <c r="AN26" s="129">
        <v>45373</v>
      </c>
      <c r="AP26">
        <v>1</v>
      </c>
    </row>
    <row r="27" spans="1:42">
      <c r="A27" s="148">
        <v>45351</v>
      </c>
      <c r="B27">
        <v>20</v>
      </c>
      <c r="C27" t="s">
        <v>73</v>
      </c>
      <c r="D27">
        <v>2064.1999999999998</v>
      </c>
      <c r="H27">
        <v>181.09880000000001</v>
      </c>
      <c r="I27">
        <v>0.28054000000000001</v>
      </c>
      <c r="J27">
        <v>180.81826000000001</v>
      </c>
      <c r="K27">
        <v>1557.2611133194744</v>
      </c>
      <c r="L27" s="277">
        <v>75.441387138817674</v>
      </c>
      <c r="M27">
        <v>1506.919204279767</v>
      </c>
      <c r="N27">
        <v>73.002577476977379</v>
      </c>
      <c r="O27">
        <v>128</v>
      </c>
      <c r="P27">
        <v>41.7</v>
      </c>
      <c r="Q27">
        <v>100</v>
      </c>
      <c r="R27">
        <v>3</v>
      </c>
      <c r="S27" t="s">
        <v>54</v>
      </c>
      <c r="T27" t="s">
        <v>54</v>
      </c>
      <c r="AC27">
        <v>2022</v>
      </c>
      <c r="AD27" t="s">
        <v>46</v>
      </c>
      <c r="AE27">
        <v>20</v>
      </c>
      <c r="AF27">
        <f>L213</f>
        <v>64.74330861420539</v>
      </c>
      <c r="AN27" s="129">
        <v>45373</v>
      </c>
      <c r="AP27">
        <v>1</v>
      </c>
    </row>
    <row r="28" spans="1:42">
      <c r="A28" s="148">
        <v>45351</v>
      </c>
      <c r="B28">
        <v>21</v>
      </c>
      <c r="C28" t="s">
        <v>74</v>
      </c>
      <c r="H28">
        <v>0.32990000000000003</v>
      </c>
      <c r="I28">
        <v>0.28054000000000001</v>
      </c>
      <c r="J28">
        <v>4.9360000000000015E-2</v>
      </c>
      <c r="K28">
        <v>-0.56862672509561207</v>
      </c>
      <c r="M28">
        <v>0.41136073272273121</v>
      </c>
      <c r="O28">
        <v>128</v>
      </c>
      <c r="P28">
        <v>41.7</v>
      </c>
      <c r="Q28">
        <v>100</v>
      </c>
      <c r="R28">
        <v>3</v>
      </c>
      <c r="S28" t="s">
        <v>54</v>
      </c>
      <c r="T28" t="s">
        <v>54</v>
      </c>
      <c r="AC28">
        <v>2022</v>
      </c>
      <c r="AD28" t="s">
        <v>46</v>
      </c>
      <c r="AE28">
        <v>21</v>
      </c>
      <c r="AF28">
        <f>L215</f>
        <v>70.123018513013619</v>
      </c>
      <c r="AN28" s="129">
        <v>45373</v>
      </c>
      <c r="AP28">
        <v>1</v>
      </c>
    </row>
    <row r="29" spans="1:42">
      <c r="A29" s="148">
        <v>45351</v>
      </c>
      <c r="B29">
        <v>22</v>
      </c>
      <c r="C29" t="s">
        <v>75</v>
      </c>
      <c r="D29">
        <v>2259.1999999999998</v>
      </c>
      <c r="H29">
        <v>197.40289999999999</v>
      </c>
      <c r="I29">
        <v>0.28054000000000001</v>
      </c>
      <c r="J29">
        <v>197.12235999999999</v>
      </c>
      <c r="K29">
        <v>1697.7665424317865</v>
      </c>
      <c r="L29" s="277">
        <v>75.149014803106709</v>
      </c>
      <c r="M29">
        <v>1642.7957545711906</v>
      </c>
      <c r="N29">
        <v>72.715817748370696</v>
      </c>
      <c r="O29">
        <v>128</v>
      </c>
      <c r="P29">
        <v>41.7</v>
      </c>
      <c r="Q29">
        <v>100</v>
      </c>
      <c r="R29">
        <v>3</v>
      </c>
      <c r="S29" t="s">
        <v>54</v>
      </c>
      <c r="T29" t="s">
        <v>54</v>
      </c>
      <c r="AC29">
        <v>2022</v>
      </c>
      <c r="AD29" t="s">
        <v>76</v>
      </c>
      <c r="AE29">
        <v>1</v>
      </c>
      <c r="AF29">
        <f>L151</f>
        <v>73.22242712567386</v>
      </c>
      <c r="AN29" s="129">
        <v>45370</v>
      </c>
      <c r="AP29">
        <v>1</v>
      </c>
    </row>
    <row r="30" spans="1:42">
      <c r="A30" s="148">
        <v>45351</v>
      </c>
      <c r="B30">
        <v>23</v>
      </c>
      <c r="C30" t="s">
        <v>77</v>
      </c>
      <c r="D30">
        <v>3100.4</v>
      </c>
      <c r="H30">
        <v>273.0641</v>
      </c>
      <c r="I30">
        <v>0.28054000000000001</v>
      </c>
      <c r="J30">
        <v>272.78356000000002</v>
      </c>
      <c r="K30">
        <v>2349.7994282183367</v>
      </c>
      <c r="L30" s="277">
        <v>75.790202174504472</v>
      </c>
      <c r="M30">
        <v>2273.3477535720235</v>
      </c>
      <c r="N30">
        <v>73.324337297510766</v>
      </c>
      <c r="O30">
        <v>128</v>
      </c>
      <c r="P30">
        <v>41.7</v>
      </c>
      <c r="Q30">
        <v>100</v>
      </c>
      <c r="R30">
        <v>3</v>
      </c>
      <c r="S30" t="s">
        <v>54</v>
      </c>
      <c r="T30" t="s">
        <v>54</v>
      </c>
      <c r="AC30">
        <v>2022</v>
      </c>
      <c r="AD30" t="s">
        <v>76</v>
      </c>
      <c r="AE30">
        <v>2</v>
      </c>
      <c r="AF30" s="277">
        <f>AVERAGE(L152,L263)</f>
        <v>73.803397573722236</v>
      </c>
      <c r="AG30" s="38" t="s">
        <v>52</v>
      </c>
      <c r="AH30" s="38">
        <f>((L152-L263)/AVERAGE(L152,L263))*100</f>
        <v>0.41968372015136157</v>
      </c>
      <c r="AN30" t="s">
        <v>78</v>
      </c>
      <c r="AP30">
        <v>2</v>
      </c>
    </row>
    <row r="31" spans="1:42">
      <c r="A31" s="148">
        <v>45351</v>
      </c>
      <c r="B31">
        <v>24</v>
      </c>
      <c r="C31" t="s">
        <v>79</v>
      </c>
      <c r="D31">
        <v>2070</v>
      </c>
      <c r="H31">
        <v>175.15020000000001</v>
      </c>
      <c r="I31">
        <v>0.28054000000000001</v>
      </c>
      <c r="J31">
        <v>174.86966000000001</v>
      </c>
      <c r="K31">
        <v>1505.9972842447326</v>
      </c>
      <c r="L31" s="277">
        <v>72.75349199249915</v>
      </c>
      <c r="M31">
        <v>1457.3442355870109</v>
      </c>
      <c r="N31">
        <v>70.403103168454635</v>
      </c>
      <c r="O31">
        <v>128</v>
      </c>
      <c r="P31">
        <v>41.7</v>
      </c>
      <c r="Q31">
        <v>100</v>
      </c>
      <c r="R31">
        <v>3</v>
      </c>
      <c r="S31" t="s">
        <v>54</v>
      </c>
      <c r="T31" t="s">
        <v>54</v>
      </c>
      <c r="AC31">
        <v>2022</v>
      </c>
      <c r="AD31" t="s">
        <v>76</v>
      </c>
      <c r="AE31">
        <v>3</v>
      </c>
      <c r="AF31">
        <f>L153</f>
        <v>71.855473522521095</v>
      </c>
      <c r="AN31" s="129">
        <v>45370</v>
      </c>
      <c r="AP31">
        <v>1</v>
      </c>
    </row>
    <row r="32" spans="1:42">
      <c r="A32" s="148">
        <v>45351</v>
      </c>
      <c r="B32">
        <v>25</v>
      </c>
      <c r="C32" t="s">
        <v>80</v>
      </c>
      <c r="D32">
        <v>2580.5</v>
      </c>
      <c r="H32">
        <v>223.11250000000001</v>
      </c>
      <c r="I32">
        <v>0.28054000000000001</v>
      </c>
      <c r="J32">
        <v>222.83196000000001</v>
      </c>
      <c r="K32">
        <v>1919.3266641377322</v>
      </c>
      <c r="L32" s="277">
        <v>74.378092003012299</v>
      </c>
      <c r="M32">
        <v>1857.0566924562866</v>
      </c>
      <c r="N32">
        <v>71.96499486364219</v>
      </c>
      <c r="O32">
        <v>128</v>
      </c>
      <c r="P32">
        <v>41.7</v>
      </c>
      <c r="Q32">
        <v>100</v>
      </c>
      <c r="R32">
        <v>3</v>
      </c>
      <c r="S32" t="s">
        <v>54</v>
      </c>
      <c r="T32" t="s">
        <v>54</v>
      </c>
      <c r="AC32">
        <v>2022</v>
      </c>
      <c r="AD32" t="s">
        <v>76</v>
      </c>
      <c r="AE32">
        <v>4</v>
      </c>
      <c r="AF32">
        <f>L156</f>
        <v>70.84442953702181</v>
      </c>
      <c r="AN32" s="129">
        <v>45370</v>
      </c>
      <c r="AP32">
        <v>1</v>
      </c>
    </row>
    <row r="33" spans="1:42">
      <c r="A33" s="148">
        <v>45351</v>
      </c>
      <c r="B33">
        <v>26</v>
      </c>
      <c r="C33" t="s">
        <v>81</v>
      </c>
      <c r="D33">
        <v>2149.8000000000002</v>
      </c>
      <c r="H33">
        <v>192.0478</v>
      </c>
      <c r="I33">
        <v>0.28054000000000001</v>
      </c>
      <c r="J33">
        <v>191.76725999999999</v>
      </c>
      <c r="K33">
        <v>1651.617376060178</v>
      </c>
      <c r="L33" s="277">
        <v>76.826559496705642</v>
      </c>
      <c r="M33">
        <v>1598.1669486594506</v>
      </c>
      <c r="N33">
        <v>74.340261822469557</v>
      </c>
      <c r="O33">
        <v>128</v>
      </c>
      <c r="P33">
        <v>41.7</v>
      </c>
      <c r="Q33">
        <v>100</v>
      </c>
      <c r="R33">
        <v>3</v>
      </c>
      <c r="S33" t="s">
        <v>54</v>
      </c>
      <c r="T33" t="s">
        <v>54</v>
      </c>
      <c r="AC33">
        <v>2022</v>
      </c>
      <c r="AD33" t="s">
        <v>76</v>
      </c>
      <c r="AE33">
        <v>5</v>
      </c>
      <c r="AF33">
        <f>L157</f>
        <v>72.170712113184663</v>
      </c>
      <c r="AN33" s="129">
        <v>45370</v>
      </c>
      <c r="AP33">
        <v>1</v>
      </c>
    </row>
    <row r="34" spans="1:42">
      <c r="A34" s="148">
        <v>45351</v>
      </c>
      <c r="B34">
        <v>27</v>
      </c>
      <c r="C34" t="s">
        <v>82</v>
      </c>
      <c r="H34">
        <v>0.28270000000000001</v>
      </c>
      <c r="I34">
        <v>0.28054000000000001</v>
      </c>
      <c r="J34">
        <v>2.1599999999999953E-3</v>
      </c>
      <c r="K34">
        <v>-0.97538675809965047</v>
      </c>
      <c r="O34">
        <v>128</v>
      </c>
      <c r="P34">
        <v>41.7</v>
      </c>
      <c r="Q34">
        <v>100</v>
      </c>
      <c r="R34">
        <v>3</v>
      </c>
      <c r="S34" t="s">
        <v>54</v>
      </c>
      <c r="T34" t="s">
        <v>54</v>
      </c>
      <c r="AC34">
        <v>2022</v>
      </c>
      <c r="AD34" t="s">
        <v>76</v>
      </c>
      <c r="AE34">
        <v>6</v>
      </c>
      <c r="AF34" s="277">
        <f>AVERAGE(L154,L158)</f>
        <v>71.421985541200854</v>
      </c>
      <c r="AG34" s="38" t="s">
        <v>52</v>
      </c>
      <c r="AH34" s="38">
        <f>((L154-L158)/AVERAGE(L154,L158))*100</f>
        <v>1.216913742707979</v>
      </c>
      <c r="AN34" s="129">
        <v>45370</v>
      </c>
      <c r="AP34">
        <v>2</v>
      </c>
    </row>
    <row r="35" spans="1:42">
      <c r="A35" s="148">
        <v>45351</v>
      </c>
      <c r="B35">
        <v>28</v>
      </c>
      <c r="C35" t="s">
        <v>83</v>
      </c>
      <c r="D35">
        <v>2070.9</v>
      </c>
      <c r="G35">
        <v>2070.4858200000003</v>
      </c>
      <c r="H35">
        <v>245.93879999999999</v>
      </c>
      <c r="I35">
        <v>0.28054000000000001</v>
      </c>
      <c r="J35">
        <v>245.65825999999998</v>
      </c>
      <c r="K35">
        <v>2116.0390908614627</v>
      </c>
      <c r="L35" s="277">
        <v>102.20012474470666</v>
      </c>
      <c r="M35">
        <v>2047.2885298417984</v>
      </c>
      <c r="N35">
        <v>98.879620911472742</v>
      </c>
      <c r="O35">
        <v>128</v>
      </c>
      <c r="P35">
        <v>41.7</v>
      </c>
      <c r="Q35">
        <v>100</v>
      </c>
      <c r="R35">
        <v>3</v>
      </c>
      <c r="S35" t="s">
        <v>54</v>
      </c>
      <c r="T35" t="s">
        <v>54</v>
      </c>
      <c r="AC35">
        <v>2022</v>
      </c>
      <c r="AD35" t="s">
        <v>76</v>
      </c>
      <c r="AE35">
        <v>7</v>
      </c>
      <c r="AF35">
        <f>L159</f>
        <v>69.913179121790151</v>
      </c>
      <c r="AN35" s="129">
        <v>45370</v>
      </c>
      <c r="AP35">
        <v>1</v>
      </c>
    </row>
    <row r="36" spans="1:42">
      <c r="A36" s="148">
        <v>45351</v>
      </c>
      <c r="B36">
        <v>29</v>
      </c>
      <c r="C36" t="s">
        <v>84</v>
      </c>
      <c r="H36">
        <v>0.23830000000000001</v>
      </c>
      <c r="I36">
        <v>0.28054000000000001</v>
      </c>
      <c r="J36">
        <v>-4.224E-2</v>
      </c>
      <c r="K36">
        <v>-1.3580169586373476</v>
      </c>
      <c r="O36">
        <v>128</v>
      </c>
      <c r="P36">
        <v>41.7</v>
      </c>
      <c r="Q36">
        <v>100</v>
      </c>
      <c r="R36">
        <v>3</v>
      </c>
      <c r="S36" t="s">
        <v>54</v>
      </c>
      <c r="T36" t="s">
        <v>54</v>
      </c>
      <c r="AC36">
        <v>2022</v>
      </c>
      <c r="AD36" t="s">
        <v>76</v>
      </c>
      <c r="AE36">
        <v>8</v>
      </c>
      <c r="AF36" s="277">
        <f>AVERAGE(L160,L261)</f>
        <v>69.919599299434765</v>
      </c>
      <c r="AG36" s="38" t="s">
        <v>52</v>
      </c>
      <c r="AH36" s="38">
        <f>((L160-L261)/AVERAGE(L160,L261))*100</f>
        <v>-1.4426925330028129</v>
      </c>
      <c r="AN36" t="s">
        <v>78</v>
      </c>
      <c r="AP36">
        <v>2</v>
      </c>
    </row>
    <row r="37" spans="1:42">
      <c r="H37"/>
      <c r="AC37">
        <v>2022</v>
      </c>
      <c r="AD37" t="s">
        <v>76</v>
      </c>
      <c r="AE37">
        <v>9</v>
      </c>
      <c r="AF37">
        <f>L182</f>
        <v>72.45048363979042</v>
      </c>
      <c r="AN37" s="129">
        <v>45371</v>
      </c>
      <c r="AP37">
        <v>1</v>
      </c>
    </row>
    <row r="38" spans="1:42">
      <c r="H38"/>
      <c r="AC38">
        <v>2022</v>
      </c>
      <c r="AD38" t="s">
        <v>76</v>
      </c>
      <c r="AE38">
        <v>10</v>
      </c>
      <c r="AF38">
        <f>L183</f>
        <v>75.652797991872973</v>
      </c>
      <c r="AN38" s="129">
        <v>45371</v>
      </c>
      <c r="AP38">
        <v>1</v>
      </c>
    </row>
    <row r="39" spans="1:42">
      <c r="A39" s="148" t="s">
        <v>85</v>
      </c>
      <c r="H39"/>
      <c r="AC39">
        <v>2022</v>
      </c>
      <c r="AD39" t="s">
        <v>76</v>
      </c>
      <c r="AE39">
        <v>11</v>
      </c>
      <c r="AF39" s="277">
        <f>AVERAGE(L294,L298)</f>
        <v>79.730332793076599</v>
      </c>
      <c r="AG39" s="38" t="s">
        <v>52</v>
      </c>
      <c r="AH39" s="38">
        <f>((L294-L298)/AVERAGE(L294,L298))*100</f>
        <v>0.60241153853238472</v>
      </c>
      <c r="AN39" s="129">
        <v>45475</v>
      </c>
      <c r="AP39">
        <v>2</v>
      </c>
    </row>
    <row r="40" spans="1:42">
      <c r="A40" s="148" t="s">
        <v>38</v>
      </c>
      <c r="H40"/>
      <c r="AC40">
        <v>2022</v>
      </c>
      <c r="AD40" t="s">
        <v>76</v>
      </c>
      <c r="AE40">
        <v>12</v>
      </c>
      <c r="AF40">
        <f>L185</f>
        <v>76.615845940403659</v>
      </c>
      <c r="AN40" s="129">
        <v>45371</v>
      </c>
      <c r="AP40">
        <v>1</v>
      </c>
    </row>
    <row r="41" spans="1:42">
      <c r="A41" t="s">
        <v>86</v>
      </c>
      <c r="H41"/>
      <c r="AC41">
        <v>2022</v>
      </c>
      <c r="AD41" t="s">
        <v>76</v>
      </c>
      <c r="AE41">
        <v>13</v>
      </c>
      <c r="AF41">
        <f>L188</f>
        <v>76.617145424792767</v>
      </c>
      <c r="AN41" s="129">
        <v>45371</v>
      </c>
      <c r="AP41">
        <v>1</v>
      </c>
    </row>
    <row r="42" spans="1:42">
      <c r="A42" s="148">
        <v>45352</v>
      </c>
      <c r="B42">
        <v>1</v>
      </c>
      <c r="C42" t="s">
        <v>45</v>
      </c>
      <c r="H42">
        <v>0.27529999999999999</v>
      </c>
      <c r="AC42">
        <v>2022</v>
      </c>
      <c r="AD42" t="s">
        <v>76</v>
      </c>
      <c r="AE42">
        <v>14</v>
      </c>
    </row>
    <row r="43" spans="1:42">
      <c r="A43" s="148">
        <v>45352</v>
      </c>
      <c r="B43">
        <v>2</v>
      </c>
      <c r="C43" t="s">
        <v>49</v>
      </c>
      <c r="H43">
        <v>0.2263</v>
      </c>
      <c r="AC43">
        <v>2022</v>
      </c>
      <c r="AD43" t="s">
        <v>76</v>
      </c>
      <c r="AE43">
        <v>15</v>
      </c>
    </row>
    <row r="44" spans="1:42">
      <c r="A44" s="148">
        <v>45352</v>
      </c>
      <c r="B44">
        <v>3</v>
      </c>
      <c r="C44" t="s">
        <v>51</v>
      </c>
      <c r="G44">
        <v>0</v>
      </c>
      <c r="H44">
        <v>0.13400000000000001</v>
      </c>
      <c r="I44">
        <v>0.38014000000000003</v>
      </c>
      <c r="J44">
        <v>0.38014000000000003</v>
      </c>
      <c r="AC44">
        <v>2022</v>
      </c>
      <c r="AD44" t="s">
        <v>76</v>
      </c>
      <c r="AE44">
        <v>16</v>
      </c>
      <c r="AF44">
        <f>L216</f>
        <v>69.361820952840063</v>
      </c>
      <c r="AN44" s="129">
        <v>45373</v>
      </c>
      <c r="AP44">
        <v>1</v>
      </c>
    </row>
    <row r="45" spans="1:42">
      <c r="A45" s="148">
        <v>45352</v>
      </c>
      <c r="B45">
        <v>4</v>
      </c>
      <c r="C45" t="s">
        <v>87</v>
      </c>
      <c r="D45">
        <v>218.6</v>
      </c>
      <c r="G45">
        <v>218.55627999999999</v>
      </c>
      <c r="H45">
        <v>24.893000000000001</v>
      </c>
      <c r="I45">
        <v>0.38014000000000003</v>
      </c>
      <c r="J45">
        <v>24.51286</v>
      </c>
      <c r="K45">
        <v>215.08172403245996</v>
      </c>
      <c r="L45" s="277">
        <v>98.410223688131936</v>
      </c>
      <c r="M45">
        <v>204.28744024979184</v>
      </c>
      <c r="N45">
        <v>93.471320178853631</v>
      </c>
      <c r="O45">
        <v>128</v>
      </c>
      <c r="P45">
        <v>41.7</v>
      </c>
      <c r="Q45">
        <v>100</v>
      </c>
      <c r="R45">
        <v>3</v>
      </c>
      <c r="S45" t="s">
        <v>54</v>
      </c>
      <c r="T45" t="s">
        <v>54</v>
      </c>
      <c r="AC45">
        <v>2022</v>
      </c>
      <c r="AD45" t="s">
        <v>76</v>
      </c>
      <c r="AE45">
        <v>17</v>
      </c>
    </row>
    <row r="46" spans="1:42">
      <c r="A46" s="148">
        <v>45352</v>
      </c>
      <c r="B46">
        <v>5</v>
      </c>
      <c r="C46" t="s">
        <v>88</v>
      </c>
      <c r="D46">
        <v>919.6</v>
      </c>
      <c r="G46">
        <v>919.41608000000008</v>
      </c>
      <c r="H46">
        <v>103.4756</v>
      </c>
      <c r="I46">
        <v>0.38014000000000003</v>
      </c>
      <c r="J46">
        <v>103.09546</v>
      </c>
      <c r="K46">
        <v>896.66478100139727</v>
      </c>
      <c r="L46" s="277">
        <v>97.525462139121728</v>
      </c>
      <c r="M46">
        <v>859.18606089925061</v>
      </c>
      <c r="N46">
        <v>93.44910096626225</v>
      </c>
      <c r="O46">
        <v>128</v>
      </c>
      <c r="P46">
        <v>41.7</v>
      </c>
      <c r="Q46">
        <v>100</v>
      </c>
      <c r="R46">
        <v>3</v>
      </c>
      <c r="S46" t="s">
        <v>54</v>
      </c>
      <c r="T46" t="s">
        <v>54</v>
      </c>
      <c r="AC46">
        <v>2022</v>
      </c>
      <c r="AD46" t="s">
        <v>76</v>
      </c>
      <c r="AE46">
        <v>18</v>
      </c>
    </row>
    <row r="47" spans="1:42">
      <c r="A47" s="148">
        <v>45352</v>
      </c>
      <c r="B47">
        <v>6</v>
      </c>
      <c r="C47" t="s">
        <v>89</v>
      </c>
      <c r="D47">
        <v>2034.9</v>
      </c>
      <c r="G47">
        <v>2034.4930200000001</v>
      </c>
      <c r="H47">
        <v>240.93340000000001</v>
      </c>
      <c r="I47">
        <v>0.38014000000000003</v>
      </c>
      <c r="J47">
        <v>240.55325999999999</v>
      </c>
      <c r="K47">
        <v>2088.8995445269716</v>
      </c>
      <c r="L47" s="277">
        <v>102.67420551420577</v>
      </c>
      <c r="M47">
        <v>2004.7440294254789</v>
      </c>
      <c r="N47">
        <v>98.537768855332757</v>
      </c>
      <c r="O47">
        <v>128</v>
      </c>
      <c r="P47">
        <v>41.7</v>
      </c>
      <c r="Q47">
        <v>100</v>
      </c>
      <c r="R47">
        <v>3</v>
      </c>
      <c r="S47" t="s">
        <v>54</v>
      </c>
      <c r="T47" t="s">
        <v>54</v>
      </c>
      <c r="X47" s="348">
        <f>A48</f>
        <v>45352</v>
      </c>
      <c r="Y47" s="44"/>
      <c r="Z47" s="44"/>
      <c r="AA47" s="44"/>
      <c r="AC47">
        <v>2022</v>
      </c>
      <c r="AD47" t="s">
        <v>76</v>
      </c>
      <c r="AE47">
        <v>19</v>
      </c>
    </row>
    <row r="48" spans="1:42">
      <c r="A48" s="148">
        <v>45352</v>
      </c>
      <c r="B48">
        <v>7</v>
      </c>
      <c r="C48" t="s">
        <v>90</v>
      </c>
      <c r="D48">
        <v>2965.4</v>
      </c>
      <c r="G48">
        <v>2964.80692</v>
      </c>
      <c r="H48">
        <v>336.67720000000003</v>
      </c>
      <c r="I48">
        <v>0.38014000000000003</v>
      </c>
      <c r="J48">
        <v>336.29706000000004</v>
      </c>
      <c r="K48">
        <v>2919.3295874349765</v>
      </c>
      <c r="L48" s="277">
        <v>98.46609462969603</v>
      </c>
      <c r="M48">
        <v>2802.6621761365536</v>
      </c>
      <c r="N48">
        <v>94.531018435984819</v>
      </c>
      <c r="O48">
        <v>128</v>
      </c>
      <c r="P48">
        <v>41.7</v>
      </c>
      <c r="Q48">
        <v>100</v>
      </c>
      <c r="R48">
        <v>3</v>
      </c>
      <c r="S48" t="s">
        <v>54</v>
      </c>
      <c r="T48" t="s">
        <v>54</v>
      </c>
      <c r="X48" s="208">
        <f>((J44-INDEX(LINEST($H$44:$H$49,$G$44:$G$49),2))/INDEX(LINEST($H$44:$H$49,$G$44:$G$49),1)/100.09)*12.01</f>
        <v>0.55185334609501446</v>
      </c>
      <c r="Y48" s="208">
        <f>(J44-X48)^2</f>
        <v>2.9485473227146206E-2</v>
      </c>
      <c r="Z48" s="44"/>
      <c r="AA48" s="44"/>
      <c r="AC48">
        <v>2022</v>
      </c>
      <c r="AD48" t="s">
        <v>76</v>
      </c>
      <c r="AE48">
        <v>20</v>
      </c>
      <c r="AF48" s="277">
        <f>AVERAGE(L189,L262)</f>
        <v>52.769539895909041</v>
      </c>
      <c r="AG48" s="38" t="s">
        <v>52</v>
      </c>
      <c r="AH48" s="38">
        <f>((L189-L262)/AVERAGE(L189,L262))*100</f>
        <v>0.99987478509459182</v>
      </c>
      <c r="AN48" t="s">
        <v>91</v>
      </c>
      <c r="AP48">
        <v>2</v>
      </c>
    </row>
    <row r="49" spans="1:42">
      <c r="A49" s="148">
        <v>45352</v>
      </c>
      <c r="B49">
        <v>8</v>
      </c>
      <c r="C49" t="s">
        <v>92</v>
      </c>
      <c r="D49">
        <v>3975</v>
      </c>
      <c r="G49">
        <v>3974.2049999999999</v>
      </c>
      <c r="H49">
        <v>459.6275</v>
      </c>
      <c r="I49">
        <v>0.38014000000000003</v>
      </c>
      <c r="J49">
        <v>459.24736000000001</v>
      </c>
      <c r="K49">
        <v>3985.7341264709453</v>
      </c>
      <c r="L49" s="277">
        <v>100.29009893729553</v>
      </c>
      <c r="M49">
        <v>3827.3162583180688</v>
      </c>
      <c r="N49">
        <v>96.303946533157415</v>
      </c>
      <c r="O49">
        <v>128</v>
      </c>
      <c r="P49">
        <v>41.7</v>
      </c>
      <c r="Q49">
        <v>100</v>
      </c>
      <c r="R49">
        <v>3</v>
      </c>
      <c r="S49" t="s">
        <v>54</v>
      </c>
      <c r="T49" t="s">
        <v>54</v>
      </c>
      <c r="X49" s="208">
        <f t="shared" ref="X49:X53" si="2">((J45-INDEX(LINEST($H$44:$H$49,$G$44:$G$49),2))/INDEX(LINEST($H$44:$H$49,$G$44:$G$49),1)/100.09)*12.01</f>
        <v>25.649614207495571</v>
      </c>
      <c r="Y49" s="208">
        <f t="shared" ref="Y49:Y53" si="3">(J45-X49)^2</f>
        <v>1.2922101282588832</v>
      </c>
      <c r="Z49" s="44"/>
      <c r="AA49" s="44"/>
      <c r="AC49">
        <v>2022</v>
      </c>
      <c r="AD49" t="s">
        <v>76</v>
      </c>
      <c r="AE49">
        <v>21</v>
      </c>
      <c r="AF49">
        <f>L217</f>
        <v>53.656208178012044</v>
      </c>
      <c r="AN49" s="129">
        <v>45373</v>
      </c>
      <c r="AP49">
        <v>1</v>
      </c>
    </row>
    <row r="50" spans="1:42">
      <c r="A50" s="148">
        <v>45352</v>
      </c>
      <c r="B50">
        <v>9</v>
      </c>
      <c r="C50" t="s">
        <v>61</v>
      </c>
      <c r="H50">
        <v>0.88619999999999999</v>
      </c>
      <c r="I50">
        <v>0.38014000000000003</v>
      </c>
      <c r="J50">
        <v>0.50605999999999995</v>
      </c>
      <c r="K50">
        <v>6.8596986471725572</v>
      </c>
      <c r="O50">
        <v>128</v>
      </c>
      <c r="P50">
        <v>41.7</v>
      </c>
      <c r="Q50">
        <v>100</v>
      </c>
      <c r="R50">
        <v>3</v>
      </c>
      <c r="S50" t="s">
        <v>54</v>
      </c>
      <c r="T50" t="s">
        <v>54</v>
      </c>
      <c r="X50" s="208">
        <f t="shared" si="2"/>
        <v>107.37464572765141</v>
      </c>
      <c r="Y50" s="208">
        <f t="shared" si="3"/>
        <v>18.311430491735521</v>
      </c>
      <c r="Z50" s="44"/>
      <c r="AA50" s="44"/>
      <c r="AC50">
        <v>2022</v>
      </c>
      <c r="AD50" t="s">
        <v>93</v>
      </c>
      <c r="AE50">
        <v>1</v>
      </c>
      <c r="AF50">
        <f>AVERAGE(L22,L295)</f>
        <v>77.240276394885512</v>
      </c>
      <c r="AG50" t="s">
        <v>52</v>
      </c>
      <c r="AH50" s="38">
        <f>((L22-L295)/AVERAGE(L22,L295))*100</f>
        <v>-0.64583111961522022</v>
      </c>
      <c r="AN50" t="s">
        <v>94</v>
      </c>
      <c r="AP50">
        <v>2</v>
      </c>
    </row>
    <row r="51" spans="1:42">
      <c r="A51" s="148">
        <v>45352</v>
      </c>
      <c r="B51">
        <v>10</v>
      </c>
      <c r="C51" t="s">
        <v>63</v>
      </c>
      <c r="H51">
        <v>0.23580000000000001</v>
      </c>
      <c r="I51">
        <v>0.38014000000000003</v>
      </c>
      <c r="J51">
        <v>-0.14434000000000002</v>
      </c>
      <c r="K51">
        <v>1.2184801044850309</v>
      </c>
      <c r="N51" t="e">
        <v>#DIV/0!</v>
      </c>
      <c r="O51">
        <v>128</v>
      </c>
      <c r="P51">
        <v>41.7</v>
      </c>
      <c r="Q51">
        <v>100</v>
      </c>
      <c r="R51">
        <v>3</v>
      </c>
      <c r="S51" t="s">
        <v>54</v>
      </c>
      <c r="T51" t="s">
        <v>54</v>
      </c>
      <c r="X51" s="208">
        <f t="shared" si="2"/>
        <v>250.32923157351649</v>
      </c>
      <c r="Y51" s="208">
        <f t="shared" si="3"/>
        <v>95.569620206202671</v>
      </c>
      <c r="Z51" s="44"/>
      <c r="AA51" s="44"/>
      <c r="AC51">
        <v>2022</v>
      </c>
      <c r="AD51" t="s">
        <v>93</v>
      </c>
      <c r="AE51">
        <v>2</v>
      </c>
      <c r="AF51">
        <f>AVERAGE(L23,L296)</f>
        <v>75.723805975172326</v>
      </c>
      <c r="AG51" t="s">
        <v>52</v>
      </c>
      <c r="AH51" s="38">
        <f>((L23-L296)/AVERAGE(L23,L296))*100</f>
        <v>2.1049955050173002</v>
      </c>
      <c r="AN51" t="s">
        <v>94</v>
      </c>
      <c r="AP51">
        <v>2</v>
      </c>
    </row>
    <row r="52" spans="1:42" ht="15.5">
      <c r="A52" s="148">
        <v>45352</v>
      </c>
      <c r="B52">
        <v>11</v>
      </c>
      <c r="C52" t="s">
        <v>64</v>
      </c>
      <c r="D52">
        <v>888.2</v>
      </c>
      <c r="H52">
        <v>13.714399999999999</v>
      </c>
      <c r="I52">
        <v>0.38014000000000003</v>
      </c>
      <c r="J52">
        <v>13.334259999999999</v>
      </c>
      <c r="K52">
        <v>118.12458134905467</v>
      </c>
      <c r="L52" s="277">
        <v>13.299322376610522</v>
      </c>
      <c r="M52">
        <v>111.12623508742715</v>
      </c>
      <c r="N52">
        <v>12.51139778061553</v>
      </c>
      <c r="O52">
        <v>128</v>
      </c>
      <c r="P52">
        <v>41.7</v>
      </c>
      <c r="Q52">
        <v>100</v>
      </c>
      <c r="R52">
        <v>3</v>
      </c>
      <c r="S52" t="s">
        <v>54</v>
      </c>
      <c r="T52" t="s">
        <v>54</v>
      </c>
      <c r="X52" s="208">
        <f t="shared" si="2"/>
        <v>349.90172055783995</v>
      </c>
      <c r="Y52" s="208">
        <f t="shared" si="3"/>
        <v>185.08678889404484</v>
      </c>
      <c r="Z52" s="44"/>
      <c r="AA52" s="52" t="s">
        <v>42</v>
      </c>
      <c r="AC52">
        <v>2022</v>
      </c>
      <c r="AD52" t="s">
        <v>93</v>
      </c>
      <c r="AE52">
        <v>3</v>
      </c>
      <c r="AF52">
        <f>AVERAGE(L24,L299)</f>
        <v>76.51639966988941</v>
      </c>
      <c r="AG52" t="s">
        <v>52</v>
      </c>
      <c r="AH52" s="38">
        <f>((L24-L299)/AVERAGE(L24,L299))*100</f>
        <v>2.2694346679689996</v>
      </c>
      <c r="AN52" t="s">
        <v>94</v>
      </c>
      <c r="AP52">
        <v>2</v>
      </c>
    </row>
    <row r="53" spans="1:42" ht="15.5">
      <c r="A53" s="148">
        <v>45352</v>
      </c>
      <c r="B53">
        <v>12</v>
      </c>
      <c r="C53" t="s">
        <v>64</v>
      </c>
      <c r="D53">
        <v>1949.1</v>
      </c>
      <c r="H53">
        <v>28.358799999999999</v>
      </c>
      <c r="I53">
        <v>0.38014000000000003</v>
      </c>
      <c r="J53">
        <v>27.978659999999998</v>
      </c>
      <c r="K53">
        <v>245.14220254606144</v>
      </c>
      <c r="L53" s="277">
        <v>12.577199863837743</v>
      </c>
      <c r="M53">
        <v>233.17103075770191</v>
      </c>
      <c r="N53">
        <v>11.963010146103429</v>
      </c>
      <c r="O53">
        <v>128</v>
      </c>
      <c r="P53">
        <v>41.7</v>
      </c>
      <c r="Q53">
        <v>100</v>
      </c>
      <c r="R53">
        <v>3</v>
      </c>
      <c r="S53" t="s">
        <v>54</v>
      </c>
      <c r="T53" t="s">
        <v>54</v>
      </c>
      <c r="X53" s="208">
        <f t="shared" si="2"/>
        <v>477.76866747627503</v>
      </c>
      <c r="Y53" s="208">
        <f t="shared" si="3"/>
        <v>343.03883063072067</v>
      </c>
      <c r="AA53" s="347">
        <f>(Y54/$AK$15)*100</f>
        <v>17.858265123372842</v>
      </c>
      <c r="AC53">
        <v>2022</v>
      </c>
      <c r="AD53" t="s">
        <v>93</v>
      </c>
      <c r="AE53">
        <v>4</v>
      </c>
      <c r="AF53">
        <f>AVERAGE(L25,L300)</f>
        <v>67.735738814733878</v>
      </c>
      <c r="AG53" t="s">
        <v>52</v>
      </c>
      <c r="AH53" s="38">
        <f>((L25-L300)/AVERAGE(L25,L300))*100</f>
        <v>2.6188696404833727</v>
      </c>
      <c r="AN53" t="s">
        <v>94</v>
      </c>
      <c r="AP53">
        <v>2</v>
      </c>
    </row>
    <row r="54" spans="1:42" ht="15.5">
      <c r="A54" s="148">
        <v>45352</v>
      </c>
      <c r="B54">
        <v>13</v>
      </c>
      <c r="C54" t="s">
        <v>65</v>
      </c>
      <c r="H54">
        <v>1</v>
      </c>
      <c r="I54">
        <v>0.38014000000000003</v>
      </c>
      <c r="J54">
        <v>0.61985999999999997</v>
      </c>
      <c r="K54">
        <v>7.8467384229379951</v>
      </c>
      <c r="O54">
        <v>128</v>
      </c>
      <c r="P54">
        <v>41.7</v>
      </c>
      <c r="Q54">
        <v>100</v>
      </c>
      <c r="R54">
        <v>3</v>
      </c>
      <c r="S54" t="s">
        <v>54</v>
      </c>
      <c r="T54" t="s">
        <v>54</v>
      </c>
      <c r="X54" s="44"/>
      <c r="Y54" s="347">
        <f>SQRT(SUM(Y48:Y53)/(6-2))</f>
        <v>12.681959290900103</v>
      </c>
      <c r="Z54" s="52" t="s">
        <v>60</v>
      </c>
      <c r="AA54" s="44"/>
      <c r="AC54">
        <v>2022</v>
      </c>
      <c r="AD54" t="s">
        <v>93</v>
      </c>
      <c r="AE54">
        <v>5</v>
      </c>
      <c r="AF54" s="277">
        <f>AVERAGE(L268,L301)</f>
        <v>75.711748484861062</v>
      </c>
      <c r="AG54" t="s">
        <v>52</v>
      </c>
      <c r="AH54" s="38">
        <f>((L268-L301)/AVERAGE(L268,L301))*100</f>
        <v>-3.3239943705437183</v>
      </c>
      <c r="AN54" t="s">
        <v>95</v>
      </c>
      <c r="AP54">
        <v>2</v>
      </c>
    </row>
    <row r="55" spans="1:42" ht="15.5">
      <c r="A55" s="148">
        <v>45352</v>
      </c>
      <c r="B55">
        <v>14</v>
      </c>
      <c r="C55" t="s">
        <v>66</v>
      </c>
      <c r="H55">
        <v>0.17960000000000001</v>
      </c>
      <c r="I55">
        <v>0.38014000000000003</v>
      </c>
      <c r="J55">
        <v>-0.20054000000000002</v>
      </c>
      <c r="K55">
        <v>0.73103163877310129</v>
      </c>
      <c r="O55">
        <v>128</v>
      </c>
      <c r="P55">
        <v>41.7</v>
      </c>
      <c r="Q55">
        <v>100</v>
      </c>
      <c r="R55">
        <v>3</v>
      </c>
      <c r="S55" t="s">
        <v>54</v>
      </c>
      <c r="T55" t="s">
        <v>54</v>
      </c>
      <c r="Y55" s="347">
        <f>(Y54/12.01)*100.09</f>
        <v>105.6900337573848</v>
      </c>
      <c r="Z55" s="52" t="s">
        <v>62</v>
      </c>
      <c r="AC55">
        <v>2022</v>
      </c>
      <c r="AD55" t="s">
        <v>93</v>
      </c>
      <c r="AE55">
        <v>6</v>
      </c>
      <c r="AF55" s="277">
        <f>AVERAGE(L27,L29)</f>
        <v>75.295200970962185</v>
      </c>
      <c r="AG55" s="38" t="s">
        <v>52</v>
      </c>
      <c r="AH55" s="38">
        <f>((L27-L29)/AVERAGE(L27,L29))*100</f>
        <v>0.38830142152581459</v>
      </c>
      <c r="AN55" s="129">
        <v>45351</v>
      </c>
      <c r="AP55">
        <v>2</v>
      </c>
    </row>
    <row r="56" spans="1:42">
      <c r="A56" s="148">
        <v>45352</v>
      </c>
      <c r="B56">
        <v>15</v>
      </c>
      <c r="C56" t="s">
        <v>96</v>
      </c>
      <c r="D56">
        <v>2949.2</v>
      </c>
      <c r="E56" t="s">
        <v>68</v>
      </c>
      <c r="H56">
        <v>270.36700000000002</v>
      </c>
      <c r="I56">
        <v>0.38014000000000003</v>
      </c>
      <c r="J56">
        <v>269.98686000000004</v>
      </c>
      <c r="K56">
        <v>2344.1907039643147</v>
      </c>
      <c r="L56" s="277">
        <v>79.485647089526481</v>
      </c>
      <c r="M56">
        <v>2250.0403678101584</v>
      </c>
      <c r="N56">
        <v>76.293244534455397</v>
      </c>
      <c r="O56">
        <v>128</v>
      </c>
      <c r="P56">
        <v>41.7</v>
      </c>
      <c r="Q56">
        <v>100</v>
      </c>
      <c r="R56">
        <v>3</v>
      </c>
      <c r="S56" t="s">
        <v>54</v>
      </c>
      <c r="T56" t="s">
        <v>54</v>
      </c>
      <c r="AC56">
        <v>2022</v>
      </c>
      <c r="AD56" t="s">
        <v>93</v>
      </c>
      <c r="AE56">
        <v>7</v>
      </c>
      <c r="AF56">
        <f>AVERAGE(L326,L330)</f>
        <v>74.20951087100832</v>
      </c>
      <c r="AG56" t="s">
        <v>52</v>
      </c>
      <c r="AH56" s="38">
        <f>((L326-L330)/AVERAGE(L326,L330))*100</f>
        <v>-6.839406835216412E-2</v>
      </c>
      <c r="AN56" s="129">
        <v>45476</v>
      </c>
      <c r="AP56">
        <v>2</v>
      </c>
    </row>
    <row r="57" spans="1:42">
      <c r="A57" s="148">
        <v>45352</v>
      </c>
      <c r="B57">
        <v>16</v>
      </c>
      <c r="C57" t="s">
        <v>97</v>
      </c>
      <c r="D57">
        <v>2243.9</v>
      </c>
      <c r="H57">
        <v>93.679500000000004</v>
      </c>
      <c r="I57">
        <v>0.38014000000000003</v>
      </c>
      <c r="J57">
        <v>93.299360000000007</v>
      </c>
      <c r="K57">
        <v>811.69869710530065</v>
      </c>
      <c r="L57" s="277">
        <v>36.173568211832105</v>
      </c>
      <c r="M57">
        <v>777.54645648626149</v>
      </c>
      <c r="N57">
        <v>34.65156452989266</v>
      </c>
      <c r="O57">
        <v>128</v>
      </c>
      <c r="P57">
        <v>41.7</v>
      </c>
      <c r="Q57">
        <v>100</v>
      </c>
      <c r="R57">
        <v>3</v>
      </c>
      <c r="S57" t="s">
        <v>54</v>
      </c>
      <c r="T57" t="s">
        <v>54</v>
      </c>
      <c r="AC57">
        <v>2022</v>
      </c>
      <c r="AD57" t="s">
        <v>93</v>
      </c>
      <c r="AE57">
        <v>8</v>
      </c>
      <c r="AF57">
        <f>AVERAGE(L31,L327)</f>
        <v>72.442754030685379</v>
      </c>
      <c r="AG57" t="s">
        <v>52</v>
      </c>
      <c r="AH57" s="38">
        <f>((L31-L327)/AVERAGE(L31,L327))*100</f>
        <v>0.85788555659313726</v>
      </c>
      <c r="AN57" t="s">
        <v>98</v>
      </c>
      <c r="AP57">
        <v>2</v>
      </c>
    </row>
    <row r="58" spans="1:42">
      <c r="A58" s="148">
        <v>45352</v>
      </c>
      <c r="B58">
        <v>17</v>
      </c>
      <c r="C58" t="s">
        <v>99</v>
      </c>
      <c r="D58">
        <v>2513.6999999999998</v>
      </c>
      <c r="H58">
        <v>198.55449999999999</v>
      </c>
      <c r="I58">
        <v>0.38014000000000003</v>
      </c>
      <c r="J58">
        <v>198.17435999999998</v>
      </c>
      <c r="K58">
        <v>1721.3278401931761</v>
      </c>
      <c r="L58" s="277">
        <v>68.477854962532376</v>
      </c>
      <c r="M58">
        <v>1651.56300519567</v>
      </c>
      <c r="N58">
        <v>65.70247066856308</v>
      </c>
      <c r="O58">
        <v>128</v>
      </c>
      <c r="P58">
        <v>41.7</v>
      </c>
      <c r="Q58">
        <v>100</v>
      </c>
      <c r="R58">
        <v>3</v>
      </c>
      <c r="S58" t="s">
        <v>54</v>
      </c>
      <c r="T58" t="s">
        <v>54</v>
      </c>
      <c r="AC58">
        <v>2022</v>
      </c>
      <c r="AD58" t="s">
        <v>93</v>
      </c>
      <c r="AE58">
        <v>9</v>
      </c>
      <c r="AF58">
        <f>AVERAGE(L32,L328)</f>
        <v>73.619368451657721</v>
      </c>
      <c r="AG58" t="s">
        <v>52</v>
      </c>
      <c r="AH58" s="38">
        <f>((L32-L328)/AVERAGE(L32,L328))*100</f>
        <v>2.0612063572721406</v>
      </c>
      <c r="AN58" t="s">
        <v>98</v>
      </c>
      <c r="AP58">
        <v>2</v>
      </c>
    </row>
    <row r="59" spans="1:42">
      <c r="A59" s="148">
        <v>45352</v>
      </c>
      <c r="B59">
        <v>18</v>
      </c>
      <c r="C59" t="s">
        <v>100</v>
      </c>
      <c r="D59">
        <v>2690.1</v>
      </c>
      <c r="H59">
        <v>194.28450000000001</v>
      </c>
      <c r="I59">
        <v>0.38014000000000003</v>
      </c>
      <c r="J59">
        <v>193.90436</v>
      </c>
      <c r="K59">
        <v>1684.2921649513623</v>
      </c>
      <c r="L59" s="277">
        <v>62.610764096180901</v>
      </c>
      <c r="M59">
        <v>1615.9773016153206</v>
      </c>
      <c r="N59">
        <v>60.071272503450452</v>
      </c>
      <c r="O59">
        <v>128</v>
      </c>
      <c r="P59">
        <v>41.7</v>
      </c>
      <c r="Q59">
        <v>100</v>
      </c>
      <c r="R59">
        <v>3</v>
      </c>
      <c r="S59" t="s">
        <v>54</v>
      </c>
      <c r="T59" t="s">
        <v>54</v>
      </c>
      <c r="AC59">
        <v>2022</v>
      </c>
      <c r="AD59" t="s">
        <v>93</v>
      </c>
      <c r="AE59">
        <v>10</v>
      </c>
      <c r="AF59">
        <f>AVERAGE(L33,L331)</f>
        <v>76.938564800678705</v>
      </c>
      <c r="AG59" t="s">
        <v>52</v>
      </c>
      <c r="AH59" s="38">
        <f>((L33-L331)/AVERAGE(L33,L331))*100</f>
        <v>-0.29115516844699024</v>
      </c>
      <c r="AN59" t="s">
        <v>98</v>
      </c>
      <c r="AP59">
        <v>2</v>
      </c>
    </row>
    <row r="60" spans="1:42">
      <c r="A60" s="148">
        <v>45352</v>
      </c>
      <c r="B60">
        <v>19</v>
      </c>
      <c r="C60" t="s">
        <v>101</v>
      </c>
      <c r="D60">
        <v>2593.8000000000002</v>
      </c>
      <c r="H60">
        <v>173.26220000000001</v>
      </c>
      <c r="I60">
        <v>0.38014000000000003</v>
      </c>
      <c r="J60">
        <v>172.88206</v>
      </c>
      <c r="K60">
        <v>1501.9560816642468</v>
      </c>
      <c r="L60" s="277">
        <v>57.905624244901176</v>
      </c>
      <c r="M60">
        <v>1440.7797989508745</v>
      </c>
      <c r="N60">
        <v>55.547066040206431</v>
      </c>
      <c r="O60">
        <v>128</v>
      </c>
      <c r="P60">
        <v>41.7</v>
      </c>
      <c r="Q60">
        <v>100</v>
      </c>
      <c r="R60">
        <v>3</v>
      </c>
      <c r="S60" t="s">
        <v>54</v>
      </c>
      <c r="T60" t="s">
        <v>54</v>
      </c>
      <c r="AC60">
        <v>2022</v>
      </c>
      <c r="AD60" t="s">
        <v>93</v>
      </c>
      <c r="AE60">
        <v>11</v>
      </c>
      <c r="AF60">
        <f>L56</f>
        <v>79.485647089526481</v>
      </c>
      <c r="AN60" s="129">
        <v>45352</v>
      </c>
      <c r="AP60">
        <v>1</v>
      </c>
    </row>
    <row r="61" spans="1:42">
      <c r="A61" s="148">
        <v>45352</v>
      </c>
      <c r="B61">
        <v>20</v>
      </c>
      <c r="C61" t="s">
        <v>102</v>
      </c>
      <c r="D61">
        <v>3425.2</v>
      </c>
      <c r="H61">
        <v>277.72809999999998</v>
      </c>
      <c r="I61">
        <v>0.38014000000000003</v>
      </c>
      <c r="J61">
        <v>277.34796</v>
      </c>
      <c r="K61">
        <v>2408.0369121663089</v>
      </c>
      <c r="L61" s="277">
        <v>70.303541754242346</v>
      </c>
      <c r="M61">
        <v>2311.3869539050793</v>
      </c>
      <c r="N61">
        <v>67.481809935334567</v>
      </c>
      <c r="O61">
        <v>128</v>
      </c>
      <c r="P61">
        <v>41.7</v>
      </c>
      <c r="Q61">
        <v>100</v>
      </c>
      <c r="R61">
        <v>3</v>
      </c>
      <c r="S61" t="s">
        <v>54</v>
      </c>
      <c r="T61" t="s">
        <v>54</v>
      </c>
      <c r="AC61">
        <v>2022</v>
      </c>
      <c r="AD61" t="s">
        <v>93</v>
      </c>
      <c r="AE61">
        <v>12</v>
      </c>
      <c r="AF61">
        <f>AVERAGE(L260,L266)</f>
        <v>75.636855484811136</v>
      </c>
      <c r="AG61" t="s">
        <v>52</v>
      </c>
      <c r="AH61" s="38">
        <f>((L260-L266)/AVERAGE(L260,L266))*100</f>
        <v>-1.4479967007926853</v>
      </c>
      <c r="AN61" s="129">
        <v>45405</v>
      </c>
      <c r="AP61">
        <v>2</v>
      </c>
    </row>
    <row r="62" spans="1:42">
      <c r="A62" s="148">
        <v>45352</v>
      </c>
      <c r="B62">
        <v>21</v>
      </c>
      <c r="C62" t="s">
        <v>74</v>
      </c>
      <c r="H62">
        <v>0.27589999999999998</v>
      </c>
      <c r="I62">
        <v>0.38014000000000003</v>
      </c>
      <c r="J62">
        <v>-0.10424000000000005</v>
      </c>
      <c r="K62">
        <v>1.5662858602688094</v>
      </c>
      <c r="O62">
        <v>128</v>
      </c>
      <c r="P62">
        <v>41.7</v>
      </c>
      <c r="Q62">
        <v>100</v>
      </c>
      <c r="R62">
        <v>3</v>
      </c>
      <c r="S62" t="s">
        <v>54</v>
      </c>
      <c r="T62" t="s">
        <v>54</v>
      </c>
      <c r="AC62">
        <v>2022</v>
      </c>
      <c r="AD62" t="s">
        <v>93</v>
      </c>
      <c r="AE62">
        <v>13</v>
      </c>
      <c r="AF62">
        <f>L58</f>
        <v>68.477854962532376</v>
      </c>
      <c r="AN62" s="129">
        <v>45352</v>
      </c>
      <c r="AP62">
        <v>1</v>
      </c>
    </row>
    <row r="63" spans="1:42">
      <c r="A63" s="148">
        <v>45352</v>
      </c>
      <c r="B63">
        <v>22</v>
      </c>
      <c r="C63" t="s">
        <v>103</v>
      </c>
      <c r="D63">
        <v>2216.6999999999998</v>
      </c>
      <c r="H63">
        <v>149.25569999999999</v>
      </c>
      <c r="I63">
        <v>0.38014000000000003</v>
      </c>
      <c r="J63">
        <v>148.87555999999998</v>
      </c>
      <c r="K63">
        <v>1293.7366583170324</v>
      </c>
      <c r="L63" s="277">
        <v>58.363182131864143</v>
      </c>
      <c r="M63">
        <v>1240.7123064446293</v>
      </c>
      <c r="N63">
        <v>55.971142078072333</v>
      </c>
      <c r="O63">
        <v>128</v>
      </c>
      <c r="P63">
        <v>41.7</v>
      </c>
      <c r="Q63">
        <v>100</v>
      </c>
      <c r="R63">
        <v>3</v>
      </c>
      <c r="S63" t="s">
        <v>54</v>
      </c>
      <c r="T63" t="s">
        <v>54</v>
      </c>
      <c r="AC63">
        <v>2022</v>
      </c>
      <c r="AD63" t="s">
        <v>93</v>
      </c>
      <c r="AE63">
        <v>14</v>
      </c>
      <c r="AF63">
        <f>L59</f>
        <v>62.610764096180901</v>
      </c>
      <c r="AN63" s="129">
        <v>45352</v>
      </c>
      <c r="AP63">
        <v>1</v>
      </c>
    </row>
    <row r="64" spans="1:42">
      <c r="A64" s="148">
        <v>45352</v>
      </c>
      <c r="B64">
        <v>23</v>
      </c>
      <c r="C64" t="s">
        <v>104</v>
      </c>
      <c r="D64">
        <v>2860.7</v>
      </c>
      <c r="H64">
        <v>243.36770000000001</v>
      </c>
      <c r="I64">
        <v>0.38014000000000003</v>
      </c>
      <c r="J64">
        <v>242.98756</v>
      </c>
      <c r="K64">
        <v>2110.0133487989033</v>
      </c>
      <c r="L64" s="277">
        <v>73.758637704020117</v>
      </c>
      <c r="M64">
        <v>2025.0312140216488</v>
      </c>
      <c r="N64">
        <v>70.78796147871671</v>
      </c>
      <c r="O64">
        <v>128</v>
      </c>
      <c r="P64">
        <v>41.7</v>
      </c>
      <c r="Q64">
        <v>100</v>
      </c>
      <c r="R64">
        <v>3</v>
      </c>
      <c r="S64" t="s">
        <v>54</v>
      </c>
      <c r="T64" t="s">
        <v>54</v>
      </c>
      <c r="AC64">
        <v>2022</v>
      </c>
      <c r="AD64" t="s">
        <v>93</v>
      </c>
      <c r="AE64">
        <v>15</v>
      </c>
      <c r="AF64" s="277">
        <f>AVERAGE(L60,L63)</f>
        <v>58.134403188382663</v>
      </c>
      <c r="AG64" s="38" t="s">
        <v>52</v>
      </c>
      <c r="AH64" s="38">
        <f>((L60-L63)/AVERAGE(L60,L63))*100</f>
        <v>-0.78706903635058401</v>
      </c>
      <c r="AN64" s="129">
        <v>45352</v>
      </c>
      <c r="AP64">
        <v>2</v>
      </c>
    </row>
    <row r="65" spans="1:42">
      <c r="A65" s="148">
        <v>45352</v>
      </c>
      <c r="B65">
        <v>24</v>
      </c>
      <c r="C65" t="s">
        <v>105</v>
      </c>
      <c r="D65">
        <v>3427</v>
      </c>
      <c r="H65">
        <v>285.48750000000001</v>
      </c>
      <c r="I65">
        <v>0.38014000000000003</v>
      </c>
      <c r="J65">
        <v>285.10736000000003</v>
      </c>
      <c r="K65">
        <v>2475.3377595834822</v>
      </c>
      <c r="L65" s="277">
        <v>72.230456947285731</v>
      </c>
      <c r="M65">
        <v>2376.0529277602</v>
      </c>
      <c r="N65">
        <v>69.33332149869274</v>
      </c>
      <c r="O65">
        <v>128</v>
      </c>
      <c r="P65">
        <v>41.7</v>
      </c>
      <c r="Q65">
        <v>100</v>
      </c>
      <c r="R65">
        <v>3</v>
      </c>
      <c r="S65" t="s">
        <v>54</v>
      </c>
      <c r="T65" t="s">
        <v>54</v>
      </c>
      <c r="AC65">
        <v>2022</v>
      </c>
      <c r="AD65" t="s">
        <v>93</v>
      </c>
      <c r="AE65">
        <v>16</v>
      </c>
      <c r="AF65" s="277">
        <f>AVERAGE(L61,L267)</f>
        <v>69.092146159357753</v>
      </c>
      <c r="AG65" s="38" t="s">
        <v>52</v>
      </c>
      <c r="AH65" s="38">
        <f>((L61-L267)/AVERAGE(L61,L267))*100</f>
        <v>3.5066086732652919</v>
      </c>
      <c r="AN65" t="s">
        <v>106</v>
      </c>
      <c r="AP65">
        <v>2</v>
      </c>
    </row>
    <row r="66" spans="1:42">
      <c r="A66" s="148">
        <v>45352</v>
      </c>
      <c r="B66">
        <v>25</v>
      </c>
      <c r="C66" t="s">
        <v>107</v>
      </c>
      <c r="D66">
        <v>3336.1</v>
      </c>
      <c r="H66">
        <v>275.49489999999997</v>
      </c>
      <c r="I66">
        <v>0.38014000000000003</v>
      </c>
      <c r="J66">
        <v>275.11475999999999</v>
      </c>
      <c r="K66">
        <v>2388.6673407494422</v>
      </c>
      <c r="L66" s="277">
        <v>71.600591731346256</v>
      </c>
      <c r="M66">
        <v>2292.7757142714404</v>
      </c>
      <c r="N66">
        <v>68.726228658356774</v>
      </c>
      <c r="O66">
        <v>128</v>
      </c>
      <c r="P66">
        <v>41.7</v>
      </c>
      <c r="Q66">
        <v>100</v>
      </c>
      <c r="R66">
        <v>3</v>
      </c>
      <c r="S66" t="s">
        <v>54</v>
      </c>
      <c r="T66" t="s">
        <v>54</v>
      </c>
      <c r="AC66">
        <v>2022</v>
      </c>
      <c r="AD66" t="s">
        <v>93</v>
      </c>
      <c r="AE66">
        <v>17</v>
      </c>
      <c r="AF66">
        <f>L64</f>
        <v>73.758637704020117</v>
      </c>
      <c r="AG66" s="38"/>
      <c r="AH66" s="38"/>
      <c r="AN66" s="129">
        <v>45352</v>
      </c>
      <c r="AP66">
        <v>1</v>
      </c>
    </row>
    <row r="67" spans="1:42">
      <c r="A67" s="148">
        <v>45352</v>
      </c>
      <c r="B67">
        <v>26</v>
      </c>
      <c r="C67" t="s">
        <v>108</v>
      </c>
      <c r="D67">
        <v>2880.8</v>
      </c>
      <c r="H67">
        <v>239.1644</v>
      </c>
      <c r="I67">
        <v>0.38014000000000003</v>
      </c>
      <c r="J67">
        <v>238.78425999999999</v>
      </c>
      <c r="K67">
        <v>2073.5561933553627</v>
      </c>
      <c r="L67" s="277">
        <v>71.978484912363314</v>
      </c>
      <c r="M67">
        <v>1990.0013807993341</v>
      </c>
      <c r="N67">
        <v>69.078081810585047</v>
      </c>
      <c r="AC67">
        <v>2022</v>
      </c>
      <c r="AD67" t="s">
        <v>93</v>
      </c>
      <c r="AE67">
        <v>18</v>
      </c>
      <c r="AF67">
        <f>L65</f>
        <v>72.230456947285731</v>
      </c>
      <c r="AN67" s="129">
        <v>45352</v>
      </c>
      <c r="AP67">
        <v>1</v>
      </c>
    </row>
    <row r="68" spans="1:42">
      <c r="A68" s="148">
        <v>45352</v>
      </c>
      <c r="B68">
        <v>27</v>
      </c>
      <c r="C68" t="s">
        <v>109</v>
      </c>
      <c r="D68">
        <v>2040.3</v>
      </c>
      <c r="H68">
        <v>165.125</v>
      </c>
      <c r="I68">
        <v>0.38014000000000003</v>
      </c>
      <c r="J68">
        <v>164.74485999999999</v>
      </c>
      <c r="K68">
        <v>1431.3784009668959</v>
      </c>
      <c r="L68" s="277">
        <v>70.155290935984709</v>
      </c>
      <c r="M68">
        <v>1372.9652820482931</v>
      </c>
      <c r="N68">
        <v>67.292323778282267</v>
      </c>
      <c r="O68">
        <v>128</v>
      </c>
      <c r="P68">
        <v>41.7</v>
      </c>
      <c r="Q68">
        <v>100</v>
      </c>
      <c r="R68">
        <v>3</v>
      </c>
      <c r="S68" t="s">
        <v>54</v>
      </c>
      <c r="T68" t="s">
        <v>54</v>
      </c>
      <c r="AC68">
        <v>2022</v>
      </c>
      <c r="AD68" t="s">
        <v>93</v>
      </c>
      <c r="AE68">
        <v>19</v>
      </c>
      <c r="AF68">
        <f>L66</f>
        <v>71.600591731346256</v>
      </c>
      <c r="AN68" s="129">
        <v>45352</v>
      </c>
      <c r="AP68">
        <v>1</v>
      </c>
    </row>
    <row r="69" spans="1:42">
      <c r="A69" s="148">
        <v>45352</v>
      </c>
      <c r="B69">
        <v>28</v>
      </c>
      <c r="C69" t="s">
        <v>82</v>
      </c>
      <c r="H69">
        <v>0.3599</v>
      </c>
      <c r="I69">
        <v>0.38014000000000003</v>
      </c>
      <c r="J69">
        <v>-2.0240000000000036E-2</v>
      </c>
      <c r="K69">
        <v>2.2948565207635085</v>
      </c>
      <c r="O69">
        <v>128</v>
      </c>
      <c r="P69">
        <v>41.7</v>
      </c>
      <c r="Q69">
        <v>100</v>
      </c>
      <c r="R69">
        <v>3</v>
      </c>
      <c r="S69" t="s">
        <v>54</v>
      </c>
      <c r="T69" t="s">
        <v>54</v>
      </c>
      <c r="AC69">
        <v>2022</v>
      </c>
      <c r="AD69" t="s">
        <v>93</v>
      </c>
      <c r="AE69">
        <v>20</v>
      </c>
      <c r="AF69" s="277">
        <f>AVERAGE(L67,L269)</f>
        <v>72.64540542238008</v>
      </c>
      <c r="AG69" s="38" t="s">
        <v>52</v>
      </c>
      <c r="AH69" s="38">
        <f>((L67-L269)/AVERAGE(L67,L269))*100</f>
        <v>-1.8360982532594021</v>
      </c>
      <c r="AN69" t="s">
        <v>106</v>
      </c>
      <c r="AP69">
        <v>2</v>
      </c>
    </row>
    <row r="70" spans="1:42">
      <c r="A70" s="148">
        <v>45352</v>
      </c>
      <c r="B70">
        <v>29</v>
      </c>
      <c r="C70" t="s">
        <v>110</v>
      </c>
      <c r="D70">
        <v>2170.1999999999998</v>
      </c>
      <c r="G70">
        <v>2169.7659599999997</v>
      </c>
      <c r="H70">
        <v>251.36170000000001</v>
      </c>
      <c r="I70">
        <v>0.38014000000000003</v>
      </c>
      <c r="J70">
        <v>250.98156</v>
      </c>
      <c r="K70">
        <v>2179.3489899893152</v>
      </c>
      <c r="L70" s="277">
        <v>100.44166191957935</v>
      </c>
      <c r="M70">
        <v>2091.6523181015823</v>
      </c>
      <c r="N70">
        <v>96.399904720672396</v>
      </c>
      <c r="O70">
        <v>128</v>
      </c>
      <c r="P70">
        <v>41.7</v>
      </c>
      <c r="Q70">
        <v>100</v>
      </c>
      <c r="R70">
        <v>3</v>
      </c>
      <c r="S70" t="s">
        <v>54</v>
      </c>
      <c r="T70" t="s">
        <v>54</v>
      </c>
      <c r="AC70">
        <v>2022</v>
      </c>
      <c r="AD70" t="s">
        <v>93</v>
      </c>
      <c r="AE70">
        <v>21</v>
      </c>
      <c r="AF70">
        <f>L68</f>
        <v>70.155290935984709</v>
      </c>
      <c r="AN70" s="129">
        <v>45352</v>
      </c>
      <c r="AP70">
        <v>1</v>
      </c>
    </row>
    <row r="71" spans="1:42">
      <c r="A71" s="148">
        <v>45352</v>
      </c>
      <c r="B71">
        <v>30</v>
      </c>
      <c r="C71" t="s">
        <v>84</v>
      </c>
      <c r="H71">
        <v>0.22839999999999999</v>
      </c>
      <c r="I71">
        <v>0.38014000000000003</v>
      </c>
      <c r="J71">
        <v>-0.15174000000000004</v>
      </c>
      <c r="K71">
        <v>1.1542964986795452</v>
      </c>
      <c r="O71">
        <v>128</v>
      </c>
      <c r="P71">
        <v>41.7</v>
      </c>
      <c r="Q71">
        <v>100</v>
      </c>
      <c r="R71">
        <v>3</v>
      </c>
      <c r="S71" t="s">
        <v>54</v>
      </c>
      <c r="T71" t="s">
        <v>54</v>
      </c>
    </row>
    <row r="72" spans="1:42">
      <c r="H72"/>
    </row>
    <row r="73" spans="1:42">
      <c r="A73" s="148" t="s">
        <v>36</v>
      </c>
      <c r="H73"/>
      <c r="AC73" s="129"/>
      <c r="AD73" s="129"/>
      <c r="AE73" s="129"/>
      <c r="AF73" s="129"/>
      <c r="AG73" s="129"/>
      <c r="AH73" s="129"/>
      <c r="AI73" s="129"/>
      <c r="AJ73" s="129"/>
      <c r="AK73" s="129"/>
      <c r="AL73" s="129"/>
    </row>
    <row r="74" spans="1:42">
      <c r="A74" s="148" t="s">
        <v>38</v>
      </c>
      <c r="H74"/>
    </row>
    <row r="75" spans="1:42">
      <c r="A75" s="148" t="s">
        <v>111</v>
      </c>
      <c r="H75"/>
    </row>
    <row r="76" spans="1:42">
      <c r="A76" s="148">
        <v>45356</v>
      </c>
      <c r="B76">
        <v>1</v>
      </c>
      <c r="C76" t="s">
        <v>45</v>
      </c>
      <c r="H76">
        <v>0.2823</v>
      </c>
    </row>
    <row r="77" spans="1:42">
      <c r="A77" s="148">
        <v>45356</v>
      </c>
      <c r="B77">
        <v>2</v>
      </c>
      <c r="C77" t="s">
        <v>49</v>
      </c>
      <c r="H77">
        <v>0.26819999999999999</v>
      </c>
    </row>
    <row r="78" spans="1:42">
      <c r="A78" s="148">
        <v>45356</v>
      </c>
      <c r="B78">
        <v>3</v>
      </c>
      <c r="C78" t="s">
        <v>51</v>
      </c>
      <c r="G78">
        <v>0</v>
      </c>
      <c r="H78">
        <v>0.2382</v>
      </c>
      <c r="I78">
        <v>0.31532999999999994</v>
      </c>
      <c r="J78">
        <v>0.31532999999999994</v>
      </c>
    </row>
    <row r="79" spans="1:42">
      <c r="A79" s="148">
        <v>45356</v>
      </c>
      <c r="B79">
        <v>4</v>
      </c>
      <c r="C79" t="s">
        <v>112</v>
      </c>
      <c r="D79">
        <v>396.2</v>
      </c>
      <c r="G79">
        <v>396.12076000000002</v>
      </c>
      <c r="H79">
        <v>46.204900000000002</v>
      </c>
      <c r="I79">
        <v>0.31532999999999994</v>
      </c>
      <c r="J79">
        <v>45.889569999999999</v>
      </c>
      <c r="K79">
        <v>393.22170134054545</v>
      </c>
      <c r="L79" s="277">
        <v>99.268137660986369</v>
      </c>
      <c r="M79">
        <v>382.43855631140713</v>
      </c>
      <c r="N79">
        <v>96.545951368821761</v>
      </c>
      <c r="O79">
        <v>128</v>
      </c>
      <c r="P79">
        <v>41.7</v>
      </c>
      <c r="Q79">
        <v>100</v>
      </c>
      <c r="R79">
        <v>3</v>
      </c>
      <c r="S79" t="s">
        <v>54</v>
      </c>
      <c r="T79" t="s">
        <v>54</v>
      </c>
    </row>
    <row r="80" spans="1:42">
      <c r="A80" s="148">
        <v>45356</v>
      </c>
      <c r="B80">
        <v>5</v>
      </c>
      <c r="C80" t="s">
        <v>113</v>
      </c>
      <c r="D80">
        <v>1159.0999999999999</v>
      </c>
      <c r="G80">
        <v>1158.8681799999999</v>
      </c>
      <c r="H80">
        <v>134.91480000000001</v>
      </c>
      <c r="I80">
        <v>0.31532999999999994</v>
      </c>
      <c r="J80">
        <v>134.59947000000003</v>
      </c>
      <c r="K80">
        <v>1142.8644078395037</v>
      </c>
      <c r="L80" s="277">
        <v>98.6190170343191</v>
      </c>
      <c r="M80">
        <v>1121.7369652206496</v>
      </c>
      <c r="N80">
        <v>96.795906952993533</v>
      </c>
      <c r="O80">
        <v>128</v>
      </c>
      <c r="P80">
        <v>41.7</v>
      </c>
      <c r="Q80">
        <v>100</v>
      </c>
      <c r="R80">
        <v>3</v>
      </c>
      <c r="S80" t="s">
        <v>54</v>
      </c>
      <c r="T80" t="s">
        <v>54</v>
      </c>
    </row>
    <row r="81" spans="1:27">
      <c r="A81" s="148">
        <v>45356</v>
      </c>
      <c r="B81">
        <v>6</v>
      </c>
      <c r="C81" t="s">
        <v>114</v>
      </c>
      <c r="D81">
        <v>2021.7</v>
      </c>
      <c r="G81">
        <v>2021.29566</v>
      </c>
      <c r="H81">
        <v>240.82390000000001</v>
      </c>
      <c r="I81">
        <v>0.31532999999999994</v>
      </c>
      <c r="J81">
        <v>240.50857000000002</v>
      </c>
      <c r="K81">
        <v>2037.8488951049474</v>
      </c>
      <c r="L81" s="277">
        <v>100.81894180215809</v>
      </c>
      <c r="M81">
        <v>2004.3715879517072</v>
      </c>
      <c r="N81">
        <v>99.162711701053524</v>
      </c>
      <c r="O81">
        <v>128</v>
      </c>
      <c r="P81">
        <v>41.7</v>
      </c>
      <c r="Q81">
        <v>100</v>
      </c>
      <c r="R81">
        <v>3</v>
      </c>
      <c r="S81" t="s">
        <v>54</v>
      </c>
      <c r="T81" t="s">
        <v>54</v>
      </c>
    </row>
    <row r="82" spans="1:27">
      <c r="A82" s="148">
        <v>45356</v>
      </c>
      <c r="B82">
        <v>7</v>
      </c>
      <c r="C82" t="s">
        <v>115</v>
      </c>
      <c r="D82">
        <v>2987</v>
      </c>
      <c r="G82">
        <v>2986.4025999999999</v>
      </c>
      <c r="H82">
        <v>351.5677</v>
      </c>
      <c r="I82">
        <v>0.31532999999999994</v>
      </c>
      <c r="J82">
        <v>351.25236999999998</v>
      </c>
      <c r="K82">
        <v>2973.6889981822733</v>
      </c>
      <c r="L82" s="277">
        <v>99.574283727929839</v>
      </c>
      <c r="M82">
        <v>2927.2980610574518</v>
      </c>
      <c r="N82">
        <v>98.020878399230298</v>
      </c>
      <c r="O82">
        <v>128</v>
      </c>
      <c r="P82">
        <v>41.7</v>
      </c>
      <c r="Q82">
        <v>100</v>
      </c>
      <c r="R82">
        <v>3</v>
      </c>
      <c r="S82" t="s">
        <v>54</v>
      </c>
      <c r="T82" t="s">
        <v>54</v>
      </c>
    </row>
    <row r="83" spans="1:27">
      <c r="A83" s="148">
        <v>45356</v>
      </c>
      <c r="B83">
        <v>8</v>
      </c>
      <c r="C83" t="s">
        <v>116</v>
      </c>
      <c r="D83">
        <v>3475</v>
      </c>
      <c r="G83">
        <v>3474.3050000000003</v>
      </c>
      <c r="H83">
        <v>411.63310000000001</v>
      </c>
      <c r="I83">
        <v>0.31532999999999994</v>
      </c>
      <c r="J83">
        <v>411.31777</v>
      </c>
      <c r="K83">
        <v>3481.2714554158238</v>
      </c>
      <c r="L83" s="277">
        <v>100.20051363987396</v>
      </c>
      <c r="M83">
        <v>3427.8764029392173</v>
      </c>
      <c r="N83">
        <v>98.663657996037117</v>
      </c>
      <c r="O83">
        <v>128</v>
      </c>
      <c r="P83">
        <v>41.7</v>
      </c>
      <c r="Q83">
        <v>100</v>
      </c>
      <c r="R83">
        <v>3</v>
      </c>
      <c r="S83" t="s">
        <v>54</v>
      </c>
      <c r="T83" t="s">
        <v>54</v>
      </c>
    </row>
    <row r="84" spans="1:27">
      <c r="A84" s="148">
        <v>45356</v>
      </c>
      <c r="B84">
        <v>9</v>
      </c>
      <c r="C84" t="s">
        <v>61</v>
      </c>
      <c r="H84">
        <v>0.6381</v>
      </c>
      <c r="I84">
        <v>0.31532999999999994</v>
      </c>
      <c r="J84">
        <v>0.32277000000000006</v>
      </c>
      <c r="K84">
        <v>8.1596138114565715</v>
      </c>
      <c r="O84">
        <v>128</v>
      </c>
      <c r="P84">
        <v>41.7</v>
      </c>
      <c r="Q84">
        <v>100</v>
      </c>
      <c r="R84">
        <v>3</v>
      </c>
      <c r="S84" t="s">
        <v>54</v>
      </c>
      <c r="T84" t="s">
        <v>54</v>
      </c>
      <c r="X84" s="348">
        <f>A85</f>
        <v>45356</v>
      </c>
      <c r="Y84" s="44"/>
      <c r="Z84" s="44"/>
      <c r="AA84" s="44"/>
    </row>
    <row r="85" spans="1:27">
      <c r="A85" s="148">
        <v>45356</v>
      </c>
      <c r="B85">
        <v>10</v>
      </c>
      <c r="C85" t="s">
        <v>63</v>
      </c>
      <c r="H85">
        <v>0.32800000000000001</v>
      </c>
      <c r="I85">
        <v>0.31532999999999994</v>
      </c>
      <c r="J85">
        <v>1.267000000000007E-2</v>
      </c>
      <c r="K85">
        <v>5.5391148222194424</v>
      </c>
      <c r="O85">
        <v>128</v>
      </c>
      <c r="P85">
        <v>41.7</v>
      </c>
      <c r="Q85">
        <v>100</v>
      </c>
      <c r="R85">
        <v>3</v>
      </c>
      <c r="S85" t="s">
        <v>54</v>
      </c>
      <c r="T85" t="s">
        <v>54</v>
      </c>
      <c r="X85" s="208" t="e">
        <f>((J79-INDEX(LINEST($H$79:$H$84,$G$79:$G$84),2))/INDEX(LINEST($H$79:$H$84,$G$79:$G$84),1)/100.09)*12.01</f>
        <v>#VALUE!</v>
      </c>
      <c r="Y85" s="208" t="e">
        <f>(J79-X85)^2</f>
        <v>#VALUE!</v>
      </c>
      <c r="Z85" s="44"/>
      <c r="AA85" s="44"/>
    </row>
    <row r="86" spans="1:27">
      <c r="A86" s="148">
        <v>45356</v>
      </c>
      <c r="B86">
        <v>11</v>
      </c>
      <c r="C86" t="s">
        <v>64</v>
      </c>
      <c r="D86">
        <v>958.7</v>
      </c>
      <c r="H86">
        <v>12.785299999999999</v>
      </c>
      <c r="I86">
        <v>0.31532999999999994</v>
      </c>
      <c r="J86">
        <v>12.46997</v>
      </c>
      <c r="K86">
        <v>110.80948585938067</v>
      </c>
      <c r="L86" s="277">
        <v>11.558306650608184</v>
      </c>
      <c r="M86">
        <v>103.92333865945045</v>
      </c>
      <c r="N86">
        <v>10.840026980228481</v>
      </c>
      <c r="O86">
        <v>128</v>
      </c>
      <c r="P86">
        <v>41.7</v>
      </c>
      <c r="Q86">
        <v>100</v>
      </c>
      <c r="R86">
        <v>3</v>
      </c>
      <c r="S86" t="s">
        <v>54</v>
      </c>
      <c r="T86" t="s">
        <v>54</v>
      </c>
      <c r="X86" s="208" t="e">
        <f t="shared" ref="X86:X90" si="4">((J80-INDEX(LINEST($H$79:$H$84,$G$79:$G$84),2))/INDEX(LINEST($H$79:$H$84,$G$79:$G$84),1)/100.09)*12.01</f>
        <v>#VALUE!</v>
      </c>
      <c r="Y86" s="208" t="e">
        <f t="shared" ref="Y86:Y90" si="5">(J80-X86)^2</f>
        <v>#VALUE!</v>
      </c>
      <c r="Z86" s="44"/>
      <c r="AA86" s="44"/>
    </row>
    <row r="87" spans="1:27">
      <c r="A87" s="148">
        <v>45356</v>
      </c>
      <c r="B87">
        <v>12</v>
      </c>
      <c r="C87" t="s">
        <v>64</v>
      </c>
      <c r="D87">
        <v>1940.7</v>
      </c>
      <c r="H87">
        <v>27.691099999999999</v>
      </c>
      <c r="I87">
        <v>0.31532999999999994</v>
      </c>
      <c r="J87">
        <v>27.375769999999999</v>
      </c>
      <c r="K87">
        <v>236.77089777092795</v>
      </c>
      <c r="L87" s="277">
        <v>12.200283288036683</v>
      </c>
      <c r="M87">
        <v>228.14661276436303</v>
      </c>
      <c r="N87">
        <v>11.755892861563508</v>
      </c>
      <c r="O87">
        <v>128</v>
      </c>
      <c r="P87">
        <v>41.7</v>
      </c>
      <c r="Q87">
        <v>100</v>
      </c>
      <c r="R87">
        <v>3</v>
      </c>
      <c r="S87" t="s">
        <v>54</v>
      </c>
      <c r="T87" t="s">
        <v>54</v>
      </c>
      <c r="X87" s="208" t="e">
        <f t="shared" si="4"/>
        <v>#VALUE!</v>
      </c>
      <c r="Y87" s="208" t="e">
        <f t="shared" si="5"/>
        <v>#VALUE!</v>
      </c>
      <c r="Z87" s="44"/>
      <c r="AA87" s="44"/>
    </row>
    <row r="88" spans="1:27">
      <c r="A88" s="148">
        <v>45356</v>
      </c>
      <c r="B88">
        <v>13</v>
      </c>
      <c r="C88" t="s">
        <v>65</v>
      </c>
      <c r="H88">
        <v>0.22220000000000001</v>
      </c>
      <c r="I88">
        <v>0.31532999999999994</v>
      </c>
      <c r="J88">
        <v>-9.3129999999999935E-2</v>
      </c>
      <c r="K88">
        <v>4.6450522841307986</v>
      </c>
      <c r="O88">
        <v>128</v>
      </c>
      <c r="P88">
        <v>41.7</v>
      </c>
      <c r="Q88">
        <v>100</v>
      </c>
      <c r="R88">
        <v>3</v>
      </c>
      <c r="S88" t="s">
        <v>54</v>
      </c>
      <c r="T88" t="s">
        <v>54</v>
      </c>
      <c r="X88" s="208" t="e">
        <f t="shared" si="4"/>
        <v>#VALUE!</v>
      </c>
      <c r="Y88" s="208" t="e">
        <f t="shared" si="5"/>
        <v>#VALUE!</v>
      </c>
      <c r="Z88" s="44"/>
      <c r="AA88" s="44"/>
    </row>
    <row r="89" spans="1:27" ht="15.5">
      <c r="A89" s="148">
        <v>45356</v>
      </c>
      <c r="B89">
        <v>14</v>
      </c>
      <c r="C89" t="s">
        <v>66</v>
      </c>
      <c r="H89">
        <v>0.27379999999999999</v>
      </c>
      <c r="I89">
        <v>0.31532999999999994</v>
      </c>
      <c r="J89">
        <v>-4.1529999999999956E-2</v>
      </c>
      <c r="K89">
        <v>5.0810979076220457</v>
      </c>
      <c r="O89">
        <v>128</v>
      </c>
      <c r="P89">
        <v>41.7</v>
      </c>
      <c r="Q89">
        <v>100</v>
      </c>
      <c r="R89">
        <v>3</v>
      </c>
      <c r="S89" t="s">
        <v>54</v>
      </c>
      <c r="T89" t="s">
        <v>54</v>
      </c>
      <c r="X89" s="208" t="e">
        <f t="shared" si="4"/>
        <v>#VALUE!</v>
      </c>
      <c r="Y89" s="208" t="e">
        <f t="shared" si="5"/>
        <v>#VALUE!</v>
      </c>
      <c r="Z89" s="44"/>
      <c r="AA89" s="52" t="s">
        <v>42</v>
      </c>
    </row>
    <row r="90" spans="1:27" ht="15.5">
      <c r="A90" s="148">
        <v>45356</v>
      </c>
      <c r="B90">
        <v>15</v>
      </c>
      <c r="C90" t="s">
        <v>117</v>
      </c>
      <c r="D90">
        <v>2632.9</v>
      </c>
      <c r="E90" t="s">
        <v>68</v>
      </c>
      <c r="H90">
        <v>248.26849999999999</v>
      </c>
      <c r="I90">
        <v>0.31532999999999994</v>
      </c>
      <c r="J90">
        <v>247.95317</v>
      </c>
      <c r="K90">
        <v>2100.759461939113</v>
      </c>
      <c r="L90" s="277">
        <v>79.788805573288499</v>
      </c>
      <c r="M90">
        <v>2066.4140537302251</v>
      </c>
      <c r="N90">
        <v>78.484334905625929</v>
      </c>
      <c r="O90">
        <v>128</v>
      </c>
      <c r="P90">
        <v>41.7</v>
      </c>
      <c r="Q90">
        <v>100</v>
      </c>
      <c r="R90">
        <v>3</v>
      </c>
      <c r="S90" t="s">
        <v>54</v>
      </c>
      <c r="T90" t="s">
        <v>54</v>
      </c>
      <c r="X90" s="208" t="e">
        <f t="shared" si="4"/>
        <v>#VALUE!</v>
      </c>
      <c r="Y90" s="208" t="e">
        <f t="shared" si="5"/>
        <v>#VALUE!</v>
      </c>
      <c r="AA90" s="347" t="e">
        <f>(Y91/$AK$15)*100</f>
        <v>#VALUE!</v>
      </c>
    </row>
    <row r="91" spans="1:27" ht="15.5">
      <c r="A91" s="148">
        <v>45356</v>
      </c>
      <c r="B91">
        <v>16</v>
      </c>
      <c r="C91" t="s">
        <v>118</v>
      </c>
      <c r="D91">
        <v>2790.4</v>
      </c>
      <c r="H91">
        <v>256.85000000000002</v>
      </c>
      <c r="I91">
        <v>0.31532999999999994</v>
      </c>
      <c r="J91">
        <v>256.53467000000001</v>
      </c>
      <c r="K91">
        <v>2173.2773983342709</v>
      </c>
      <c r="L91" s="277">
        <v>77.884081075626099</v>
      </c>
      <c r="M91">
        <v>2137.9313172606167</v>
      </c>
      <c r="N91">
        <v>76.617378055498008</v>
      </c>
      <c r="O91">
        <v>128</v>
      </c>
      <c r="P91">
        <v>41.7</v>
      </c>
      <c r="Q91">
        <v>100</v>
      </c>
      <c r="R91">
        <v>3</v>
      </c>
      <c r="S91" t="s">
        <v>54</v>
      </c>
      <c r="T91" t="s">
        <v>54</v>
      </c>
      <c r="X91" s="44"/>
      <c r="Y91" s="347" t="e">
        <f>SQRT(SUM(Y85:Y90)/(6-2))</f>
        <v>#VALUE!</v>
      </c>
      <c r="Z91" s="52" t="s">
        <v>60</v>
      </c>
      <c r="AA91" s="44"/>
    </row>
    <row r="92" spans="1:27" ht="15.5">
      <c r="A92" s="148">
        <v>45356</v>
      </c>
      <c r="B92">
        <v>17</v>
      </c>
      <c r="C92" t="s">
        <v>119</v>
      </c>
      <c r="D92">
        <v>2402.5</v>
      </c>
      <c r="H92">
        <v>202.6559</v>
      </c>
      <c r="I92">
        <v>0.31532999999999994</v>
      </c>
      <c r="J92">
        <v>202.34057000000001</v>
      </c>
      <c r="K92">
        <v>1715.3103416666927</v>
      </c>
      <c r="L92" s="277">
        <v>71.396892473119365</v>
      </c>
      <c r="M92">
        <v>1686.2837344962531</v>
      </c>
      <c r="N92">
        <v>70.188709032102096</v>
      </c>
      <c r="O92">
        <v>128</v>
      </c>
      <c r="P92">
        <v>41.7</v>
      </c>
      <c r="Q92">
        <v>100</v>
      </c>
      <c r="R92">
        <v>3</v>
      </c>
      <c r="S92" t="s">
        <v>54</v>
      </c>
      <c r="T92" t="s">
        <v>54</v>
      </c>
      <c r="Y92" s="347" t="e">
        <f>(Y91/12.01)*100.09</f>
        <v>#VALUE!</v>
      </c>
      <c r="Z92" s="52" t="s">
        <v>62</v>
      </c>
    </row>
    <row r="93" spans="1:27">
      <c r="A93" s="148">
        <v>45356</v>
      </c>
      <c r="B93">
        <v>18</v>
      </c>
      <c r="C93" t="s">
        <v>120</v>
      </c>
      <c r="D93">
        <v>2315.1</v>
      </c>
      <c r="H93">
        <v>85.420900000000003</v>
      </c>
      <c r="I93">
        <v>0.31532999999999994</v>
      </c>
      <c r="J93">
        <v>85.10557</v>
      </c>
      <c r="K93">
        <v>724.61637519389365</v>
      </c>
      <c r="L93" s="277">
        <v>31.299571301191897</v>
      </c>
      <c r="M93">
        <v>709.26032483763527</v>
      </c>
      <c r="N93">
        <v>30.636271644319265</v>
      </c>
      <c r="O93">
        <v>128</v>
      </c>
      <c r="P93">
        <v>41.7</v>
      </c>
      <c r="Q93">
        <v>100</v>
      </c>
      <c r="R93">
        <v>3</v>
      </c>
      <c r="S93" t="s">
        <v>54</v>
      </c>
      <c r="T93" t="s">
        <v>54</v>
      </c>
    </row>
    <row r="94" spans="1:27">
      <c r="A94" s="148">
        <v>45356</v>
      </c>
      <c r="B94">
        <v>19</v>
      </c>
      <c r="C94" t="s">
        <v>74</v>
      </c>
      <c r="H94">
        <v>0.2722</v>
      </c>
      <c r="I94">
        <v>0.31532999999999994</v>
      </c>
      <c r="J94">
        <v>-4.3129999999999946E-2</v>
      </c>
      <c r="K94">
        <v>5.0675771130951865</v>
      </c>
      <c r="O94">
        <v>128</v>
      </c>
      <c r="P94">
        <v>41.7</v>
      </c>
      <c r="Q94">
        <v>100</v>
      </c>
      <c r="R94">
        <v>3</v>
      </c>
      <c r="S94" t="s">
        <v>54</v>
      </c>
      <c r="T94" t="s">
        <v>54</v>
      </c>
    </row>
    <row r="95" spans="1:27">
      <c r="A95" s="148">
        <v>45356</v>
      </c>
      <c r="B95">
        <v>20</v>
      </c>
      <c r="C95" t="s">
        <v>121</v>
      </c>
      <c r="D95">
        <v>2546.3000000000002</v>
      </c>
      <c r="H95">
        <v>208.85990000000001</v>
      </c>
      <c r="I95">
        <v>0.31532999999999994</v>
      </c>
      <c r="J95">
        <v>208.54457000000002</v>
      </c>
      <c r="K95">
        <v>1767.737222444594</v>
      </c>
      <c r="L95" s="277">
        <v>69.423760846899185</v>
      </c>
      <c r="M95">
        <v>1737.9871782930893</v>
      </c>
      <c r="N95">
        <v>68.255397176023607</v>
      </c>
      <c r="O95">
        <v>128</v>
      </c>
      <c r="P95">
        <v>41.7</v>
      </c>
      <c r="Q95">
        <v>100</v>
      </c>
      <c r="R95">
        <v>3</v>
      </c>
      <c r="S95" t="s">
        <v>54</v>
      </c>
      <c r="T95" t="s">
        <v>54</v>
      </c>
    </row>
    <row r="96" spans="1:27">
      <c r="A96" s="148">
        <v>45356</v>
      </c>
      <c r="B96">
        <v>21</v>
      </c>
      <c r="C96" t="s">
        <v>122</v>
      </c>
      <c r="D96">
        <v>2647.8</v>
      </c>
      <c r="H96">
        <v>160.21010000000001</v>
      </c>
      <c r="I96">
        <v>0.31532999999999994</v>
      </c>
      <c r="J96">
        <v>159.89477000000002</v>
      </c>
      <c r="K96">
        <v>1356.622253961561</v>
      </c>
      <c r="L96" s="277">
        <v>51.235828006705972</v>
      </c>
      <c r="M96">
        <v>1332.5451731307246</v>
      </c>
      <c r="N96">
        <v>50.326504008260613</v>
      </c>
      <c r="O96">
        <v>128</v>
      </c>
      <c r="P96">
        <v>41.7</v>
      </c>
      <c r="Q96">
        <v>100</v>
      </c>
      <c r="R96">
        <v>3</v>
      </c>
      <c r="S96" t="s">
        <v>54</v>
      </c>
      <c r="T96" t="s">
        <v>54</v>
      </c>
    </row>
    <row r="97" spans="1:20">
      <c r="A97" s="148">
        <v>45356</v>
      </c>
      <c r="B97">
        <v>22</v>
      </c>
      <c r="C97" t="s">
        <v>123</v>
      </c>
      <c r="D97">
        <v>3106.9</v>
      </c>
      <c r="H97">
        <v>233.08189999999999</v>
      </c>
      <c r="I97">
        <v>0.31532999999999994</v>
      </c>
      <c r="J97">
        <v>232.76657</v>
      </c>
      <c r="K97">
        <v>1972.4251505881016</v>
      </c>
      <c r="L97" s="277">
        <v>63.485311744443059</v>
      </c>
      <c r="M97">
        <v>1939.8506237552042</v>
      </c>
      <c r="N97">
        <v>62.436854219807657</v>
      </c>
      <c r="O97">
        <v>128</v>
      </c>
      <c r="P97">
        <v>41.7</v>
      </c>
      <c r="Q97">
        <v>100</v>
      </c>
      <c r="R97">
        <v>3</v>
      </c>
      <c r="S97" t="s">
        <v>54</v>
      </c>
      <c r="T97" t="s">
        <v>54</v>
      </c>
    </row>
    <row r="98" spans="1:20">
      <c r="A98" s="148">
        <v>45356</v>
      </c>
      <c r="B98">
        <v>23</v>
      </c>
      <c r="C98" t="s">
        <v>124</v>
      </c>
      <c r="D98">
        <v>2138.5</v>
      </c>
      <c r="H98">
        <v>168.6925</v>
      </c>
      <c r="I98">
        <v>0.31532999999999994</v>
      </c>
      <c r="J98">
        <v>168.37717000000001</v>
      </c>
      <c r="K98">
        <v>1428.3027461457111</v>
      </c>
      <c r="L98" s="277">
        <v>66.789934353318273</v>
      </c>
      <c r="M98">
        <v>1403.2365483180683</v>
      </c>
      <c r="N98">
        <v>65.617795104889794</v>
      </c>
    </row>
    <row r="99" spans="1:20">
      <c r="A99" s="148">
        <v>45356</v>
      </c>
      <c r="B99">
        <v>24</v>
      </c>
      <c r="C99" t="s">
        <v>125</v>
      </c>
      <c r="D99">
        <v>2654.5</v>
      </c>
      <c r="H99">
        <v>203.98390000000001</v>
      </c>
      <c r="I99">
        <v>0.31532999999999994</v>
      </c>
      <c r="J99">
        <v>203.66857000000002</v>
      </c>
      <c r="K99">
        <v>1726.5326011239868</v>
      </c>
      <c r="L99" s="277">
        <v>65.041725414352499</v>
      </c>
      <c r="M99">
        <v>1697.3511383263949</v>
      </c>
      <c r="N99">
        <v>63.942404909640047</v>
      </c>
      <c r="O99">
        <v>128</v>
      </c>
      <c r="P99">
        <v>41.7</v>
      </c>
      <c r="Q99">
        <v>100</v>
      </c>
      <c r="R99">
        <v>3</v>
      </c>
      <c r="S99" t="s">
        <v>54</v>
      </c>
      <c r="T99" t="s">
        <v>54</v>
      </c>
    </row>
    <row r="100" spans="1:20">
      <c r="A100" s="148">
        <v>45356</v>
      </c>
      <c r="B100">
        <v>25</v>
      </c>
      <c r="C100" t="s">
        <v>82</v>
      </c>
      <c r="H100">
        <v>0.35849999999999999</v>
      </c>
      <c r="I100">
        <v>0.31532999999999994</v>
      </c>
      <c r="J100">
        <v>4.3170000000000042E-2</v>
      </c>
      <c r="K100">
        <v>5.7968549678877181</v>
      </c>
      <c r="O100">
        <v>128</v>
      </c>
      <c r="P100">
        <v>41.7</v>
      </c>
      <c r="Q100">
        <v>100</v>
      </c>
      <c r="R100">
        <v>3</v>
      </c>
      <c r="S100" t="s">
        <v>54</v>
      </c>
      <c r="T100" t="s">
        <v>54</v>
      </c>
    </row>
    <row r="101" spans="1:20">
      <c r="A101" s="148">
        <v>45356</v>
      </c>
      <c r="B101">
        <v>26</v>
      </c>
      <c r="C101" t="s">
        <v>126</v>
      </c>
      <c r="D101">
        <v>2014.6</v>
      </c>
      <c r="G101">
        <v>2014.1970799999999</v>
      </c>
      <c r="H101">
        <v>237.20849999999999</v>
      </c>
      <c r="I101">
        <v>0.31532999999999994</v>
      </c>
      <c r="J101">
        <v>236.89317</v>
      </c>
      <c r="K101">
        <v>2007.2969697721903</v>
      </c>
      <c r="L101" s="277">
        <v>99.657426261991716</v>
      </c>
      <c r="M101">
        <v>1974.2412477352207</v>
      </c>
      <c r="N101">
        <v>98.016289832731786</v>
      </c>
      <c r="O101">
        <v>128</v>
      </c>
      <c r="P101">
        <v>41.7</v>
      </c>
      <c r="Q101">
        <v>100</v>
      </c>
      <c r="R101">
        <v>3</v>
      </c>
      <c r="S101" t="s">
        <v>54</v>
      </c>
      <c r="T101" t="s">
        <v>54</v>
      </c>
    </row>
    <row r="102" spans="1:20">
      <c r="A102" s="148">
        <v>45356</v>
      </c>
      <c r="B102">
        <v>27</v>
      </c>
      <c r="C102" t="s">
        <v>84</v>
      </c>
      <c r="H102">
        <v>0.27179999999999999</v>
      </c>
      <c r="I102">
        <v>0.31532999999999994</v>
      </c>
      <c r="J102">
        <v>-4.3529999999999958E-2</v>
      </c>
      <c r="K102">
        <v>5.0641969144634702</v>
      </c>
      <c r="O102">
        <v>128</v>
      </c>
      <c r="P102">
        <v>41.7</v>
      </c>
      <c r="Q102">
        <v>100</v>
      </c>
      <c r="R102">
        <v>3</v>
      </c>
      <c r="S102" t="s">
        <v>54</v>
      </c>
      <c r="T102" t="s">
        <v>54</v>
      </c>
    </row>
    <row r="103" spans="1:20">
      <c r="H103"/>
    </row>
    <row r="104" spans="1:20">
      <c r="A104" s="148" t="s">
        <v>127</v>
      </c>
      <c r="H104"/>
    </row>
    <row r="105" spans="1:20">
      <c r="A105" s="148" t="s">
        <v>38</v>
      </c>
      <c r="H105"/>
    </row>
    <row r="106" spans="1:20">
      <c r="A106" s="148" t="s">
        <v>128</v>
      </c>
      <c r="H106"/>
    </row>
    <row r="107" spans="1:20">
      <c r="A107" s="148">
        <v>45357</v>
      </c>
      <c r="B107">
        <v>1</v>
      </c>
      <c r="C107" t="s">
        <v>45</v>
      </c>
      <c r="H107">
        <v>0.14019999999999999</v>
      </c>
    </row>
    <row r="108" spans="1:20">
      <c r="A108" s="148">
        <v>45357</v>
      </c>
      <c r="B108">
        <v>2</v>
      </c>
      <c r="C108" t="s">
        <v>49</v>
      </c>
      <c r="H108">
        <v>0.18190000000000001</v>
      </c>
    </row>
    <row r="109" spans="1:20">
      <c r="A109" s="148">
        <v>45357</v>
      </c>
      <c r="B109">
        <v>3</v>
      </c>
      <c r="C109" t="s">
        <v>51</v>
      </c>
      <c r="G109">
        <v>0</v>
      </c>
      <c r="H109">
        <v>0</v>
      </c>
      <c r="I109">
        <v>0.23681000000000002</v>
      </c>
      <c r="J109">
        <v>0.23681000000000002</v>
      </c>
    </row>
    <row r="110" spans="1:20">
      <c r="A110" s="148">
        <v>45357</v>
      </c>
      <c r="B110">
        <v>4</v>
      </c>
      <c r="C110" t="s">
        <v>129</v>
      </c>
      <c r="D110">
        <v>238.5</v>
      </c>
      <c r="G110">
        <v>238.45230000000001</v>
      </c>
      <c r="H110">
        <v>27.8277</v>
      </c>
      <c r="I110">
        <v>0.23681000000000002</v>
      </c>
      <c r="J110">
        <v>27.590890000000002</v>
      </c>
      <c r="K110">
        <v>238.67494830498276</v>
      </c>
      <c r="L110" s="277">
        <v>100.09337226144714</v>
      </c>
      <c r="M110">
        <v>229.93939884263119</v>
      </c>
      <c r="N110">
        <v>96.429935396987659</v>
      </c>
      <c r="O110">
        <v>128</v>
      </c>
      <c r="P110">
        <v>41.7</v>
      </c>
      <c r="Q110">
        <v>100</v>
      </c>
      <c r="R110">
        <v>3</v>
      </c>
      <c r="S110" t="s">
        <v>54</v>
      </c>
      <c r="T110" t="s">
        <v>54</v>
      </c>
    </row>
    <row r="111" spans="1:20">
      <c r="A111" s="148">
        <v>45357</v>
      </c>
      <c r="B111">
        <v>5</v>
      </c>
      <c r="C111" t="s">
        <v>130</v>
      </c>
      <c r="D111">
        <v>1125</v>
      </c>
      <c r="G111">
        <v>1124.7750000000001</v>
      </c>
      <c r="H111">
        <v>131.56989999999999</v>
      </c>
      <c r="I111">
        <v>0.23681000000000002</v>
      </c>
      <c r="J111">
        <v>131.33309</v>
      </c>
      <c r="K111">
        <v>1114.3995990268083</v>
      </c>
      <c r="L111" s="277">
        <v>99.07755764724574</v>
      </c>
      <c r="M111">
        <v>1094.5153187427145</v>
      </c>
      <c r="N111">
        <v>97.309712497407418</v>
      </c>
      <c r="O111">
        <v>128</v>
      </c>
      <c r="P111">
        <v>41.7</v>
      </c>
      <c r="Q111">
        <v>100</v>
      </c>
      <c r="R111">
        <v>3</v>
      </c>
      <c r="S111" t="s">
        <v>54</v>
      </c>
      <c r="T111" t="s">
        <v>54</v>
      </c>
    </row>
    <row r="112" spans="1:20">
      <c r="A112" s="148">
        <v>45357</v>
      </c>
      <c r="B112">
        <v>6</v>
      </c>
      <c r="C112" t="s">
        <v>131</v>
      </c>
      <c r="D112">
        <v>2167.5</v>
      </c>
      <c r="G112">
        <v>2167.0664999999999</v>
      </c>
      <c r="H112">
        <v>255.67400000000001</v>
      </c>
      <c r="I112">
        <v>0.23681000000000002</v>
      </c>
      <c r="J112">
        <v>255.43719000000002</v>
      </c>
      <c r="K112">
        <v>2162.0062588590322</v>
      </c>
      <c r="L112" s="277">
        <v>99.766493499808718</v>
      </c>
      <c r="M112">
        <v>2128.7850413905085</v>
      </c>
      <c r="N112">
        <v>98.233489437934111</v>
      </c>
      <c r="O112">
        <v>128</v>
      </c>
      <c r="P112">
        <v>41.7</v>
      </c>
      <c r="Q112">
        <v>100</v>
      </c>
      <c r="R112">
        <v>3</v>
      </c>
      <c r="S112" t="s">
        <v>54</v>
      </c>
      <c r="T112" t="s">
        <v>54</v>
      </c>
    </row>
    <row r="113" spans="1:27">
      <c r="A113" s="148">
        <v>45357</v>
      </c>
      <c r="B113">
        <v>7</v>
      </c>
      <c r="C113" t="s">
        <v>132</v>
      </c>
      <c r="D113">
        <v>3159.4</v>
      </c>
      <c r="G113">
        <v>3158.7681200000002</v>
      </c>
      <c r="H113">
        <v>375.00459999999998</v>
      </c>
      <c r="I113">
        <v>0.23681000000000002</v>
      </c>
      <c r="J113">
        <v>374.76778999999999</v>
      </c>
      <c r="K113">
        <v>3169.3181146460302</v>
      </c>
      <c r="L113" s="277">
        <v>100.33399079151242</v>
      </c>
      <c r="M113">
        <v>3123.2729476353038</v>
      </c>
      <c r="N113">
        <v>98.876296992490339</v>
      </c>
      <c r="O113">
        <v>128</v>
      </c>
      <c r="P113">
        <v>41.7</v>
      </c>
      <c r="Q113">
        <v>100</v>
      </c>
      <c r="R113">
        <v>3</v>
      </c>
      <c r="S113" t="s">
        <v>54</v>
      </c>
      <c r="T113" t="s">
        <v>54</v>
      </c>
    </row>
    <row r="114" spans="1:27">
      <c r="A114" s="148">
        <v>45357</v>
      </c>
      <c r="B114">
        <v>8</v>
      </c>
      <c r="C114" t="s">
        <v>133</v>
      </c>
      <c r="D114">
        <v>3458.7</v>
      </c>
      <c r="G114">
        <v>3458.0082600000001</v>
      </c>
      <c r="H114">
        <v>408.83609999999999</v>
      </c>
      <c r="I114">
        <v>0.23681000000000002</v>
      </c>
      <c r="J114">
        <v>408.59929</v>
      </c>
      <c r="K114">
        <v>3454.9017876440525</v>
      </c>
      <c r="L114" s="277">
        <v>99.910165849171591</v>
      </c>
      <c r="M114">
        <v>3405.2208939300585</v>
      </c>
      <c r="N114">
        <v>98.473474841556879</v>
      </c>
      <c r="O114">
        <v>128</v>
      </c>
      <c r="P114">
        <v>41.7</v>
      </c>
      <c r="Q114">
        <v>100</v>
      </c>
      <c r="R114">
        <v>3</v>
      </c>
      <c r="S114" t="s">
        <v>54</v>
      </c>
      <c r="T114" t="s">
        <v>54</v>
      </c>
    </row>
    <row r="115" spans="1:27">
      <c r="A115" s="148">
        <v>45357</v>
      </c>
      <c r="B115">
        <v>9</v>
      </c>
      <c r="C115" t="s">
        <v>61</v>
      </c>
      <c r="H115">
        <v>0</v>
      </c>
      <c r="I115">
        <v>0.23681000000000002</v>
      </c>
      <c r="J115">
        <v>-0.23681000000000002</v>
      </c>
      <c r="K115">
        <v>3.7714773655603606</v>
      </c>
      <c r="O115">
        <v>128</v>
      </c>
      <c r="P115">
        <v>41.7</v>
      </c>
      <c r="Q115">
        <v>100</v>
      </c>
      <c r="R115">
        <v>3</v>
      </c>
      <c r="S115" t="s">
        <v>54</v>
      </c>
      <c r="T115" t="s">
        <v>54</v>
      </c>
    </row>
    <row r="116" spans="1:27">
      <c r="A116" s="148">
        <v>45357</v>
      </c>
      <c r="B116">
        <v>10</v>
      </c>
      <c r="C116" t="s">
        <v>63</v>
      </c>
      <c r="H116">
        <v>0.18390000000000001</v>
      </c>
      <c r="I116">
        <v>0.23681000000000002</v>
      </c>
      <c r="J116">
        <v>-5.2910000000000013E-2</v>
      </c>
      <c r="K116">
        <v>5.3238423941383521</v>
      </c>
      <c r="O116">
        <v>128</v>
      </c>
      <c r="P116">
        <v>41.7</v>
      </c>
      <c r="Q116">
        <v>100</v>
      </c>
      <c r="R116">
        <v>3</v>
      </c>
      <c r="S116" t="s">
        <v>54</v>
      </c>
      <c r="T116" t="s">
        <v>54</v>
      </c>
    </row>
    <row r="117" spans="1:27">
      <c r="A117" s="148">
        <v>45357</v>
      </c>
      <c r="B117">
        <v>11</v>
      </c>
      <c r="C117" t="s">
        <v>64</v>
      </c>
      <c r="D117">
        <v>917.2</v>
      </c>
      <c r="H117">
        <v>16.284700000000001</v>
      </c>
      <c r="I117">
        <v>0.23681000000000002</v>
      </c>
      <c r="J117">
        <v>16.047890000000002</v>
      </c>
      <c r="K117">
        <v>141.23639732686556</v>
      </c>
      <c r="L117" s="277">
        <v>15.398647767865848</v>
      </c>
      <c r="M117">
        <v>133.7413247377186</v>
      </c>
      <c r="N117">
        <v>14.581478929101461</v>
      </c>
      <c r="O117">
        <v>128</v>
      </c>
      <c r="P117">
        <v>41.7</v>
      </c>
      <c r="Q117">
        <v>100</v>
      </c>
      <c r="R117">
        <v>3</v>
      </c>
      <c r="S117" t="s">
        <v>54</v>
      </c>
      <c r="T117" t="s">
        <v>54</v>
      </c>
    </row>
    <row r="118" spans="1:27">
      <c r="A118" s="148">
        <v>45357</v>
      </c>
      <c r="B118">
        <v>12</v>
      </c>
      <c r="C118" t="s">
        <v>64</v>
      </c>
      <c r="D118">
        <v>2050.6</v>
      </c>
      <c r="H118">
        <v>30.8034</v>
      </c>
      <c r="I118">
        <v>0.23681000000000002</v>
      </c>
      <c r="J118">
        <v>30.566590000000001</v>
      </c>
      <c r="K118">
        <v>263.7938858554968</v>
      </c>
      <c r="L118" s="277">
        <v>12.86422929169496</v>
      </c>
      <c r="M118">
        <v>254.73855063280601</v>
      </c>
      <c r="N118">
        <v>12.422634869443383</v>
      </c>
      <c r="O118">
        <v>128</v>
      </c>
      <c r="P118">
        <v>41.7</v>
      </c>
      <c r="Q118">
        <v>100</v>
      </c>
      <c r="R118">
        <v>3</v>
      </c>
      <c r="S118" t="s">
        <v>54</v>
      </c>
      <c r="T118" t="s">
        <v>54</v>
      </c>
    </row>
    <row r="119" spans="1:27">
      <c r="A119" s="148">
        <v>45357</v>
      </c>
      <c r="B119">
        <v>13</v>
      </c>
      <c r="C119" t="s">
        <v>65</v>
      </c>
      <c r="H119">
        <v>0.3256</v>
      </c>
      <c r="I119">
        <v>0.23681000000000002</v>
      </c>
      <c r="J119">
        <v>8.878999999999998E-2</v>
      </c>
      <c r="K119">
        <v>6.5199822774961627</v>
      </c>
      <c r="O119">
        <v>128</v>
      </c>
      <c r="P119">
        <v>41.7</v>
      </c>
      <c r="Q119">
        <v>100</v>
      </c>
      <c r="R119">
        <v>3</v>
      </c>
      <c r="S119" t="s">
        <v>54</v>
      </c>
      <c r="T119" t="s">
        <v>54</v>
      </c>
    </row>
    <row r="120" spans="1:27">
      <c r="A120" s="148">
        <v>45357</v>
      </c>
      <c r="B120">
        <v>14</v>
      </c>
      <c r="C120" t="s">
        <v>66</v>
      </c>
      <c r="H120">
        <v>0.2722</v>
      </c>
      <c r="I120">
        <v>0.23681000000000002</v>
      </c>
      <c r="J120">
        <v>3.5389999999999977E-2</v>
      </c>
      <c r="K120">
        <v>6.0692139657720485</v>
      </c>
      <c r="O120">
        <v>128</v>
      </c>
      <c r="P120">
        <v>41.7</v>
      </c>
      <c r="Q120">
        <v>100</v>
      </c>
      <c r="R120">
        <v>3</v>
      </c>
      <c r="S120" t="s">
        <v>54</v>
      </c>
      <c r="T120" t="s">
        <v>54</v>
      </c>
    </row>
    <row r="121" spans="1:27">
      <c r="A121" s="148">
        <v>45357</v>
      </c>
      <c r="B121">
        <v>15</v>
      </c>
      <c r="C121" t="s">
        <v>134</v>
      </c>
      <c r="D121">
        <v>3027.5</v>
      </c>
      <c r="E121" t="s">
        <v>68</v>
      </c>
      <c r="H121">
        <v>257.37790000000001</v>
      </c>
      <c r="I121">
        <v>0.23681000000000002</v>
      </c>
      <c r="J121">
        <v>257.14109000000002</v>
      </c>
      <c r="K121">
        <v>2176.3894821988583</v>
      </c>
      <c r="L121" s="277">
        <v>71.887348710119184</v>
      </c>
      <c r="M121">
        <v>2142.9851538801004</v>
      </c>
      <c r="N121">
        <v>70.783985264412891</v>
      </c>
      <c r="O121">
        <v>128</v>
      </c>
      <c r="P121">
        <v>41.7</v>
      </c>
      <c r="Q121">
        <v>100</v>
      </c>
      <c r="R121">
        <v>3</v>
      </c>
      <c r="S121" t="s">
        <v>54</v>
      </c>
      <c r="T121" t="s">
        <v>54</v>
      </c>
      <c r="X121" s="348">
        <f>A122</f>
        <v>45357</v>
      </c>
      <c r="Y121" s="44"/>
      <c r="Z121" s="44"/>
      <c r="AA121" s="44"/>
    </row>
    <row r="122" spans="1:27">
      <c r="A122" s="148">
        <v>45357</v>
      </c>
      <c r="B122">
        <v>16</v>
      </c>
      <c r="C122" t="s">
        <v>135</v>
      </c>
      <c r="D122">
        <v>2229.6999999999998</v>
      </c>
      <c r="H122">
        <v>199.68279999999999</v>
      </c>
      <c r="I122">
        <v>0.23681000000000002</v>
      </c>
      <c r="J122">
        <v>199.44598999999999</v>
      </c>
      <c r="K122">
        <v>1689.3647102558996</v>
      </c>
      <c r="L122" s="277">
        <v>75.766457830914462</v>
      </c>
      <c r="M122">
        <v>1662.1606277352207</v>
      </c>
      <c r="N122">
        <v>74.546379680460191</v>
      </c>
      <c r="O122">
        <v>128</v>
      </c>
      <c r="P122">
        <v>41.7</v>
      </c>
      <c r="Q122">
        <v>100</v>
      </c>
      <c r="R122">
        <v>3</v>
      </c>
      <c r="S122" t="s">
        <v>54</v>
      </c>
      <c r="T122" t="s">
        <v>54</v>
      </c>
      <c r="X122" s="208" t="e">
        <f>((J111-INDEX(LINEST($H$111:$H$116,$G$111:$G$116),2))/INDEX(LINEST($H$111:$H$116,$G$111:$G$116),1)/100.09)*12.01</f>
        <v>#VALUE!</v>
      </c>
      <c r="Y122" s="208" t="e">
        <f>(J111-X122)^2</f>
        <v>#VALUE!</v>
      </c>
      <c r="Z122" s="44"/>
      <c r="AA122" s="44"/>
    </row>
    <row r="123" spans="1:27">
      <c r="A123" s="148">
        <v>45357</v>
      </c>
      <c r="B123">
        <v>17</v>
      </c>
      <c r="C123" t="s">
        <v>136</v>
      </c>
      <c r="D123">
        <v>2197.1</v>
      </c>
      <c r="H123">
        <v>197.61349999999999</v>
      </c>
      <c r="I123">
        <v>0.23681000000000002</v>
      </c>
      <c r="J123">
        <v>197.37669</v>
      </c>
      <c r="K123">
        <v>1671.8970161088826</v>
      </c>
      <c r="L123" s="277">
        <v>76.095626785712184</v>
      </c>
      <c r="M123">
        <v>1644.9153124146546</v>
      </c>
      <c r="N123">
        <v>74.867566902492143</v>
      </c>
      <c r="O123">
        <v>128</v>
      </c>
      <c r="P123">
        <v>41.7</v>
      </c>
      <c r="Q123">
        <v>100</v>
      </c>
      <c r="R123">
        <v>3</v>
      </c>
      <c r="S123" t="s">
        <v>54</v>
      </c>
      <c r="T123" t="s">
        <v>54</v>
      </c>
      <c r="X123" s="208" t="e">
        <f t="shared" ref="X123:X127" si="6">((J112-INDEX(LINEST($H$111:$H$116,$G$111:$G$116),2))/INDEX(LINEST($H$111:$H$116,$G$111:$G$116),1)/100.09)*12.01</f>
        <v>#VALUE!</v>
      </c>
      <c r="Y123" s="208" t="e">
        <f t="shared" ref="Y123:Y126" si="7">(J112-X123)^2</f>
        <v>#VALUE!</v>
      </c>
      <c r="Z123" s="44"/>
      <c r="AA123" s="44"/>
    </row>
    <row r="124" spans="1:27">
      <c r="A124" s="148">
        <v>45357</v>
      </c>
      <c r="B124">
        <v>18</v>
      </c>
      <c r="C124" t="s">
        <v>137</v>
      </c>
      <c r="D124">
        <v>2130.3000000000002</v>
      </c>
      <c r="H124">
        <v>192.2826</v>
      </c>
      <c r="I124">
        <v>0.23681000000000002</v>
      </c>
      <c r="J124">
        <v>192.04579000000001</v>
      </c>
      <c r="K124">
        <v>1626.8970012592556</v>
      </c>
      <c r="L124" s="277">
        <v>76.369384652830846</v>
      </c>
      <c r="M124">
        <v>1600.4881866028313</v>
      </c>
      <c r="N124">
        <v>75.129708801710152</v>
      </c>
      <c r="O124">
        <v>128</v>
      </c>
      <c r="P124">
        <v>41.7</v>
      </c>
      <c r="Q124">
        <v>100</v>
      </c>
      <c r="R124">
        <v>3</v>
      </c>
      <c r="S124" t="s">
        <v>54</v>
      </c>
      <c r="T124" t="s">
        <v>54</v>
      </c>
      <c r="X124" s="208" t="e">
        <f t="shared" si="6"/>
        <v>#VALUE!</v>
      </c>
      <c r="Y124" s="208" t="e">
        <f t="shared" si="7"/>
        <v>#VALUE!</v>
      </c>
      <c r="Z124" s="44"/>
      <c r="AA124" s="44"/>
    </row>
    <row r="125" spans="1:27">
      <c r="A125" s="148">
        <v>45357</v>
      </c>
      <c r="B125">
        <v>19</v>
      </c>
      <c r="C125" t="s">
        <v>74</v>
      </c>
      <c r="H125">
        <v>0.32429999999999998</v>
      </c>
      <c r="I125">
        <v>0.23681000000000002</v>
      </c>
      <c r="J125">
        <v>8.7489999999999957E-2</v>
      </c>
      <c r="K125">
        <v>6.5090085170983851</v>
      </c>
      <c r="O125">
        <v>128</v>
      </c>
      <c r="P125">
        <v>41.7</v>
      </c>
      <c r="Q125">
        <v>100</v>
      </c>
      <c r="R125">
        <v>3</v>
      </c>
      <c r="S125" t="s">
        <v>54</v>
      </c>
      <c r="T125" t="s">
        <v>54</v>
      </c>
      <c r="X125" s="208" t="e">
        <f t="shared" si="6"/>
        <v>#VALUE!</v>
      </c>
      <c r="Y125" s="208" t="e">
        <f t="shared" si="7"/>
        <v>#VALUE!</v>
      </c>
      <c r="Z125" s="44"/>
      <c r="AA125" s="44"/>
    </row>
    <row r="126" spans="1:27" ht="15.5">
      <c r="A126" s="148">
        <v>45357</v>
      </c>
      <c r="B126">
        <v>20</v>
      </c>
      <c r="C126" t="s">
        <v>138</v>
      </c>
      <c r="D126">
        <v>2587.6999999999998</v>
      </c>
      <c r="H126">
        <v>236.73929999999999</v>
      </c>
      <c r="I126">
        <v>0.23681000000000002</v>
      </c>
      <c r="J126">
        <v>236.50248999999999</v>
      </c>
      <c r="K126">
        <v>2002.1717503945638</v>
      </c>
      <c r="L126" s="277">
        <v>77.372637878987675</v>
      </c>
      <c r="M126">
        <v>1970.9853642048292</v>
      </c>
      <c r="N126">
        <v>76.167460068973583</v>
      </c>
      <c r="O126">
        <v>128</v>
      </c>
      <c r="P126">
        <v>41.7</v>
      </c>
      <c r="Q126">
        <v>100</v>
      </c>
      <c r="R126">
        <v>3</v>
      </c>
      <c r="S126" t="s">
        <v>54</v>
      </c>
      <c r="T126" t="s">
        <v>54</v>
      </c>
      <c r="X126" s="208" t="e">
        <f t="shared" si="6"/>
        <v>#VALUE!</v>
      </c>
      <c r="Y126" s="208" t="e">
        <f t="shared" si="7"/>
        <v>#VALUE!</v>
      </c>
      <c r="Z126" s="44"/>
      <c r="AA126" s="52" t="s">
        <v>42</v>
      </c>
    </row>
    <row r="127" spans="1:27" ht="15.5">
      <c r="A127" s="148">
        <v>45357</v>
      </c>
      <c r="B127">
        <v>21</v>
      </c>
      <c r="C127" t="s">
        <v>139</v>
      </c>
      <c r="D127">
        <v>2449.4</v>
      </c>
      <c r="H127">
        <v>215.31630000000001</v>
      </c>
      <c r="I127">
        <v>0.23681000000000002</v>
      </c>
      <c r="J127">
        <v>215.07949000000002</v>
      </c>
      <c r="K127">
        <v>1821.3326203933334</v>
      </c>
      <c r="L127" s="277">
        <v>74.358317154949518</v>
      </c>
      <c r="M127">
        <v>1792.4484724479603</v>
      </c>
      <c r="N127">
        <v>73.179083548949137</v>
      </c>
      <c r="O127">
        <v>128</v>
      </c>
      <c r="P127">
        <v>41.7</v>
      </c>
      <c r="Q127">
        <v>100</v>
      </c>
      <c r="R127">
        <v>3</v>
      </c>
      <c r="S127" t="s">
        <v>54</v>
      </c>
      <c r="T127" t="s">
        <v>54</v>
      </c>
      <c r="X127" s="208" t="e">
        <f t="shared" si="6"/>
        <v>#VALUE!</v>
      </c>
      <c r="Y127" s="208" t="e">
        <f>(J116-X127)^2</f>
        <v>#VALUE!</v>
      </c>
      <c r="AA127" s="347" t="e">
        <f>(Y128/$AK$15)*100</f>
        <v>#VALUE!</v>
      </c>
    </row>
    <row r="128" spans="1:27" ht="15.5">
      <c r="A128" s="148">
        <v>45357</v>
      </c>
      <c r="B128">
        <v>22</v>
      </c>
      <c r="C128" t="s">
        <v>140</v>
      </c>
      <c r="D128">
        <v>2636</v>
      </c>
      <c r="H128">
        <v>231.83930000000001</v>
      </c>
      <c r="I128">
        <v>0.23681000000000002</v>
      </c>
      <c r="J128">
        <v>231.60249000000002</v>
      </c>
      <c r="K128">
        <v>1960.8091150490927</v>
      </c>
      <c r="L128" s="277">
        <v>74.385778264381358</v>
      </c>
      <c r="M128">
        <v>1930.1493109159035</v>
      </c>
      <c r="N128">
        <v>73.222659746430324</v>
      </c>
      <c r="O128">
        <v>128</v>
      </c>
      <c r="P128">
        <v>41.7</v>
      </c>
      <c r="Q128">
        <v>100</v>
      </c>
      <c r="R128">
        <v>3</v>
      </c>
      <c r="S128" t="s">
        <v>54</v>
      </c>
      <c r="T128" t="s">
        <v>54</v>
      </c>
      <c r="X128" s="44"/>
      <c r="Y128" s="347" t="e">
        <f>SQRT(SUM(Y122:Y127)/(6-2))</f>
        <v>#VALUE!</v>
      </c>
      <c r="Z128" s="52" t="s">
        <v>60</v>
      </c>
      <c r="AA128" s="44"/>
    </row>
    <row r="129" spans="1:26" ht="15.5">
      <c r="A129" s="148">
        <v>45357</v>
      </c>
      <c r="B129">
        <v>23</v>
      </c>
      <c r="C129" t="s">
        <v>141</v>
      </c>
      <c r="D129">
        <v>3003.5</v>
      </c>
      <c r="H129">
        <v>252.72319999999999</v>
      </c>
      <c r="I129">
        <v>0.23681000000000002</v>
      </c>
      <c r="J129">
        <v>252.48639</v>
      </c>
      <c r="K129">
        <v>2137.0975110269064</v>
      </c>
      <c r="L129" s="277">
        <v>71.153571201162194</v>
      </c>
      <c r="M129">
        <v>2104.1934034221485</v>
      </c>
      <c r="N129">
        <v>70.058045727389668</v>
      </c>
      <c r="O129">
        <v>128</v>
      </c>
      <c r="P129">
        <v>41.7</v>
      </c>
      <c r="Q129">
        <v>100</v>
      </c>
      <c r="R129">
        <v>3</v>
      </c>
      <c r="S129" t="s">
        <v>54</v>
      </c>
      <c r="T129" t="s">
        <v>54</v>
      </c>
      <c r="Y129" s="347" t="e">
        <f>(Y128/12.01)*100.09</f>
        <v>#VALUE!</v>
      </c>
      <c r="Z129" s="52" t="s">
        <v>62</v>
      </c>
    </row>
    <row r="130" spans="1:26">
      <c r="A130" s="148">
        <v>45357</v>
      </c>
      <c r="B130">
        <v>25</v>
      </c>
      <c r="C130" t="s">
        <v>82</v>
      </c>
      <c r="H130">
        <v>0.51819999999999999</v>
      </c>
      <c r="I130">
        <v>0.23681000000000002</v>
      </c>
      <c r="J130">
        <v>0.28138999999999997</v>
      </c>
      <c r="K130">
        <v>8.1457870871977462</v>
      </c>
      <c r="L130" s="277" t="e">
        <v>#DIV/0!</v>
      </c>
      <c r="M130">
        <v>2.3450728642797669</v>
      </c>
      <c r="N130" t="e">
        <v>#DIV/0!</v>
      </c>
      <c r="O130">
        <v>128</v>
      </c>
      <c r="P130">
        <v>41.7</v>
      </c>
      <c r="Q130">
        <v>100</v>
      </c>
      <c r="R130">
        <v>3</v>
      </c>
      <c r="S130" t="s">
        <v>54</v>
      </c>
      <c r="T130" t="s">
        <v>54</v>
      </c>
    </row>
    <row r="131" spans="1:26">
      <c r="A131" s="148">
        <v>45357</v>
      </c>
      <c r="B131">
        <v>26</v>
      </c>
      <c r="C131" t="s">
        <v>142</v>
      </c>
      <c r="D131">
        <v>2087.9</v>
      </c>
      <c r="G131">
        <v>2087.4824200000003</v>
      </c>
      <c r="H131">
        <v>249.7611</v>
      </c>
      <c r="I131">
        <v>0.23681000000000002</v>
      </c>
      <c r="J131">
        <v>249.52429000000001</v>
      </c>
      <c r="K131">
        <v>2112.0933758928613</v>
      </c>
      <c r="L131" s="277">
        <v>101.17897787579264</v>
      </c>
      <c r="M131">
        <v>2079.5075925145711</v>
      </c>
      <c r="N131">
        <v>99.598045524908812</v>
      </c>
      <c r="O131">
        <v>128</v>
      </c>
      <c r="P131">
        <v>41.7</v>
      </c>
      <c r="Q131">
        <v>100</v>
      </c>
      <c r="R131">
        <v>3</v>
      </c>
      <c r="S131" t="s">
        <v>54</v>
      </c>
      <c r="T131" t="s">
        <v>54</v>
      </c>
    </row>
    <row r="132" spans="1:26">
      <c r="A132" s="148">
        <v>45357</v>
      </c>
      <c r="B132">
        <v>27</v>
      </c>
      <c r="C132" t="s">
        <v>84</v>
      </c>
      <c r="H132">
        <v>0.42180000000000001</v>
      </c>
      <c r="I132">
        <v>0.23681000000000002</v>
      </c>
      <c r="J132">
        <v>0.18498999999999999</v>
      </c>
      <c r="K132">
        <v>7.3320405469317409</v>
      </c>
      <c r="O132">
        <v>128</v>
      </c>
      <c r="P132">
        <v>41.7</v>
      </c>
      <c r="Q132">
        <v>100</v>
      </c>
      <c r="R132">
        <v>3</v>
      </c>
      <c r="S132" t="s">
        <v>54</v>
      </c>
      <c r="T132" t="s">
        <v>54</v>
      </c>
    </row>
    <row r="133" spans="1:26">
      <c r="H133"/>
    </row>
    <row r="134" spans="1:26">
      <c r="A134" s="148" t="s">
        <v>85</v>
      </c>
      <c r="H134"/>
    </row>
    <row r="135" spans="1:26">
      <c r="A135" s="148" t="s">
        <v>38</v>
      </c>
      <c r="H135"/>
    </row>
    <row r="136" spans="1:26">
      <c r="A136" s="148" t="s">
        <v>143</v>
      </c>
      <c r="H136"/>
    </row>
    <row r="137" spans="1:26">
      <c r="A137" s="148">
        <v>45370</v>
      </c>
      <c r="B137">
        <v>1</v>
      </c>
      <c r="C137" t="s">
        <v>45</v>
      </c>
      <c r="H137">
        <v>0.14180000000000001</v>
      </c>
    </row>
    <row r="138" spans="1:26">
      <c r="A138" s="148">
        <v>45370</v>
      </c>
      <c r="B138">
        <v>2</v>
      </c>
      <c r="C138" t="s">
        <v>49</v>
      </c>
      <c r="H138">
        <v>0.2757</v>
      </c>
    </row>
    <row r="139" spans="1:26">
      <c r="A139" s="148">
        <v>45370</v>
      </c>
      <c r="B139">
        <v>3</v>
      </c>
      <c r="C139" t="s">
        <v>51</v>
      </c>
      <c r="G139">
        <v>0</v>
      </c>
      <c r="H139">
        <v>0.2296</v>
      </c>
      <c r="I139">
        <v>0.28501000000000004</v>
      </c>
      <c r="J139">
        <v>0.28501000000000004</v>
      </c>
    </row>
    <row r="140" spans="1:26">
      <c r="A140" s="148">
        <v>45370</v>
      </c>
      <c r="B140">
        <v>4</v>
      </c>
      <c r="C140" t="s">
        <v>144</v>
      </c>
      <c r="D140">
        <v>317.89999999999998</v>
      </c>
      <c r="G140">
        <v>317.83641999999998</v>
      </c>
      <c r="H140">
        <v>36.967799999999997</v>
      </c>
      <c r="I140">
        <v>0.28501000000000004</v>
      </c>
      <c r="J140">
        <v>36.682789999999997</v>
      </c>
      <c r="K140">
        <v>314.22276168865613</v>
      </c>
      <c r="L140" s="277">
        <v>98.863044609128224</v>
      </c>
      <c r="M140">
        <v>305.71027902581181</v>
      </c>
      <c r="N140">
        <v>96.184785565421308</v>
      </c>
      <c r="O140">
        <v>128</v>
      </c>
      <c r="P140">
        <v>41.7</v>
      </c>
      <c r="Q140">
        <v>100</v>
      </c>
      <c r="R140">
        <v>3</v>
      </c>
      <c r="S140" t="s">
        <v>54</v>
      </c>
      <c r="T140" t="s">
        <v>54</v>
      </c>
    </row>
    <row r="141" spans="1:26">
      <c r="A141" s="148">
        <v>45370</v>
      </c>
      <c r="B141">
        <v>5</v>
      </c>
      <c r="C141" t="s">
        <v>145</v>
      </c>
      <c r="D141">
        <v>1040.5999999999999</v>
      </c>
      <c r="G141">
        <v>1040.3918799999999</v>
      </c>
      <c r="H141">
        <v>124.8741</v>
      </c>
      <c r="I141">
        <v>0.28501000000000004</v>
      </c>
      <c r="J141">
        <v>124.58909</v>
      </c>
      <c r="K141">
        <v>1048.5190171441454</v>
      </c>
      <c r="L141" s="277">
        <v>100.78116114710024</v>
      </c>
      <c r="M141">
        <v>1038.3115751956705</v>
      </c>
      <c r="N141">
        <v>99.800046036083117</v>
      </c>
      <c r="O141">
        <v>128</v>
      </c>
      <c r="P141">
        <v>41.7</v>
      </c>
      <c r="Q141">
        <v>100</v>
      </c>
      <c r="R141">
        <v>3</v>
      </c>
      <c r="S141" t="s">
        <v>54</v>
      </c>
      <c r="T141" t="s">
        <v>54</v>
      </c>
    </row>
    <row r="142" spans="1:26">
      <c r="A142" s="148">
        <v>45370</v>
      </c>
      <c r="B142">
        <v>6</v>
      </c>
      <c r="C142" t="s">
        <v>146</v>
      </c>
      <c r="D142">
        <v>1984</v>
      </c>
      <c r="G142">
        <v>1983.6032</v>
      </c>
      <c r="H142">
        <v>234.12790000000001</v>
      </c>
      <c r="I142">
        <v>0.28501000000000004</v>
      </c>
      <c r="J142">
        <v>233.84289000000001</v>
      </c>
      <c r="K142">
        <v>1961.1345661353207</v>
      </c>
      <c r="L142" s="277">
        <v>98.86728183012211</v>
      </c>
      <c r="M142">
        <v>1948.8205545462117</v>
      </c>
      <c r="N142">
        <v>98.246491765400037</v>
      </c>
      <c r="O142">
        <v>128</v>
      </c>
      <c r="P142">
        <v>41.7</v>
      </c>
      <c r="Q142">
        <v>100</v>
      </c>
      <c r="R142">
        <v>3</v>
      </c>
      <c r="S142" t="s">
        <v>54</v>
      </c>
      <c r="T142" t="s">
        <v>54</v>
      </c>
    </row>
    <row r="143" spans="1:26">
      <c r="A143" s="148">
        <v>45370</v>
      </c>
      <c r="B143">
        <v>7</v>
      </c>
      <c r="C143" t="s">
        <v>147</v>
      </c>
      <c r="D143">
        <v>2866.5</v>
      </c>
      <c r="G143">
        <v>2865.9267</v>
      </c>
      <c r="H143">
        <v>340.74930000000001</v>
      </c>
      <c r="I143">
        <v>0.28501000000000004</v>
      </c>
      <c r="J143">
        <v>340.46429000000001</v>
      </c>
      <c r="K143">
        <v>2851.7612307932795</v>
      </c>
      <c r="L143" s="277">
        <v>99.50572813998626</v>
      </c>
      <c r="M143">
        <v>2837.3914060033312</v>
      </c>
      <c r="N143">
        <v>99.004325756249486</v>
      </c>
      <c r="O143">
        <v>128</v>
      </c>
      <c r="P143">
        <v>41.7</v>
      </c>
      <c r="Q143">
        <v>100</v>
      </c>
      <c r="R143">
        <v>3</v>
      </c>
      <c r="S143" t="s">
        <v>54</v>
      </c>
      <c r="T143" t="s">
        <v>54</v>
      </c>
    </row>
    <row r="144" spans="1:26">
      <c r="A144" s="148">
        <v>45370</v>
      </c>
      <c r="B144">
        <v>8</v>
      </c>
      <c r="C144" t="s">
        <v>148</v>
      </c>
      <c r="D144">
        <v>3550.3</v>
      </c>
      <c r="G144">
        <v>3549.5899400000003</v>
      </c>
      <c r="H144">
        <v>426.91579999999999</v>
      </c>
      <c r="I144">
        <v>0.28501000000000004</v>
      </c>
      <c r="J144">
        <v>426.63078999999999</v>
      </c>
      <c r="K144">
        <v>3571.5246413304699</v>
      </c>
      <c r="L144" s="277">
        <v>100.61795029006842</v>
      </c>
      <c r="M144">
        <v>3555.4934030890922</v>
      </c>
      <c r="N144">
        <v>100.16631394580446</v>
      </c>
      <c r="O144">
        <v>128</v>
      </c>
      <c r="P144">
        <v>41.7</v>
      </c>
      <c r="Q144">
        <v>100</v>
      </c>
      <c r="R144">
        <v>3</v>
      </c>
      <c r="S144" t="s">
        <v>54</v>
      </c>
      <c r="T144" t="s">
        <v>54</v>
      </c>
    </row>
    <row r="145" spans="1:27">
      <c r="A145" s="148">
        <v>45370</v>
      </c>
      <c r="B145">
        <v>9</v>
      </c>
      <c r="C145" t="s">
        <v>61</v>
      </c>
      <c r="H145">
        <v>0.4199</v>
      </c>
      <c r="I145">
        <v>0.28501000000000004</v>
      </c>
      <c r="J145">
        <v>0.13488999999999995</v>
      </c>
      <c r="K145">
        <v>8.9319450491015733</v>
      </c>
      <c r="O145">
        <v>128</v>
      </c>
      <c r="P145">
        <v>41.7</v>
      </c>
      <c r="Q145">
        <v>100</v>
      </c>
      <c r="R145">
        <v>3</v>
      </c>
      <c r="S145" t="s">
        <v>54</v>
      </c>
      <c r="T145" t="s">
        <v>54</v>
      </c>
    </row>
    <row r="146" spans="1:27">
      <c r="A146" s="148">
        <v>45370</v>
      </c>
      <c r="B146">
        <v>10</v>
      </c>
      <c r="C146" t="s">
        <v>63</v>
      </c>
      <c r="H146">
        <v>0.2737</v>
      </c>
      <c r="I146">
        <v>0.28501000000000004</v>
      </c>
      <c r="J146">
        <v>-1.1310000000000042E-2</v>
      </c>
      <c r="K146">
        <v>7.7107116159165496</v>
      </c>
      <c r="O146">
        <v>128</v>
      </c>
      <c r="P146">
        <v>41.7</v>
      </c>
      <c r="Q146">
        <v>100</v>
      </c>
      <c r="R146">
        <v>3</v>
      </c>
      <c r="S146" t="s">
        <v>54</v>
      </c>
      <c r="T146" t="s">
        <v>54</v>
      </c>
    </row>
    <row r="147" spans="1:27">
      <c r="A147" s="148">
        <v>45370</v>
      </c>
      <c r="B147">
        <v>11</v>
      </c>
      <c r="C147" t="s">
        <v>64</v>
      </c>
      <c r="D147">
        <v>1140.2</v>
      </c>
      <c r="H147">
        <v>17.246400000000001</v>
      </c>
      <c r="I147">
        <v>0.28501000000000004</v>
      </c>
      <c r="J147">
        <v>16.961390000000002</v>
      </c>
      <c r="K147">
        <v>149.48655765845714</v>
      </c>
      <c r="L147" s="277">
        <v>13.11055583743704</v>
      </c>
      <c r="M147">
        <v>141.35433181515407</v>
      </c>
      <c r="N147">
        <v>12.39732782100983</v>
      </c>
      <c r="O147">
        <v>128</v>
      </c>
      <c r="P147">
        <v>41.7</v>
      </c>
      <c r="Q147">
        <v>100</v>
      </c>
      <c r="R147">
        <v>3</v>
      </c>
      <c r="S147" t="s">
        <v>54</v>
      </c>
      <c r="T147" t="s">
        <v>54</v>
      </c>
    </row>
    <row r="148" spans="1:27">
      <c r="A148" s="148">
        <v>45370</v>
      </c>
      <c r="B148">
        <v>12</v>
      </c>
      <c r="C148" t="s">
        <v>64</v>
      </c>
      <c r="D148">
        <v>1862.2</v>
      </c>
      <c r="H148">
        <v>28.4451</v>
      </c>
      <c r="I148">
        <v>0.28501000000000004</v>
      </c>
      <c r="J148">
        <v>28.16009</v>
      </c>
      <c r="K148">
        <v>243.03120094306118</v>
      </c>
      <c r="L148" s="277">
        <v>13.050757219582277</v>
      </c>
      <c r="M148">
        <v>234.68304813488763</v>
      </c>
      <c r="N148">
        <v>12.602462041396606</v>
      </c>
      <c r="O148">
        <v>128</v>
      </c>
      <c r="P148">
        <v>41.7</v>
      </c>
      <c r="Q148">
        <v>100</v>
      </c>
      <c r="R148">
        <v>3</v>
      </c>
      <c r="S148" t="s">
        <v>54</v>
      </c>
      <c r="T148" t="s">
        <v>54</v>
      </c>
    </row>
    <row r="149" spans="1:27">
      <c r="A149" s="148">
        <v>45370</v>
      </c>
      <c r="B149">
        <v>13</v>
      </c>
      <c r="C149" t="s">
        <v>65</v>
      </c>
      <c r="H149">
        <v>0.2382</v>
      </c>
      <c r="I149">
        <v>0.28501000000000004</v>
      </c>
      <c r="J149">
        <v>-4.6810000000000046E-2</v>
      </c>
      <c r="K149">
        <v>7.414174085970803</v>
      </c>
      <c r="O149">
        <v>128</v>
      </c>
      <c r="P149">
        <v>41.7</v>
      </c>
      <c r="Q149">
        <v>100</v>
      </c>
      <c r="R149">
        <v>3</v>
      </c>
      <c r="S149" t="s">
        <v>54</v>
      </c>
      <c r="T149" t="s">
        <v>54</v>
      </c>
    </row>
    <row r="150" spans="1:27">
      <c r="A150" s="148">
        <v>45370</v>
      </c>
      <c r="B150">
        <v>14</v>
      </c>
      <c r="C150" t="s">
        <v>66</v>
      </c>
      <c r="H150">
        <v>0.27929999999999999</v>
      </c>
      <c r="I150">
        <v>0.28501000000000004</v>
      </c>
      <c r="J150">
        <v>-5.7100000000000484E-3</v>
      </c>
      <c r="K150">
        <v>7.7574893671192591</v>
      </c>
      <c r="O150">
        <v>128</v>
      </c>
      <c r="P150">
        <v>41.7</v>
      </c>
      <c r="Q150">
        <v>100</v>
      </c>
      <c r="R150">
        <v>3</v>
      </c>
      <c r="S150" t="s">
        <v>54</v>
      </c>
      <c r="T150" t="s">
        <v>54</v>
      </c>
    </row>
    <row r="151" spans="1:27">
      <c r="A151" s="148">
        <v>45370</v>
      </c>
      <c r="B151">
        <v>15</v>
      </c>
      <c r="C151" t="s">
        <v>149</v>
      </c>
      <c r="D151">
        <v>3131</v>
      </c>
      <c r="E151" t="s">
        <v>68</v>
      </c>
      <c r="H151">
        <v>273.80860000000001</v>
      </c>
      <c r="I151">
        <v>0.28501000000000004</v>
      </c>
      <c r="J151">
        <v>273.52359000000001</v>
      </c>
      <c r="K151">
        <v>2292.5941933048484</v>
      </c>
      <c r="L151" s="277">
        <v>73.22242712567386</v>
      </c>
      <c r="M151">
        <v>2279.5150810241466</v>
      </c>
      <c r="N151">
        <v>72.80469757343171</v>
      </c>
      <c r="O151">
        <v>128</v>
      </c>
      <c r="P151">
        <v>41.7</v>
      </c>
      <c r="Q151">
        <v>100</v>
      </c>
      <c r="R151">
        <v>3</v>
      </c>
      <c r="S151" t="s">
        <v>54</v>
      </c>
      <c r="T151" t="s">
        <v>54</v>
      </c>
    </row>
    <row r="152" spans="1:27">
      <c r="A152" s="148">
        <v>45370</v>
      </c>
      <c r="B152">
        <v>16</v>
      </c>
      <c r="C152" t="s">
        <v>150</v>
      </c>
      <c r="D152">
        <v>2893.9</v>
      </c>
      <c r="H152">
        <v>255.57409999999999</v>
      </c>
      <c r="I152">
        <v>0.28501000000000004</v>
      </c>
      <c r="J152">
        <v>255.28908999999999</v>
      </c>
      <c r="K152">
        <v>2140.2783175359541</v>
      </c>
      <c r="L152" s="277">
        <v>73.958267995989985</v>
      </c>
      <c r="M152">
        <v>2127.5507925145712</v>
      </c>
      <c r="N152">
        <v>73.518462715179211</v>
      </c>
      <c r="O152">
        <v>128</v>
      </c>
      <c r="P152">
        <v>41.7</v>
      </c>
      <c r="Q152">
        <v>100</v>
      </c>
      <c r="R152">
        <v>3</v>
      </c>
      <c r="S152" t="s">
        <v>54</v>
      </c>
      <c r="T152" t="s">
        <v>54</v>
      </c>
    </row>
    <row r="153" spans="1:27">
      <c r="A153" s="148">
        <v>45370</v>
      </c>
      <c r="B153">
        <v>17</v>
      </c>
      <c r="C153" t="s">
        <v>151</v>
      </c>
      <c r="D153">
        <v>2453.1999999999998</v>
      </c>
      <c r="H153">
        <v>210.3793</v>
      </c>
      <c r="I153">
        <v>0.28501000000000004</v>
      </c>
      <c r="J153">
        <v>210.09429</v>
      </c>
      <c r="K153">
        <v>1762.7584764544874</v>
      </c>
      <c r="L153" s="277">
        <v>71.855473522521095</v>
      </c>
      <c r="M153">
        <v>1750.9023718651126</v>
      </c>
      <c r="N153">
        <v>71.372182123965132</v>
      </c>
      <c r="O153">
        <v>128</v>
      </c>
      <c r="P153">
        <v>41.7</v>
      </c>
      <c r="Q153">
        <v>100</v>
      </c>
      <c r="R153">
        <v>3</v>
      </c>
      <c r="S153" t="s">
        <v>54</v>
      </c>
      <c r="T153" t="s">
        <v>54</v>
      </c>
    </row>
    <row r="154" spans="1:27">
      <c r="A154" s="148">
        <v>45370</v>
      </c>
      <c r="B154">
        <v>18</v>
      </c>
      <c r="C154" t="s">
        <v>152</v>
      </c>
      <c r="D154">
        <v>2211.5</v>
      </c>
      <c r="H154">
        <v>189.5907</v>
      </c>
      <c r="I154">
        <v>0.28501000000000004</v>
      </c>
      <c r="J154">
        <v>189.30569</v>
      </c>
      <c r="K154">
        <v>1589.1077695522292</v>
      </c>
      <c r="L154" s="277">
        <v>71.856557519883751</v>
      </c>
      <c r="M154">
        <v>1577.6524989258951</v>
      </c>
      <c r="N154">
        <v>71.338571057015386</v>
      </c>
      <c r="O154">
        <v>128</v>
      </c>
      <c r="P154">
        <v>41.7</v>
      </c>
      <c r="Q154">
        <v>100</v>
      </c>
      <c r="R154">
        <v>3</v>
      </c>
      <c r="S154" t="s">
        <v>54</v>
      </c>
      <c r="T154" t="s">
        <v>54</v>
      </c>
    </row>
    <row r="155" spans="1:27">
      <c r="A155" s="148">
        <v>45370</v>
      </c>
      <c r="B155">
        <v>19</v>
      </c>
      <c r="C155" t="s">
        <v>74</v>
      </c>
      <c r="H155">
        <v>0.38200000000000001</v>
      </c>
      <c r="I155">
        <v>0.28501000000000004</v>
      </c>
      <c r="J155">
        <v>9.6989999999999965E-2</v>
      </c>
      <c r="K155">
        <v>8.6153599114975208</v>
      </c>
      <c r="O155">
        <v>128</v>
      </c>
      <c r="P155">
        <v>41.7</v>
      </c>
      <c r="Q155">
        <v>100</v>
      </c>
      <c r="R155">
        <v>3</v>
      </c>
      <c r="S155" t="s">
        <v>54</v>
      </c>
      <c r="T155" t="s">
        <v>54</v>
      </c>
      <c r="X155" s="348">
        <f>A156</f>
        <v>45370</v>
      </c>
      <c r="Y155" s="44"/>
      <c r="Z155" s="44"/>
      <c r="AA155" s="44"/>
    </row>
    <row r="156" spans="1:27">
      <c r="A156" s="148">
        <v>45370</v>
      </c>
      <c r="B156">
        <v>20</v>
      </c>
      <c r="C156" t="s">
        <v>153</v>
      </c>
      <c r="D156">
        <v>2357.3000000000002</v>
      </c>
      <c r="H156">
        <v>199.2766</v>
      </c>
      <c r="I156">
        <v>0.28501000000000004</v>
      </c>
      <c r="J156">
        <v>198.99159</v>
      </c>
      <c r="K156">
        <v>1670.0157374762155</v>
      </c>
      <c r="L156" s="277">
        <v>70.84442953702181</v>
      </c>
      <c r="M156">
        <v>1658.373708834305</v>
      </c>
      <c r="N156">
        <v>70.350558216362145</v>
      </c>
      <c r="O156">
        <v>128</v>
      </c>
      <c r="P156">
        <v>41.7</v>
      </c>
      <c r="Q156">
        <v>100</v>
      </c>
      <c r="R156">
        <v>3</v>
      </c>
      <c r="S156" t="s">
        <v>54</v>
      </c>
      <c r="T156" t="s">
        <v>54</v>
      </c>
      <c r="X156" s="208" t="e">
        <f>((J142-INDEX(LINEST($H$142:$H$147,$G$142:$G$147),2))/INDEX(LINEST($H$142:$H$147,$G$142:$G$147),1)/100.09)*12.01</f>
        <v>#VALUE!</v>
      </c>
      <c r="Y156" s="208" t="e">
        <f>(J142-X156)^2</f>
        <v>#VALUE!</v>
      </c>
      <c r="Z156" s="44"/>
      <c r="AA156" s="44"/>
    </row>
    <row r="157" spans="1:27">
      <c r="A157" s="148">
        <v>45370</v>
      </c>
      <c r="B157">
        <v>21</v>
      </c>
      <c r="C157" t="s">
        <v>154</v>
      </c>
      <c r="D157">
        <v>2141.8000000000002</v>
      </c>
      <c r="H157">
        <v>184.40039999999999</v>
      </c>
      <c r="I157">
        <v>0.28501000000000004</v>
      </c>
      <c r="J157">
        <v>184.11538999999999</v>
      </c>
      <c r="K157">
        <v>1545.7523120401893</v>
      </c>
      <c r="L157" s="277">
        <v>72.170712113184663</v>
      </c>
      <c r="M157">
        <v>1534.3971178268112</v>
      </c>
      <c r="N157">
        <v>71.640541499057377</v>
      </c>
      <c r="O157">
        <v>128</v>
      </c>
      <c r="P157">
        <v>41.7</v>
      </c>
      <c r="Q157">
        <v>100</v>
      </c>
      <c r="R157">
        <v>3</v>
      </c>
      <c r="S157" t="s">
        <v>54</v>
      </c>
      <c r="T157" t="s">
        <v>54</v>
      </c>
      <c r="X157" s="208" t="e">
        <f t="shared" ref="X157:X161" si="8">((J143-INDEX(LINEST($H$142:$H$147,$G$142:$G$147),2))/INDEX(LINEST($H$142:$H$147,$G$142:$G$147),1)/100.09)*12.01</f>
        <v>#VALUE!</v>
      </c>
      <c r="Y157" s="208" t="e">
        <f t="shared" ref="Y157:Y161" si="9">(J143-X157)^2</f>
        <v>#VALUE!</v>
      </c>
      <c r="Z157" s="44"/>
      <c r="AA157" s="44"/>
    </row>
    <row r="158" spans="1:27">
      <c r="A158" s="148">
        <v>45370</v>
      </c>
      <c r="B158">
        <v>22</v>
      </c>
      <c r="C158" t="s">
        <v>155</v>
      </c>
      <c r="D158">
        <v>3099.3</v>
      </c>
      <c r="H158">
        <v>262.73719999999997</v>
      </c>
      <c r="I158">
        <v>0.28501000000000004</v>
      </c>
      <c r="J158">
        <v>262.45218999999997</v>
      </c>
      <c r="K158">
        <v>2200.1129085431198</v>
      </c>
      <c r="L158" s="277">
        <v>70.987413562517972</v>
      </c>
      <c r="M158">
        <v>2187.2472687010822</v>
      </c>
      <c r="N158">
        <v>70.572299186948086</v>
      </c>
      <c r="O158">
        <v>128</v>
      </c>
      <c r="P158">
        <v>41.7</v>
      </c>
      <c r="Q158">
        <v>100</v>
      </c>
      <c r="R158">
        <v>3</v>
      </c>
      <c r="S158" t="s">
        <v>54</v>
      </c>
      <c r="T158" t="s">
        <v>54</v>
      </c>
      <c r="X158" s="208" t="e">
        <f t="shared" si="8"/>
        <v>#VALUE!</v>
      </c>
      <c r="Y158" s="208" t="e">
        <f t="shared" si="9"/>
        <v>#VALUE!</v>
      </c>
      <c r="Z158" s="44"/>
      <c r="AA158" s="44"/>
    </row>
    <row r="159" spans="1:27">
      <c r="A159" s="148">
        <v>45370</v>
      </c>
      <c r="B159">
        <v>23</v>
      </c>
      <c r="C159" t="s">
        <v>156</v>
      </c>
      <c r="D159">
        <v>2024</v>
      </c>
      <c r="H159">
        <v>168.7525</v>
      </c>
      <c r="I159">
        <v>0.28501000000000004</v>
      </c>
      <c r="J159">
        <v>168.46749</v>
      </c>
      <c r="K159">
        <v>1415.0427454250325</v>
      </c>
      <c r="L159" s="277">
        <v>69.913179121790151</v>
      </c>
      <c r="O159">
        <v>128</v>
      </c>
      <c r="P159">
        <v>41.7</v>
      </c>
      <c r="Q159">
        <v>100</v>
      </c>
      <c r="R159">
        <v>3</v>
      </c>
      <c r="S159" t="s">
        <v>54</v>
      </c>
      <c r="T159" t="s">
        <v>54</v>
      </c>
      <c r="X159" s="208" t="e">
        <f t="shared" si="8"/>
        <v>#VALUE!</v>
      </c>
      <c r="Y159" s="208" t="e">
        <f t="shared" si="9"/>
        <v>#VALUE!</v>
      </c>
      <c r="Z159" s="44"/>
      <c r="AA159" s="44"/>
    </row>
    <row r="160" spans="1:27" ht="15.5">
      <c r="A160" s="148">
        <v>45370</v>
      </c>
      <c r="B160">
        <v>24</v>
      </c>
      <c r="C160" t="s">
        <v>157</v>
      </c>
      <c r="D160">
        <v>2679.2</v>
      </c>
      <c r="H160">
        <v>221.99340000000001</v>
      </c>
      <c r="I160">
        <v>0.28501000000000004</v>
      </c>
      <c r="J160">
        <v>221.70839000000001</v>
      </c>
      <c r="K160">
        <v>1859.7730264979496</v>
      </c>
      <c r="L160" s="277">
        <v>69.415236880335542</v>
      </c>
      <c r="M160">
        <v>1847.692985437136</v>
      </c>
      <c r="N160">
        <v>68.964354487799952</v>
      </c>
      <c r="O160">
        <v>128</v>
      </c>
      <c r="P160">
        <v>41.7</v>
      </c>
      <c r="Q160">
        <v>100</v>
      </c>
      <c r="R160">
        <v>3</v>
      </c>
      <c r="S160" t="s">
        <v>54</v>
      </c>
      <c r="T160" t="s">
        <v>54</v>
      </c>
      <c r="X160" s="208" t="e">
        <f t="shared" si="8"/>
        <v>#VALUE!</v>
      </c>
      <c r="Y160" s="208" t="e">
        <f t="shared" si="9"/>
        <v>#VALUE!</v>
      </c>
      <c r="Z160" s="44"/>
      <c r="AA160" s="52" t="s">
        <v>42</v>
      </c>
    </row>
    <row r="161" spans="1:27" ht="15.5">
      <c r="A161" s="148">
        <v>45370</v>
      </c>
      <c r="B161">
        <v>25</v>
      </c>
      <c r="C161" t="s">
        <v>82</v>
      </c>
      <c r="H161">
        <v>0.3821</v>
      </c>
      <c r="I161">
        <v>0.28501000000000004</v>
      </c>
      <c r="J161">
        <v>9.7089999999999954E-2</v>
      </c>
      <c r="K161">
        <v>8.6161952284832832</v>
      </c>
      <c r="O161">
        <v>128</v>
      </c>
      <c r="P161">
        <v>41.7</v>
      </c>
      <c r="Q161">
        <v>100</v>
      </c>
      <c r="R161">
        <v>3</v>
      </c>
      <c r="S161" t="s">
        <v>54</v>
      </c>
      <c r="T161" t="s">
        <v>54</v>
      </c>
      <c r="X161" s="208" t="e">
        <f t="shared" si="8"/>
        <v>#VALUE!</v>
      </c>
      <c r="Y161" s="208" t="e">
        <f t="shared" si="9"/>
        <v>#VALUE!</v>
      </c>
      <c r="AA161" s="347" t="e">
        <f>(Y162/$AK$15)*100</f>
        <v>#VALUE!</v>
      </c>
    </row>
    <row r="162" spans="1:27" ht="15.5">
      <c r="A162" s="148">
        <v>45370</v>
      </c>
      <c r="B162">
        <v>26</v>
      </c>
      <c r="C162" t="s">
        <v>158</v>
      </c>
      <c r="D162">
        <v>1999.9</v>
      </c>
      <c r="G162">
        <v>1999.5000200000002</v>
      </c>
      <c r="H162">
        <v>237.78540000000001</v>
      </c>
      <c r="I162">
        <v>0.28501000000000004</v>
      </c>
      <c r="J162">
        <v>237.50039000000001</v>
      </c>
      <c r="K162">
        <v>1991.6862848895905</v>
      </c>
      <c r="L162" s="277">
        <v>99.60921555227543</v>
      </c>
      <c r="M162">
        <v>1979.3017514654457</v>
      </c>
      <c r="N162">
        <v>98.989834041884421</v>
      </c>
      <c r="O162">
        <v>128</v>
      </c>
      <c r="P162">
        <v>41.7</v>
      </c>
      <c r="Q162">
        <v>100</v>
      </c>
      <c r="R162">
        <v>3</v>
      </c>
      <c r="S162" t="s">
        <v>54</v>
      </c>
      <c r="T162" t="s">
        <v>54</v>
      </c>
      <c r="X162" s="44"/>
      <c r="Y162" s="347" t="e">
        <f>SQRT(SUM(Y156:Y161)/(6-2))</f>
        <v>#VALUE!</v>
      </c>
      <c r="Z162" s="52" t="s">
        <v>60</v>
      </c>
      <c r="AA162" s="44"/>
    </row>
    <row r="163" spans="1:27" ht="15.5">
      <c r="A163" s="148">
        <v>45370</v>
      </c>
      <c r="B163">
        <v>27</v>
      </c>
      <c r="C163" t="s">
        <v>84</v>
      </c>
      <c r="H163">
        <v>0.2278</v>
      </c>
      <c r="I163">
        <v>0.28501000000000004</v>
      </c>
      <c r="J163">
        <v>-5.7210000000000039E-2</v>
      </c>
      <c r="K163">
        <v>7.3273011194514854</v>
      </c>
      <c r="O163">
        <v>128</v>
      </c>
      <c r="P163">
        <v>41.7</v>
      </c>
      <c r="Q163">
        <v>100</v>
      </c>
      <c r="R163">
        <v>3</v>
      </c>
      <c r="S163" t="s">
        <v>54</v>
      </c>
      <c r="T163" t="s">
        <v>54</v>
      </c>
      <c r="Y163" s="347" t="e">
        <f>(Y162/12.01)*100.09</f>
        <v>#VALUE!</v>
      </c>
      <c r="Z163" s="52" t="s">
        <v>62</v>
      </c>
    </row>
    <row r="164" spans="1:27">
      <c r="H164"/>
    </row>
    <row r="165" spans="1:27">
      <c r="A165" s="148" t="s">
        <v>159</v>
      </c>
      <c r="H165"/>
    </row>
    <row r="166" spans="1:27">
      <c r="A166" s="148" t="s">
        <v>38</v>
      </c>
      <c r="H166"/>
    </row>
    <row r="167" spans="1:27">
      <c r="A167" s="148" t="s">
        <v>160</v>
      </c>
      <c r="H167"/>
    </row>
    <row r="168" spans="1:27">
      <c r="A168" s="148">
        <v>45371</v>
      </c>
      <c r="B168">
        <v>1</v>
      </c>
      <c r="C168" t="s">
        <v>45</v>
      </c>
      <c r="H168">
        <v>0.23799999999999999</v>
      </c>
    </row>
    <row r="169" spans="1:27">
      <c r="A169" s="148">
        <v>45371</v>
      </c>
      <c r="B169">
        <v>2</v>
      </c>
      <c r="C169" t="s">
        <v>49</v>
      </c>
      <c r="H169">
        <v>0.31780000000000003</v>
      </c>
    </row>
    <row r="170" spans="1:27">
      <c r="A170" s="148">
        <v>45371</v>
      </c>
      <c r="B170">
        <v>3</v>
      </c>
      <c r="C170" t="s">
        <v>51</v>
      </c>
      <c r="G170">
        <v>0</v>
      </c>
      <c r="H170">
        <v>0.3679</v>
      </c>
      <c r="I170">
        <v>0.30125000000000002</v>
      </c>
      <c r="J170">
        <v>0.30125000000000002</v>
      </c>
    </row>
    <row r="171" spans="1:27">
      <c r="A171" s="148">
        <v>45371</v>
      </c>
      <c r="B171">
        <v>4</v>
      </c>
      <c r="C171" t="s">
        <v>161</v>
      </c>
      <c r="D171">
        <v>258.60000000000002</v>
      </c>
      <c r="G171">
        <v>258.54828000000003</v>
      </c>
      <c r="H171">
        <v>30.718399999999999</v>
      </c>
      <c r="I171">
        <v>0.30125000000000002</v>
      </c>
      <c r="J171">
        <v>30.417149999999999</v>
      </c>
      <c r="K171">
        <v>255.15959816434923</v>
      </c>
      <c r="L171" s="277">
        <v>98.689342727149139</v>
      </c>
      <c r="M171">
        <v>253.49313434637801</v>
      </c>
      <c r="N171">
        <v>98.044796254834111</v>
      </c>
      <c r="O171">
        <v>128</v>
      </c>
      <c r="P171">
        <v>41.7</v>
      </c>
      <c r="Q171">
        <v>100</v>
      </c>
      <c r="R171">
        <v>3</v>
      </c>
      <c r="S171" t="s">
        <v>54</v>
      </c>
      <c r="T171" t="s">
        <v>54</v>
      </c>
    </row>
    <row r="172" spans="1:27">
      <c r="A172" s="148">
        <v>45371</v>
      </c>
      <c r="B172">
        <v>5</v>
      </c>
      <c r="C172" t="s">
        <v>162</v>
      </c>
      <c r="D172">
        <v>1127</v>
      </c>
      <c r="G172">
        <v>1126.7746</v>
      </c>
      <c r="H172">
        <v>133.95150000000001</v>
      </c>
      <c r="I172">
        <v>0.30125000000000002</v>
      </c>
      <c r="J172">
        <v>133.65025</v>
      </c>
      <c r="K172">
        <v>1128.4096244783502</v>
      </c>
      <c r="L172" s="277">
        <v>100.14510661478792</v>
      </c>
      <c r="M172">
        <v>1113.8262716486263</v>
      </c>
      <c r="N172">
        <v>98.850850174349532</v>
      </c>
      <c r="O172">
        <v>128</v>
      </c>
      <c r="P172">
        <v>41.7</v>
      </c>
      <c r="Q172">
        <v>100</v>
      </c>
      <c r="R172">
        <v>3</v>
      </c>
      <c r="S172" t="s">
        <v>54</v>
      </c>
      <c r="T172" t="s">
        <v>54</v>
      </c>
    </row>
    <row r="173" spans="1:27">
      <c r="A173" s="148">
        <v>45371</v>
      </c>
      <c r="B173">
        <v>6</v>
      </c>
      <c r="C173" t="s">
        <v>163</v>
      </c>
      <c r="D173">
        <v>2037.6</v>
      </c>
      <c r="G173">
        <v>2037.1924799999999</v>
      </c>
      <c r="H173">
        <v>241.4332</v>
      </c>
      <c r="I173">
        <v>0.30125000000000002</v>
      </c>
      <c r="J173">
        <v>241.13194999999999</v>
      </c>
      <c r="K173">
        <v>2037.5986089540031</v>
      </c>
      <c r="L173" s="277">
        <v>100.01993571829813</v>
      </c>
      <c r="M173">
        <v>2009.5667673189009</v>
      </c>
      <c r="N173">
        <v>98.643932129520778</v>
      </c>
      <c r="O173">
        <v>128</v>
      </c>
      <c r="P173">
        <v>41.7</v>
      </c>
      <c r="Q173">
        <v>100</v>
      </c>
      <c r="R173">
        <v>3</v>
      </c>
      <c r="S173" t="s">
        <v>54</v>
      </c>
      <c r="T173" t="s">
        <v>54</v>
      </c>
    </row>
    <row r="174" spans="1:27">
      <c r="A174" s="148">
        <v>45371</v>
      </c>
      <c r="B174">
        <v>7</v>
      </c>
      <c r="C174" t="s">
        <v>164</v>
      </c>
      <c r="D174">
        <v>2850.9</v>
      </c>
      <c r="G174">
        <v>2850.3298199999999</v>
      </c>
      <c r="H174">
        <v>338.33710000000002</v>
      </c>
      <c r="I174">
        <v>0.30125000000000002</v>
      </c>
      <c r="J174">
        <v>338.03585000000004</v>
      </c>
      <c r="K174">
        <v>2857.3098568476471</v>
      </c>
      <c r="L174" s="277">
        <v>100.24488523393573</v>
      </c>
      <c r="M174">
        <v>2817.1530579933392</v>
      </c>
      <c r="N174">
        <v>98.836037788544033</v>
      </c>
      <c r="O174">
        <v>128</v>
      </c>
      <c r="P174">
        <v>41.7</v>
      </c>
      <c r="Q174">
        <v>100</v>
      </c>
      <c r="R174">
        <v>3</v>
      </c>
      <c r="S174" t="s">
        <v>54</v>
      </c>
      <c r="T174" t="s">
        <v>54</v>
      </c>
    </row>
    <row r="175" spans="1:27">
      <c r="A175" s="148">
        <v>45371</v>
      </c>
      <c r="B175">
        <v>8</v>
      </c>
      <c r="C175" t="s">
        <v>165</v>
      </c>
      <c r="D175">
        <v>3590.8</v>
      </c>
      <c r="G175">
        <v>3590.0818400000003</v>
      </c>
      <c r="H175">
        <v>424.2491</v>
      </c>
      <c r="I175">
        <v>0.30125000000000002</v>
      </c>
      <c r="J175">
        <v>423.94785000000002</v>
      </c>
      <c r="K175">
        <v>3584.0404913116754</v>
      </c>
      <c r="L175" s="277">
        <v>99.83172114292735</v>
      </c>
      <c r="M175">
        <v>3533.1340804746046</v>
      </c>
      <c r="N175">
        <v>98.413747595085596</v>
      </c>
      <c r="O175">
        <v>128</v>
      </c>
      <c r="P175">
        <v>41.7</v>
      </c>
      <c r="Q175">
        <v>100</v>
      </c>
      <c r="R175">
        <v>3</v>
      </c>
      <c r="S175" t="s">
        <v>54</v>
      </c>
      <c r="T175" t="s">
        <v>54</v>
      </c>
    </row>
    <row r="176" spans="1:27">
      <c r="A176" s="148">
        <v>45371</v>
      </c>
      <c r="B176">
        <v>9</v>
      </c>
      <c r="C176" t="s">
        <v>61</v>
      </c>
      <c r="H176">
        <v>0.45829999999999999</v>
      </c>
      <c r="I176">
        <v>0.30125000000000002</v>
      </c>
      <c r="J176">
        <v>0.15704999999999997</v>
      </c>
      <c r="K176">
        <v>-0.8109492789058721</v>
      </c>
      <c r="O176">
        <v>128</v>
      </c>
      <c r="P176">
        <v>41.7</v>
      </c>
      <c r="Q176">
        <v>100</v>
      </c>
      <c r="R176">
        <v>3</v>
      </c>
      <c r="S176" t="s">
        <v>54</v>
      </c>
      <c r="T176" t="s">
        <v>54</v>
      </c>
    </row>
    <row r="177" spans="1:27">
      <c r="A177" s="148">
        <v>45371</v>
      </c>
      <c r="B177">
        <v>10</v>
      </c>
      <c r="C177" t="s">
        <v>63</v>
      </c>
      <c r="H177">
        <v>0.2379</v>
      </c>
      <c r="I177">
        <v>0.30125000000000002</v>
      </c>
      <c r="J177">
        <v>-6.3350000000000017E-2</v>
      </c>
      <c r="K177">
        <v>-2.6753155122128809</v>
      </c>
      <c r="O177">
        <v>128</v>
      </c>
      <c r="P177">
        <v>41.7</v>
      </c>
      <c r="Q177">
        <v>100</v>
      </c>
      <c r="R177">
        <v>3</v>
      </c>
      <c r="S177" t="s">
        <v>54</v>
      </c>
      <c r="T177" t="s">
        <v>54</v>
      </c>
    </row>
    <row r="178" spans="1:27">
      <c r="A178" s="148">
        <v>45371</v>
      </c>
      <c r="B178">
        <v>11</v>
      </c>
      <c r="C178" t="s">
        <v>64</v>
      </c>
      <c r="D178">
        <v>940.7</v>
      </c>
      <c r="H178">
        <v>13.8154</v>
      </c>
      <c r="I178">
        <v>0.30125000000000002</v>
      </c>
      <c r="J178">
        <v>13.514150000000001</v>
      </c>
      <c r="K178">
        <v>112.17691920977404</v>
      </c>
      <c r="L178" s="277">
        <v>11.924834613561606</v>
      </c>
      <c r="M178">
        <v>112.62541827643632</v>
      </c>
      <c r="N178">
        <v>11.972511775957937</v>
      </c>
      <c r="O178">
        <v>128</v>
      </c>
      <c r="P178">
        <v>41.7</v>
      </c>
      <c r="Q178">
        <v>100</v>
      </c>
      <c r="R178">
        <v>3</v>
      </c>
      <c r="S178" t="s">
        <v>54</v>
      </c>
      <c r="T178" t="s">
        <v>54</v>
      </c>
      <c r="X178" s="348">
        <f>A179</f>
        <v>45371</v>
      </c>
      <c r="Y178" s="44"/>
      <c r="Z178" s="44"/>
      <c r="AA178" s="44"/>
    </row>
    <row r="179" spans="1:27">
      <c r="A179" s="148">
        <v>45371</v>
      </c>
      <c r="B179">
        <v>12</v>
      </c>
      <c r="C179" t="s">
        <v>64</v>
      </c>
      <c r="D179">
        <v>2083.8000000000002</v>
      </c>
      <c r="H179">
        <v>31.411999999999999</v>
      </c>
      <c r="I179">
        <v>0.30125000000000002</v>
      </c>
      <c r="J179">
        <v>31.110749999999999</v>
      </c>
      <c r="K179">
        <v>261.02676885138072</v>
      </c>
      <c r="L179" s="277">
        <v>12.526478973576193</v>
      </c>
      <c r="M179">
        <v>259.27351935886759</v>
      </c>
      <c r="N179">
        <v>12.442341844652441</v>
      </c>
      <c r="O179">
        <v>128</v>
      </c>
      <c r="P179">
        <v>41.7</v>
      </c>
      <c r="Q179">
        <v>100</v>
      </c>
      <c r="R179">
        <v>3</v>
      </c>
      <c r="S179" t="s">
        <v>54</v>
      </c>
      <c r="T179" t="s">
        <v>54</v>
      </c>
      <c r="X179" s="208" t="e">
        <f>((J174-INDEX(LINEST($H$174:$H$179,$G$174:$G$179),2))/INDEX(LINEST($H$174:$H$179,$G$174:$G$179),1)/100.09)*12.01</f>
        <v>#VALUE!</v>
      </c>
      <c r="Y179" s="208" t="e">
        <f>(J174-X179)^2</f>
        <v>#VALUE!</v>
      </c>
      <c r="Z179" s="44"/>
      <c r="AA179" s="44"/>
    </row>
    <row r="180" spans="1:27">
      <c r="A180" s="148">
        <v>45371</v>
      </c>
      <c r="B180">
        <v>13</v>
      </c>
      <c r="C180" t="s">
        <v>65</v>
      </c>
      <c r="H180">
        <v>0.27939999999999998</v>
      </c>
      <c r="I180">
        <v>0.30125000000000002</v>
      </c>
      <c r="J180">
        <v>-2.1850000000000036E-2</v>
      </c>
      <c r="K180">
        <v>-2.3242665163769427</v>
      </c>
      <c r="O180">
        <v>128</v>
      </c>
      <c r="P180">
        <v>41.7</v>
      </c>
      <c r="Q180">
        <v>100</v>
      </c>
      <c r="R180">
        <v>3</v>
      </c>
      <c r="S180" t="s">
        <v>54</v>
      </c>
      <c r="T180" t="s">
        <v>54</v>
      </c>
      <c r="X180" s="208" t="e">
        <f t="shared" ref="X180:X184" si="10">((J175-INDEX(LINEST($H$174:$H$179,$G$174:$G$179),2))/INDEX(LINEST($H$174:$H$179,$G$174:$G$179),1)/100.09)*12.01</f>
        <v>#VALUE!</v>
      </c>
      <c r="Y180" s="208" t="e">
        <f t="shared" ref="Y180:Y184" si="11">(J175-X180)^2</f>
        <v>#VALUE!</v>
      </c>
      <c r="Z180" s="44"/>
      <c r="AA180" s="44"/>
    </row>
    <row r="181" spans="1:27">
      <c r="A181" s="148">
        <v>45371</v>
      </c>
      <c r="B181">
        <v>14</v>
      </c>
      <c r="C181" t="s">
        <v>66</v>
      </c>
      <c r="H181">
        <v>0.32040000000000002</v>
      </c>
      <c r="I181">
        <v>0.30125000000000002</v>
      </c>
      <c r="J181">
        <v>1.915E-2</v>
      </c>
      <c r="K181">
        <v>-1.9774470265149307</v>
      </c>
      <c r="O181">
        <v>128</v>
      </c>
      <c r="P181">
        <v>41.7</v>
      </c>
      <c r="Q181">
        <v>100</v>
      </c>
      <c r="R181">
        <v>3</v>
      </c>
      <c r="S181" t="s">
        <v>54</v>
      </c>
      <c r="T181" t="s">
        <v>54</v>
      </c>
      <c r="X181" s="208" t="e">
        <f t="shared" si="10"/>
        <v>#VALUE!</v>
      </c>
      <c r="Y181" s="208" t="e">
        <f t="shared" si="11"/>
        <v>#VALUE!</v>
      </c>
      <c r="Z181" s="44"/>
      <c r="AA181" s="44"/>
    </row>
    <row r="182" spans="1:27">
      <c r="A182" s="148">
        <v>45371</v>
      </c>
      <c r="B182">
        <v>15</v>
      </c>
      <c r="C182" t="s">
        <v>166</v>
      </c>
      <c r="D182">
        <v>2592.6999999999998</v>
      </c>
      <c r="E182" t="s">
        <v>68</v>
      </c>
      <c r="H182">
        <v>222.61600000000001</v>
      </c>
      <c r="I182">
        <v>0.30125000000000002</v>
      </c>
      <c r="J182">
        <v>222.31475</v>
      </c>
      <c r="K182">
        <v>1878.4236893288462</v>
      </c>
      <c r="L182" s="277">
        <v>72.45048363979042</v>
      </c>
      <c r="M182">
        <v>1852.7463220233142</v>
      </c>
      <c r="N182">
        <v>71.460111930547853</v>
      </c>
      <c r="O182">
        <v>128</v>
      </c>
      <c r="P182">
        <v>41.7</v>
      </c>
      <c r="Q182">
        <v>100</v>
      </c>
      <c r="R182">
        <v>3</v>
      </c>
      <c r="S182" t="s">
        <v>54</v>
      </c>
      <c r="T182" t="s">
        <v>54</v>
      </c>
      <c r="X182" s="208" t="e">
        <f t="shared" si="10"/>
        <v>#VALUE!</v>
      </c>
      <c r="Y182" s="208" t="e">
        <f t="shared" si="11"/>
        <v>#VALUE!</v>
      </c>
      <c r="Z182" s="44"/>
      <c r="AA182" s="44"/>
    </row>
    <row r="183" spans="1:27" ht="15.5">
      <c r="A183" s="148">
        <v>45371</v>
      </c>
      <c r="B183">
        <v>16</v>
      </c>
      <c r="C183" t="s">
        <v>167</v>
      </c>
      <c r="D183">
        <v>2432.9</v>
      </c>
      <c r="H183">
        <v>218.1395</v>
      </c>
      <c r="I183">
        <v>0.30125000000000002</v>
      </c>
      <c r="J183">
        <v>217.83824999999999</v>
      </c>
      <c r="K183">
        <v>1840.5569223442778</v>
      </c>
      <c r="L183" s="277">
        <v>75.652797991872973</v>
      </c>
      <c r="M183">
        <v>1815.439670482931</v>
      </c>
      <c r="N183">
        <v>74.620398309956471</v>
      </c>
      <c r="O183">
        <v>128</v>
      </c>
      <c r="P183">
        <v>41.7</v>
      </c>
      <c r="Q183">
        <v>100</v>
      </c>
      <c r="R183">
        <v>3</v>
      </c>
      <c r="S183" t="s">
        <v>54</v>
      </c>
      <c r="T183" t="s">
        <v>54</v>
      </c>
      <c r="X183" s="208" t="e">
        <f t="shared" si="10"/>
        <v>#VALUE!</v>
      </c>
      <c r="Y183" s="208" t="e">
        <f t="shared" si="11"/>
        <v>#VALUE!</v>
      </c>
      <c r="Z183" s="44"/>
      <c r="AA183" s="52" t="s">
        <v>42</v>
      </c>
    </row>
    <row r="184" spans="1:27" ht="15.5">
      <c r="A184" s="148">
        <v>45371</v>
      </c>
      <c r="B184">
        <v>17</v>
      </c>
      <c r="C184" t="s">
        <v>168</v>
      </c>
      <c r="D184">
        <v>2034.9</v>
      </c>
      <c r="H184">
        <v>194.5384</v>
      </c>
      <c r="I184">
        <v>0.30125000000000002</v>
      </c>
      <c r="J184">
        <v>194.23714999999999</v>
      </c>
      <c r="K184">
        <v>1640.9149354617821</v>
      </c>
      <c r="L184" s="277">
        <v>80.63860314815382</v>
      </c>
      <c r="M184">
        <v>1618.7507363447128</v>
      </c>
      <c r="N184">
        <v>79.549399790884692</v>
      </c>
      <c r="O184">
        <v>128</v>
      </c>
      <c r="P184">
        <v>41.7</v>
      </c>
      <c r="Q184">
        <v>100</v>
      </c>
      <c r="R184">
        <v>3</v>
      </c>
      <c r="S184" t="s">
        <v>54</v>
      </c>
      <c r="T184" t="s">
        <v>54</v>
      </c>
      <c r="X184" s="208" t="e">
        <f t="shared" si="10"/>
        <v>#VALUE!</v>
      </c>
      <c r="Y184" s="208" t="e">
        <f t="shared" si="11"/>
        <v>#VALUE!</v>
      </c>
      <c r="AA184" s="347" t="e">
        <f>(Y185/$AK$15)*100</f>
        <v>#VALUE!</v>
      </c>
    </row>
    <row r="185" spans="1:27" ht="15.5">
      <c r="A185" s="148">
        <v>45371</v>
      </c>
      <c r="B185">
        <v>18</v>
      </c>
      <c r="C185" t="s">
        <v>169</v>
      </c>
      <c r="D185">
        <v>2390.1</v>
      </c>
      <c r="H185">
        <v>217.03280000000001</v>
      </c>
      <c r="I185">
        <v>0.30125000000000002</v>
      </c>
      <c r="J185">
        <v>216.73155</v>
      </c>
      <c r="K185">
        <v>1831.1953338215878</v>
      </c>
      <c r="L185" s="277">
        <v>76.615845940403659</v>
      </c>
      <c r="M185">
        <v>1806.216556161532</v>
      </c>
      <c r="N185">
        <v>75.570752527573418</v>
      </c>
      <c r="O185">
        <v>128</v>
      </c>
      <c r="P185">
        <v>41.7</v>
      </c>
      <c r="Q185">
        <v>100</v>
      </c>
      <c r="R185">
        <v>3</v>
      </c>
      <c r="S185" t="s">
        <v>54</v>
      </c>
      <c r="T185" t="s">
        <v>54</v>
      </c>
      <c r="X185" s="44"/>
      <c r="Y185" s="347" t="e">
        <f>SQRT(SUM(Y179:Y184)/(6-2))</f>
        <v>#VALUE!</v>
      </c>
      <c r="Z185" s="52" t="s">
        <v>60</v>
      </c>
      <c r="AA185" s="44"/>
    </row>
    <row r="186" spans="1:27" ht="15.5">
      <c r="A186" s="148">
        <v>45371</v>
      </c>
      <c r="B186">
        <v>19</v>
      </c>
      <c r="C186" t="s">
        <v>74</v>
      </c>
      <c r="H186">
        <v>0.3221</v>
      </c>
      <c r="I186">
        <v>0.30125000000000002</v>
      </c>
      <c r="J186">
        <v>2.084999999999998E-2</v>
      </c>
      <c r="K186">
        <v>-1.9630667062035789</v>
      </c>
      <c r="O186">
        <v>128</v>
      </c>
      <c r="P186">
        <v>41.7</v>
      </c>
      <c r="Q186">
        <v>100</v>
      </c>
      <c r="R186">
        <v>3</v>
      </c>
      <c r="S186" t="s">
        <v>54</v>
      </c>
      <c r="T186" t="s">
        <v>54</v>
      </c>
      <c r="Y186" s="347" t="e">
        <f>(Y185/12.01)*100.09</f>
        <v>#VALUE!</v>
      </c>
      <c r="Z186" s="52" t="s">
        <v>62</v>
      </c>
    </row>
    <row r="187" spans="1:27">
      <c r="A187" s="148">
        <v>45371</v>
      </c>
      <c r="B187">
        <v>20</v>
      </c>
      <c r="C187" t="s">
        <v>170</v>
      </c>
      <c r="D187">
        <v>2313.8000000000002</v>
      </c>
      <c r="G187" t="s">
        <v>171</v>
      </c>
      <c r="H187">
        <v>209.41929999999999</v>
      </c>
      <c r="I187">
        <v>0.30125000000000002</v>
      </c>
      <c r="J187">
        <v>209.11804999999998</v>
      </c>
      <c r="K187">
        <v>1766.7926463566018</v>
      </c>
      <c r="L187" s="277">
        <v>76.358918072288091</v>
      </c>
      <c r="M187">
        <v>1742.7664966278103</v>
      </c>
      <c r="N187">
        <v>75.320533176065794</v>
      </c>
      <c r="O187">
        <v>128</v>
      </c>
      <c r="P187">
        <v>41.7</v>
      </c>
      <c r="Q187">
        <v>100</v>
      </c>
      <c r="R187">
        <v>3</v>
      </c>
      <c r="S187" t="s">
        <v>54</v>
      </c>
      <c r="T187" t="s">
        <v>54</v>
      </c>
    </row>
    <row r="188" spans="1:27">
      <c r="A188" s="148">
        <v>45371</v>
      </c>
      <c r="B188">
        <v>21</v>
      </c>
      <c r="C188" t="s">
        <v>172</v>
      </c>
      <c r="D188">
        <v>2662</v>
      </c>
      <c r="H188">
        <v>241.66370000000001</v>
      </c>
      <c r="I188">
        <v>0.30125000000000002</v>
      </c>
      <c r="J188">
        <v>241.36245</v>
      </c>
      <c r="K188">
        <v>2039.5484112079835</v>
      </c>
      <c r="L188" s="277">
        <v>76.617145424792767</v>
      </c>
      <c r="M188">
        <v>2011.4877286011656</v>
      </c>
      <c r="N188">
        <v>75.563025116497585</v>
      </c>
      <c r="O188">
        <v>128</v>
      </c>
      <c r="P188">
        <v>41.7</v>
      </c>
      <c r="Q188">
        <v>100</v>
      </c>
      <c r="R188">
        <v>3</v>
      </c>
      <c r="S188" t="s">
        <v>54</v>
      </c>
      <c r="T188" t="s">
        <v>54</v>
      </c>
    </row>
    <row r="189" spans="1:27">
      <c r="A189" s="148">
        <v>45371</v>
      </c>
      <c r="B189">
        <v>22</v>
      </c>
      <c r="C189" t="s">
        <v>173</v>
      </c>
      <c r="D189">
        <v>2320.6999999999998</v>
      </c>
      <c r="H189">
        <v>146.04929999999999</v>
      </c>
      <c r="I189">
        <v>0.30125000000000002</v>
      </c>
      <c r="J189">
        <v>145.74804999999998</v>
      </c>
      <c r="K189">
        <v>1230.7450592210973</v>
      </c>
      <c r="L189" s="277">
        <v>53.033354557723854</v>
      </c>
      <c r="M189">
        <v>1214.6479870524561</v>
      </c>
      <c r="N189">
        <v>52.33972452503366</v>
      </c>
      <c r="O189">
        <v>128</v>
      </c>
      <c r="P189">
        <v>41.7</v>
      </c>
      <c r="Q189">
        <v>100</v>
      </c>
      <c r="R189">
        <v>3</v>
      </c>
      <c r="S189" t="s">
        <v>54</v>
      </c>
      <c r="T189" t="s">
        <v>54</v>
      </c>
    </row>
    <row r="190" spans="1:27">
      <c r="A190" s="148">
        <v>45371</v>
      </c>
      <c r="B190">
        <v>23</v>
      </c>
      <c r="C190" t="s">
        <v>82</v>
      </c>
      <c r="G190" s="521"/>
      <c r="H190">
        <v>0.1822</v>
      </c>
      <c r="I190">
        <v>0.30125000000000002</v>
      </c>
      <c r="J190">
        <v>-0.11905000000000002</v>
      </c>
      <c r="K190">
        <v>-3.1464824777083455</v>
      </c>
      <c r="O190">
        <v>128</v>
      </c>
      <c r="P190">
        <v>41.7</v>
      </c>
      <c r="Q190">
        <v>100</v>
      </c>
      <c r="R190">
        <v>3</v>
      </c>
      <c r="S190" t="s">
        <v>54</v>
      </c>
      <c r="T190" t="s">
        <v>54</v>
      </c>
    </row>
    <row r="191" spans="1:27">
      <c r="A191" s="148">
        <v>45371</v>
      </c>
      <c r="B191">
        <v>24</v>
      </c>
      <c r="C191" t="s">
        <v>174</v>
      </c>
      <c r="D191">
        <v>2099.6999999999998</v>
      </c>
      <c r="G191" s="521">
        <v>2099.28006</v>
      </c>
      <c r="H191">
        <v>247.93170000000001</v>
      </c>
      <c r="I191">
        <v>0.30125000000000002</v>
      </c>
      <c r="J191">
        <v>247.63045</v>
      </c>
      <c r="K191">
        <v>2092.5694980971321</v>
      </c>
      <c r="L191" s="277">
        <v>99.680339844562326</v>
      </c>
      <c r="M191">
        <v>2063.7245412572856</v>
      </c>
      <c r="N191">
        <v>98.306299410917362</v>
      </c>
      <c r="O191">
        <v>128</v>
      </c>
      <c r="P191">
        <v>41.7</v>
      </c>
      <c r="Q191">
        <v>100</v>
      </c>
      <c r="R191">
        <v>3</v>
      </c>
      <c r="S191" t="s">
        <v>54</v>
      </c>
      <c r="T191" t="s">
        <v>54</v>
      </c>
    </row>
    <row r="192" spans="1:27">
      <c r="A192" s="148">
        <v>45371</v>
      </c>
      <c r="B192">
        <v>25</v>
      </c>
      <c r="C192" t="s">
        <v>84</v>
      </c>
      <c r="G192" s="521"/>
      <c r="H192">
        <v>0.28849999999999998</v>
      </c>
      <c r="I192">
        <v>0.30125000000000002</v>
      </c>
      <c r="J192">
        <v>-1.2750000000000039E-2</v>
      </c>
      <c r="K192">
        <v>-2.2472895076514718</v>
      </c>
      <c r="O192">
        <v>128</v>
      </c>
      <c r="P192">
        <v>41.7</v>
      </c>
      <c r="Q192">
        <v>100</v>
      </c>
      <c r="R192">
        <v>3</v>
      </c>
      <c r="S192" t="s">
        <v>54</v>
      </c>
      <c r="T192" t="s">
        <v>54</v>
      </c>
    </row>
    <row r="193" spans="1:27">
      <c r="G193" s="521"/>
      <c r="H193"/>
    </row>
    <row r="194" spans="1:27">
      <c r="A194" s="148" t="s">
        <v>175</v>
      </c>
      <c r="G194" s="521"/>
      <c r="H194"/>
    </row>
    <row r="195" spans="1:27">
      <c r="A195" s="148" t="s">
        <v>38</v>
      </c>
      <c r="G195" s="521"/>
      <c r="H195"/>
    </row>
    <row r="196" spans="1:27">
      <c r="A196" s="148" t="s">
        <v>176</v>
      </c>
      <c r="G196" s="521"/>
      <c r="H196"/>
    </row>
    <row r="197" spans="1:27">
      <c r="A197" s="148">
        <v>45373</v>
      </c>
      <c r="B197">
        <v>1</v>
      </c>
      <c r="C197" t="s">
        <v>45</v>
      </c>
      <c r="G197" s="521"/>
      <c r="H197">
        <v>0.13619999999999999</v>
      </c>
    </row>
    <row r="198" spans="1:27">
      <c r="A198" s="148">
        <v>45373</v>
      </c>
      <c r="B198">
        <v>2</v>
      </c>
      <c r="C198" t="s">
        <v>49</v>
      </c>
      <c r="G198" s="521"/>
      <c r="H198">
        <v>0.32590000000000002</v>
      </c>
    </row>
    <row r="199" spans="1:27">
      <c r="A199" s="148">
        <v>45373</v>
      </c>
      <c r="B199">
        <v>3</v>
      </c>
      <c r="C199" t="s">
        <v>51</v>
      </c>
      <c r="G199" s="521">
        <v>0</v>
      </c>
      <c r="H199">
        <v>0.36149999999999999</v>
      </c>
      <c r="I199">
        <v>0.37580999999999998</v>
      </c>
      <c r="J199">
        <v>0.37580999999999998</v>
      </c>
    </row>
    <row r="200" spans="1:27">
      <c r="A200" s="148">
        <v>45373</v>
      </c>
      <c r="B200">
        <v>4</v>
      </c>
      <c r="C200" t="s">
        <v>177</v>
      </c>
      <c r="D200">
        <v>330.5</v>
      </c>
      <c r="G200" s="521">
        <v>330.43389999999999</v>
      </c>
      <c r="H200">
        <v>38.093000000000004</v>
      </c>
      <c r="I200">
        <v>0.37580999999999998</v>
      </c>
      <c r="J200">
        <v>37.717190000000002</v>
      </c>
      <c r="K200">
        <v>341.32545592730634</v>
      </c>
      <c r="L200" s="277">
        <v>103.29613757163123</v>
      </c>
      <c r="M200">
        <v>314.33085321398835</v>
      </c>
      <c r="N200">
        <v>95.126696508435828</v>
      </c>
      <c r="O200">
        <v>128</v>
      </c>
      <c r="P200">
        <v>41.7</v>
      </c>
      <c r="Q200">
        <v>100</v>
      </c>
      <c r="R200">
        <v>3</v>
      </c>
      <c r="S200" t="s">
        <v>54</v>
      </c>
      <c r="T200" t="s">
        <v>54</v>
      </c>
    </row>
    <row r="201" spans="1:27">
      <c r="A201" s="148">
        <v>45373</v>
      </c>
      <c r="B201">
        <v>5</v>
      </c>
      <c r="C201" t="s">
        <v>178</v>
      </c>
      <c r="D201">
        <v>1081.9000000000001</v>
      </c>
      <c r="G201" s="521">
        <v>1081.68362</v>
      </c>
      <c r="H201">
        <v>119.3814</v>
      </c>
      <c r="I201">
        <v>0.37580999999999998</v>
      </c>
      <c r="J201">
        <v>119.00559</v>
      </c>
      <c r="K201">
        <v>1031.7724396800663</v>
      </c>
      <c r="L201" s="277">
        <v>95.385787544796713</v>
      </c>
      <c r="M201">
        <v>991.77930916736057</v>
      </c>
      <c r="N201">
        <v>91.688483659146158</v>
      </c>
      <c r="O201">
        <v>128</v>
      </c>
      <c r="P201">
        <v>41.7</v>
      </c>
      <c r="Q201">
        <v>100</v>
      </c>
      <c r="R201">
        <v>3</v>
      </c>
      <c r="S201" t="s">
        <v>54</v>
      </c>
      <c r="T201" t="s">
        <v>54</v>
      </c>
    </row>
    <row r="202" spans="1:27">
      <c r="A202" s="148">
        <v>45373</v>
      </c>
      <c r="B202">
        <v>6</v>
      </c>
      <c r="C202" t="s">
        <v>179</v>
      </c>
      <c r="D202">
        <v>2076.1999999999998</v>
      </c>
      <c r="G202" s="521">
        <v>2075.78476</v>
      </c>
      <c r="H202">
        <v>242.12790000000001</v>
      </c>
      <c r="I202">
        <v>0.37580999999999998</v>
      </c>
      <c r="J202">
        <v>241.75209000000001</v>
      </c>
      <c r="K202">
        <v>2074.3560148421825</v>
      </c>
      <c r="L202" s="277">
        <v>99.931170842692879</v>
      </c>
      <c r="M202">
        <v>2014.7349448875939</v>
      </c>
      <c r="N202">
        <v>97.058952532611997</v>
      </c>
      <c r="O202">
        <v>128</v>
      </c>
      <c r="P202">
        <v>41.7</v>
      </c>
      <c r="Q202">
        <v>100</v>
      </c>
      <c r="R202">
        <v>3</v>
      </c>
      <c r="S202" t="s">
        <v>54</v>
      </c>
      <c r="T202" t="s">
        <v>54</v>
      </c>
    </row>
    <row r="203" spans="1:27">
      <c r="A203" s="148">
        <v>45373</v>
      </c>
      <c r="B203">
        <v>7</v>
      </c>
      <c r="C203" t="s">
        <v>180</v>
      </c>
      <c r="D203">
        <v>2957.7</v>
      </c>
      <c r="G203" s="521">
        <v>2957.1084599999999</v>
      </c>
      <c r="H203">
        <v>347.15899999999999</v>
      </c>
      <c r="I203">
        <v>0.37580999999999998</v>
      </c>
      <c r="J203">
        <v>346.78318999999999</v>
      </c>
      <c r="K203">
        <v>2966.4686187959383</v>
      </c>
      <c r="L203" s="277">
        <v>100.31653079089085</v>
      </c>
      <c r="M203">
        <v>2890.0524135803498</v>
      </c>
      <c r="N203">
        <v>97.732377850636908</v>
      </c>
      <c r="O203">
        <v>128</v>
      </c>
      <c r="P203">
        <v>41.7</v>
      </c>
      <c r="Q203">
        <v>100</v>
      </c>
      <c r="R203">
        <v>3</v>
      </c>
      <c r="S203" t="s">
        <v>54</v>
      </c>
      <c r="T203" t="s">
        <v>54</v>
      </c>
    </row>
    <row r="204" spans="1:27">
      <c r="A204" s="148">
        <v>45373</v>
      </c>
      <c r="B204">
        <v>8</v>
      </c>
      <c r="C204" t="s">
        <v>181</v>
      </c>
      <c r="D204">
        <v>3704.3</v>
      </c>
      <c r="G204" s="521">
        <v>3703.5591400000003</v>
      </c>
      <c r="H204">
        <v>434.75510000000003</v>
      </c>
      <c r="I204">
        <v>0.37580999999999998</v>
      </c>
      <c r="J204">
        <v>434.37929000000003</v>
      </c>
      <c r="K204">
        <v>3710.491911584395</v>
      </c>
      <c r="L204" s="277">
        <v>100.18719213929967</v>
      </c>
      <c r="M204">
        <v>3620.0685375603666</v>
      </c>
      <c r="N204">
        <v>97.745665742504286</v>
      </c>
      <c r="O204">
        <v>128</v>
      </c>
      <c r="P204">
        <v>41.7</v>
      </c>
      <c r="Q204">
        <v>100</v>
      </c>
      <c r="R204">
        <v>3</v>
      </c>
      <c r="S204" t="s">
        <v>54</v>
      </c>
      <c r="T204" t="s">
        <v>54</v>
      </c>
    </row>
    <row r="205" spans="1:27">
      <c r="A205" s="148">
        <v>45373</v>
      </c>
      <c r="B205">
        <v>9</v>
      </c>
      <c r="C205" t="s">
        <v>61</v>
      </c>
      <c r="G205" s="521"/>
      <c r="H205">
        <v>0.63360000000000005</v>
      </c>
      <c r="I205">
        <v>0.37580999999999998</v>
      </c>
      <c r="J205">
        <v>0.25779000000000007</v>
      </c>
      <c r="K205">
        <v>23.15300151575266</v>
      </c>
      <c r="O205">
        <v>128</v>
      </c>
      <c r="P205">
        <v>41.7</v>
      </c>
      <c r="Q205">
        <v>100</v>
      </c>
      <c r="R205">
        <v>3</v>
      </c>
      <c r="S205" t="s">
        <v>54</v>
      </c>
      <c r="T205" t="s">
        <v>54</v>
      </c>
    </row>
    <row r="206" spans="1:27">
      <c r="A206" s="148">
        <v>45373</v>
      </c>
      <c r="B206">
        <v>10</v>
      </c>
      <c r="C206" t="s">
        <v>63</v>
      </c>
      <c r="G206" s="521"/>
      <c r="H206">
        <v>0.4098</v>
      </c>
      <c r="I206">
        <v>0.37580999999999998</v>
      </c>
      <c r="J206">
        <v>3.399000000000002E-2</v>
      </c>
      <c r="K206">
        <v>21.252090254565733</v>
      </c>
      <c r="O206">
        <v>128</v>
      </c>
      <c r="P206">
        <v>41.7</v>
      </c>
      <c r="Q206">
        <v>100</v>
      </c>
      <c r="R206">
        <v>3</v>
      </c>
      <c r="S206" t="s">
        <v>54</v>
      </c>
      <c r="T206" t="s">
        <v>54</v>
      </c>
      <c r="X206" s="348">
        <f>A207</f>
        <v>45373</v>
      </c>
      <c r="Y206" s="44"/>
      <c r="Z206" s="44"/>
      <c r="AA206" s="44"/>
    </row>
    <row r="207" spans="1:27">
      <c r="A207" s="148">
        <v>45373</v>
      </c>
      <c r="B207">
        <v>11</v>
      </c>
      <c r="C207" t="s">
        <v>64</v>
      </c>
      <c r="D207">
        <v>956.7</v>
      </c>
      <c r="G207" s="521"/>
      <c r="H207">
        <v>14.074400000000001</v>
      </c>
      <c r="I207">
        <v>0.37580999999999998</v>
      </c>
      <c r="J207">
        <v>13.698590000000001</v>
      </c>
      <c r="K207">
        <v>137.31639775954758</v>
      </c>
      <c r="L207" s="277">
        <v>14.353130318756932</v>
      </c>
      <c r="M207">
        <v>114.16252065778519</v>
      </c>
      <c r="N207">
        <v>11.932948746502058</v>
      </c>
      <c r="O207">
        <v>128</v>
      </c>
      <c r="P207">
        <v>41.7</v>
      </c>
      <c r="Q207">
        <v>100</v>
      </c>
      <c r="R207">
        <v>3</v>
      </c>
      <c r="S207" t="s">
        <v>54</v>
      </c>
      <c r="T207" t="s">
        <v>54</v>
      </c>
      <c r="X207" s="208" t="e">
        <f>((J204-INDEX(LINEST($H$204:$H$209,$G$204:$G$209),2))/INDEX(LINEST($H$204:$H$209,$G$204:$G$209),1)/100.09)*12.01</f>
        <v>#VALUE!</v>
      </c>
      <c r="Y207" s="208" t="e">
        <f>(J204-X207)^2</f>
        <v>#VALUE!</v>
      </c>
      <c r="Z207" s="44"/>
      <c r="AA207" s="44"/>
    </row>
    <row r="208" spans="1:27">
      <c r="A208" s="148">
        <v>45373</v>
      </c>
      <c r="B208">
        <v>12</v>
      </c>
      <c r="C208" t="s">
        <v>64</v>
      </c>
      <c r="D208">
        <v>1931.9</v>
      </c>
      <c r="G208" s="521"/>
      <c r="H208">
        <v>27.179099999999998</v>
      </c>
      <c r="I208">
        <v>0.37580999999999998</v>
      </c>
      <c r="J208">
        <v>26.803289999999997</v>
      </c>
      <c r="K208">
        <v>248.62502959366893</v>
      </c>
      <c r="L208" s="277">
        <v>12.869456472574612</v>
      </c>
      <c r="M208">
        <v>223.37562831806829</v>
      </c>
      <c r="N208">
        <v>11.562483995966058</v>
      </c>
      <c r="O208">
        <v>128</v>
      </c>
      <c r="P208">
        <v>41.7</v>
      </c>
      <c r="Q208">
        <v>100</v>
      </c>
      <c r="R208">
        <v>3</v>
      </c>
      <c r="S208" t="s">
        <v>54</v>
      </c>
      <c r="T208" t="s">
        <v>54</v>
      </c>
      <c r="X208" s="208" t="e">
        <f t="shared" ref="X208:X212" si="12">((J205-INDEX(LINEST($H$204:$H$209,$G$204:$G$209),2))/INDEX(LINEST($H$204:$H$209,$G$204:$G$209),1)/100.09)*12.01</f>
        <v>#VALUE!</v>
      </c>
      <c r="Y208" s="208" t="e">
        <f t="shared" ref="Y208:Y212" si="13">(J205-X208)^2</f>
        <v>#VALUE!</v>
      </c>
      <c r="Z208" s="44"/>
      <c r="AA208" s="44"/>
    </row>
    <row r="209" spans="1:27">
      <c r="A209" s="148">
        <v>45373</v>
      </c>
      <c r="B209">
        <v>13</v>
      </c>
      <c r="C209" t="s">
        <v>65</v>
      </c>
      <c r="G209" s="521"/>
      <c r="H209">
        <v>0.26819999999999999</v>
      </c>
      <c r="I209">
        <v>0.37580999999999998</v>
      </c>
      <c r="J209">
        <v>-0.10760999999999998</v>
      </c>
      <c r="K209">
        <v>20.049368920409922</v>
      </c>
      <c r="O209">
        <v>128</v>
      </c>
      <c r="P209">
        <v>41.7</v>
      </c>
      <c r="Q209">
        <v>100</v>
      </c>
      <c r="R209">
        <v>3</v>
      </c>
      <c r="S209" t="s">
        <v>54</v>
      </c>
      <c r="T209" t="s">
        <v>54</v>
      </c>
      <c r="X209" s="208" t="e">
        <f t="shared" si="12"/>
        <v>#VALUE!</v>
      </c>
      <c r="Y209" s="208" t="e">
        <f t="shared" si="13"/>
        <v>#VALUE!</v>
      </c>
      <c r="Z209" s="44"/>
      <c r="AA209" s="44"/>
    </row>
    <row r="210" spans="1:27">
      <c r="A210" s="148">
        <v>45373</v>
      </c>
      <c r="B210">
        <v>14</v>
      </c>
      <c r="C210" t="s">
        <v>66</v>
      </c>
      <c r="G210" s="521"/>
      <c r="H210">
        <v>0.27829999999999999</v>
      </c>
      <c r="I210">
        <v>0.37580999999999998</v>
      </c>
      <c r="J210">
        <v>-9.7509999999999986E-2</v>
      </c>
      <c r="K210">
        <v>20.135156247210588</v>
      </c>
      <c r="O210">
        <v>128</v>
      </c>
      <c r="P210">
        <v>41.7</v>
      </c>
      <c r="Q210">
        <v>100</v>
      </c>
      <c r="R210">
        <v>3</v>
      </c>
      <c r="S210" t="s">
        <v>54</v>
      </c>
      <c r="T210" t="s">
        <v>54</v>
      </c>
      <c r="X210" s="208" t="e">
        <f t="shared" si="12"/>
        <v>#VALUE!</v>
      </c>
      <c r="Y210" s="208" t="e">
        <f t="shared" si="13"/>
        <v>#VALUE!</v>
      </c>
      <c r="Z210" s="44"/>
      <c r="AA210" s="44"/>
    </row>
    <row r="211" spans="1:27" ht="15.5">
      <c r="A211" s="148">
        <v>45373</v>
      </c>
      <c r="B211">
        <v>15</v>
      </c>
      <c r="C211" t="s">
        <v>182</v>
      </c>
      <c r="D211">
        <v>2224.4</v>
      </c>
      <c r="E211" t="s">
        <v>68</v>
      </c>
      <c r="G211" s="521"/>
      <c r="H211">
        <v>182.39670000000001</v>
      </c>
      <c r="I211">
        <v>0.37580999999999998</v>
      </c>
      <c r="J211">
        <v>182.02089000000001</v>
      </c>
      <c r="K211">
        <v>1567.0114629020179</v>
      </c>
      <c r="L211" s="277">
        <v>70.446478281874576</v>
      </c>
      <c r="M211">
        <v>1516.9417885179018</v>
      </c>
      <c r="N211">
        <v>68.195548845437045</v>
      </c>
      <c r="O211">
        <v>128</v>
      </c>
      <c r="P211">
        <v>41.7</v>
      </c>
      <c r="Q211">
        <v>100</v>
      </c>
      <c r="R211">
        <v>3</v>
      </c>
      <c r="S211" t="s">
        <v>54</v>
      </c>
      <c r="T211" t="s">
        <v>54</v>
      </c>
      <c r="X211" s="208" t="e">
        <f t="shared" si="12"/>
        <v>#VALUE!</v>
      </c>
      <c r="Y211" s="208" t="e">
        <f t="shared" si="13"/>
        <v>#VALUE!</v>
      </c>
      <c r="Z211" s="44"/>
      <c r="AA211" s="52" t="s">
        <v>42</v>
      </c>
    </row>
    <row r="212" spans="1:27" ht="15.5">
      <c r="A212" s="148">
        <v>45373</v>
      </c>
      <c r="B212">
        <v>16</v>
      </c>
      <c r="C212" t="s">
        <v>183</v>
      </c>
      <c r="D212">
        <v>2174.1</v>
      </c>
      <c r="G212" s="521"/>
      <c r="H212">
        <v>179.60849999999999</v>
      </c>
      <c r="I212">
        <v>0.37580999999999998</v>
      </c>
      <c r="J212">
        <v>179.23268999999999</v>
      </c>
      <c r="K212">
        <v>1543.3290644281958</v>
      </c>
      <c r="L212" s="277">
        <v>70.987032078938213</v>
      </c>
      <c r="M212">
        <v>1493.7052408076604</v>
      </c>
      <c r="N212">
        <v>68.704532487358478</v>
      </c>
      <c r="O212">
        <v>128</v>
      </c>
      <c r="P212">
        <v>41.7</v>
      </c>
      <c r="Q212">
        <v>100</v>
      </c>
      <c r="R212">
        <v>3</v>
      </c>
      <c r="S212" t="s">
        <v>54</v>
      </c>
      <c r="T212" t="s">
        <v>54</v>
      </c>
      <c r="X212" s="208" t="e">
        <f t="shared" si="12"/>
        <v>#VALUE!</v>
      </c>
      <c r="Y212" s="208" t="e">
        <f t="shared" si="13"/>
        <v>#VALUE!</v>
      </c>
      <c r="AA212" s="347" t="e">
        <f>(Y213/$AK$15)*100</f>
        <v>#VALUE!</v>
      </c>
    </row>
    <row r="213" spans="1:27" ht="15.5">
      <c r="A213" s="148">
        <v>45373</v>
      </c>
      <c r="B213">
        <v>17</v>
      </c>
      <c r="C213" t="s">
        <v>184</v>
      </c>
      <c r="D213">
        <v>2266.6</v>
      </c>
      <c r="G213" s="521"/>
      <c r="H213">
        <v>170.67760000000001</v>
      </c>
      <c r="I213">
        <v>0.37580999999999998</v>
      </c>
      <c r="J213">
        <v>170.30179000000001</v>
      </c>
      <c r="K213">
        <v>1467.4718330495793</v>
      </c>
      <c r="L213" s="277">
        <v>64.74330861420539</v>
      </c>
      <c r="M213">
        <v>1419.276116661116</v>
      </c>
      <c r="N213">
        <v>62.616964469298331</v>
      </c>
      <c r="O213">
        <v>128</v>
      </c>
      <c r="P213">
        <v>41.7</v>
      </c>
      <c r="Q213">
        <v>100</v>
      </c>
      <c r="R213">
        <v>3</v>
      </c>
      <c r="S213" t="s">
        <v>54</v>
      </c>
      <c r="T213" t="s">
        <v>54</v>
      </c>
      <c r="X213" s="44"/>
      <c r="Y213" s="347" t="e">
        <f>SQRT(SUM(Y207:Y212)/(6-2))</f>
        <v>#VALUE!</v>
      </c>
      <c r="Z213" s="52" t="s">
        <v>60</v>
      </c>
      <c r="AA213" s="44"/>
    </row>
    <row r="214" spans="1:27" ht="15.5">
      <c r="A214" s="148">
        <v>45373</v>
      </c>
      <c r="B214">
        <v>18</v>
      </c>
      <c r="C214" t="s">
        <v>74</v>
      </c>
      <c r="G214" s="521"/>
      <c r="H214">
        <v>0.51149999999999995</v>
      </c>
      <c r="I214">
        <v>0.37580999999999998</v>
      </c>
      <c r="J214">
        <v>0.13568999999999998</v>
      </c>
      <c r="K214">
        <v>22.115909178885261</v>
      </c>
      <c r="O214">
        <v>128</v>
      </c>
      <c r="P214">
        <v>41.7</v>
      </c>
      <c r="Q214">
        <v>100</v>
      </c>
      <c r="R214">
        <v>3</v>
      </c>
      <c r="S214" t="s">
        <v>54</v>
      </c>
      <c r="T214" t="s">
        <v>54</v>
      </c>
      <c r="Y214" s="347" t="e">
        <f>(Y213/12.01)*100.09</f>
        <v>#VALUE!</v>
      </c>
      <c r="Z214" s="52" t="s">
        <v>62</v>
      </c>
    </row>
    <row r="215" spans="1:27">
      <c r="A215" s="148">
        <v>45373</v>
      </c>
      <c r="B215">
        <v>19</v>
      </c>
      <c r="C215" t="s">
        <v>185</v>
      </c>
      <c r="D215">
        <v>2198.4</v>
      </c>
      <c r="G215" s="521"/>
      <c r="H215">
        <v>179.40309999999999</v>
      </c>
      <c r="I215">
        <v>0.37580999999999998</v>
      </c>
      <c r="J215">
        <v>179.02728999999999</v>
      </c>
      <c r="K215">
        <v>1541.5844389900913</v>
      </c>
      <c r="L215" s="277">
        <v>70.123018513013619</v>
      </c>
      <c r="M215">
        <v>1491.9934601248958</v>
      </c>
      <c r="N215">
        <v>67.867242545710326</v>
      </c>
      <c r="O215">
        <v>128</v>
      </c>
      <c r="P215">
        <v>41.7</v>
      </c>
      <c r="Q215">
        <v>100</v>
      </c>
      <c r="R215">
        <v>3</v>
      </c>
      <c r="S215" t="s">
        <v>54</v>
      </c>
      <c r="T215" t="s">
        <v>54</v>
      </c>
    </row>
    <row r="216" spans="1:27">
      <c r="A216" s="148">
        <v>45373</v>
      </c>
      <c r="B216">
        <v>20</v>
      </c>
      <c r="C216" t="s">
        <v>186</v>
      </c>
      <c r="D216">
        <v>2328</v>
      </c>
      <c r="G216" s="521"/>
      <c r="H216">
        <v>188.0163</v>
      </c>
      <c r="I216">
        <v>0.37580999999999998</v>
      </c>
      <c r="J216">
        <v>187.64049</v>
      </c>
      <c r="K216">
        <v>1614.7431917821166</v>
      </c>
      <c r="L216" s="277">
        <v>69.361820952840063</v>
      </c>
      <c r="M216">
        <v>1563.7749079184016</v>
      </c>
      <c r="N216">
        <v>67.172461680343716</v>
      </c>
      <c r="O216">
        <v>128</v>
      </c>
      <c r="P216">
        <v>41.7</v>
      </c>
      <c r="Q216">
        <v>100</v>
      </c>
      <c r="R216">
        <v>3</v>
      </c>
      <c r="S216" t="s">
        <v>54</v>
      </c>
      <c r="T216" t="s">
        <v>54</v>
      </c>
    </row>
    <row r="217" spans="1:27">
      <c r="A217" s="148">
        <v>45373</v>
      </c>
      <c r="B217">
        <v>21</v>
      </c>
      <c r="C217" t="s">
        <v>187</v>
      </c>
      <c r="D217">
        <v>2284.9</v>
      </c>
      <c r="G217" s="521"/>
      <c r="H217">
        <v>142.2473</v>
      </c>
      <c r="I217">
        <v>0.37580999999999998</v>
      </c>
      <c r="J217">
        <v>141.87148999999999</v>
      </c>
      <c r="K217">
        <v>1225.9907006593971</v>
      </c>
      <c r="L217" s="277">
        <v>53.656208178012044</v>
      </c>
      <c r="M217">
        <v>1182.3411685345545</v>
      </c>
      <c r="N217">
        <v>51.745860586220601</v>
      </c>
      <c r="O217">
        <v>128</v>
      </c>
      <c r="P217">
        <v>41.7</v>
      </c>
      <c r="Q217">
        <v>100</v>
      </c>
      <c r="R217">
        <v>3</v>
      </c>
      <c r="S217" t="s">
        <v>54</v>
      </c>
      <c r="T217" t="s">
        <v>54</v>
      </c>
    </row>
    <row r="218" spans="1:27">
      <c r="A218" s="148">
        <v>45373</v>
      </c>
      <c r="B218">
        <v>22</v>
      </c>
      <c r="C218" t="s">
        <v>188</v>
      </c>
      <c r="G218" s="521"/>
      <c r="H218">
        <v>0.4708</v>
      </c>
      <c r="I218">
        <v>0.37580999999999998</v>
      </c>
      <c r="J218">
        <v>9.4990000000000019E-2</v>
      </c>
      <c r="K218">
        <v>21.770211733262794</v>
      </c>
    </row>
    <row r="219" spans="1:27">
      <c r="A219" s="148">
        <v>45373</v>
      </c>
      <c r="B219">
        <v>23</v>
      </c>
      <c r="C219" t="s">
        <v>189</v>
      </c>
      <c r="D219">
        <v>2130.5</v>
      </c>
      <c r="G219" s="521">
        <v>2130.0738999999999</v>
      </c>
      <c r="H219">
        <v>251.73779999999999</v>
      </c>
      <c r="I219">
        <v>0.37580999999999998</v>
      </c>
      <c r="J219">
        <v>251.36198999999999</v>
      </c>
      <c r="K219">
        <v>2155.9805328443281</v>
      </c>
      <c r="L219" s="277">
        <v>101.21623164549965</v>
      </c>
      <c r="M219">
        <v>2094.8227792756038</v>
      </c>
      <c r="N219">
        <v>98.345075223709557</v>
      </c>
      <c r="O219">
        <v>128</v>
      </c>
      <c r="P219">
        <v>41.7</v>
      </c>
      <c r="Q219">
        <v>100</v>
      </c>
      <c r="R219">
        <v>3</v>
      </c>
      <c r="S219" t="s">
        <v>54</v>
      </c>
      <c r="T219" t="s">
        <v>54</v>
      </c>
    </row>
    <row r="220" spans="1:27">
      <c r="A220" s="148">
        <v>45373</v>
      </c>
      <c r="B220">
        <v>24</v>
      </c>
      <c r="C220" t="s">
        <v>84</v>
      </c>
      <c r="G220" s="521"/>
      <c r="H220">
        <v>0.36230000000000001</v>
      </c>
      <c r="I220">
        <v>0.37580999999999998</v>
      </c>
      <c r="J220">
        <v>-1.3509999999999966E-2</v>
      </c>
      <c r="K220">
        <v>20.848635004760638</v>
      </c>
      <c r="O220">
        <v>128</v>
      </c>
      <c r="P220">
        <v>41.7</v>
      </c>
      <c r="Q220">
        <v>100</v>
      </c>
      <c r="R220">
        <v>3</v>
      </c>
      <c r="S220" t="s">
        <v>54</v>
      </c>
      <c r="T220" t="s">
        <v>54</v>
      </c>
    </row>
    <row r="221" spans="1:27">
      <c r="G221" s="521"/>
      <c r="H221"/>
    </row>
    <row r="222" spans="1:27">
      <c r="A222" s="148" t="s">
        <v>190</v>
      </c>
      <c r="G222" s="521"/>
      <c r="H222"/>
    </row>
    <row r="223" spans="1:27">
      <c r="A223" s="148" t="s">
        <v>38</v>
      </c>
      <c r="G223" s="521"/>
      <c r="H223"/>
    </row>
    <row r="224" spans="1:27">
      <c r="A224" s="148" t="s">
        <v>191</v>
      </c>
      <c r="H224" s="521"/>
    </row>
    <row r="225" spans="1:27">
      <c r="A225" s="148">
        <v>45401</v>
      </c>
      <c r="B225">
        <v>1</v>
      </c>
      <c r="C225" t="s">
        <v>45</v>
      </c>
      <c r="H225" s="521">
        <v>0.2717</v>
      </c>
    </row>
    <row r="226" spans="1:27">
      <c r="A226" s="148">
        <v>45401</v>
      </c>
      <c r="B226">
        <v>2</v>
      </c>
      <c r="C226" t="s">
        <v>49</v>
      </c>
      <c r="H226" s="521">
        <v>0.40799999999999997</v>
      </c>
    </row>
    <row r="227" spans="1:27">
      <c r="A227" s="148">
        <v>45401</v>
      </c>
      <c r="B227">
        <v>3</v>
      </c>
      <c r="C227" t="s">
        <v>51</v>
      </c>
      <c r="G227">
        <v>0</v>
      </c>
      <c r="H227" s="521">
        <v>0.50360000000000005</v>
      </c>
      <c r="I227">
        <v>0.30952499999999999</v>
      </c>
      <c r="J227">
        <v>0.30952499999999999</v>
      </c>
    </row>
    <row r="228" spans="1:27">
      <c r="A228" s="148">
        <v>45401</v>
      </c>
      <c r="B228">
        <v>4</v>
      </c>
      <c r="C228" t="s">
        <v>192</v>
      </c>
      <c r="D228">
        <v>248.6</v>
      </c>
      <c r="E228" t="s">
        <v>68</v>
      </c>
      <c r="G228">
        <v>248.55027999999999</v>
      </c>
      <c r="H228" s="521">
        <v>29.174900000000001</v>
      </c>
      <c r="I228">
        <v>0.30952499999999999</v>
      </c>
      <c r="J228">
        <v>28.865375</v>
      </c>
      <c r="K228">
        <v>241.79946875033787</v>
      </c>
      <c r="L228" s="277">
        <v>97.283925308930606</v>
      </c>
      <c r="M228">
        <v>240.56081463363864</v>
      </c>
      <c r="N228">
        <v>96.785573781545793</v>
      </c>
      <c r="O228">
        <v>128</v>
      </c>
      <c r="P228">
        <v>41.7</v>
      </c>
      <c r="Q228">
        <v>100</v>
      </c>
      <c r="R228">
        <v>3</v>
      </c>
      <c r="S228" t="s">
        <v>54</v>
      </c>
      <c r="T228" t="s">
        <v>54</v>
      </c>
    </row>
    <row r="229" spans="1:27">
      <c r="A229" s="148">
        <v>45401</v>
      </c>
      <c r="B229">
        <v>5</v>
      </c>
      <c r="C229" t="s">
        <v>193</v>
      </c>
      <c r="D229">
        <v>1188.4000000000001</v>
      </c>
      <c r="G229">
        <v>1188.1623200000001</v>
      </c>
      <c r="H229" s="521">
        <v>138.03460000000001</v>
      </c>
      <c r="I229">
        <v>0.30952499999999999</v>
      </c>
      <c r="J229">
        <v>137.725075</v>
      </c>
      <c r="K229">
        <v>1199.6908057534417</v>
      </c>
      <c r="L229" s="277">
        <v>100.97027868662268</v>
      </c>
      <c r="M229">
        <v>1147.7854085553706</v>
      </c>
      <c r="N229">
        <v>96.601734395631269</v>
      </c>
      <c r="O229">
        <v>128</v>
      </c>
      <c r="P229">
        <v>41.7</v>
      </c>
      <c r="Q229">
        <v>100</v>
      </c>
      <c r="R229">
        <v>3</v>
      </c>
      <c r="S229" t="s">
        <v>54</v>
      </c>
      <c r="T229" t="s">
        <v>54</v>
      </c>
    </row>
    <row r="230" spans="1:27">
      <c r="A230" s="148">
        <v>45401</v>
      </c>
      <c r="B230">
        <v>6</v>
      </c>
      <c r="C230" t="s">
        <v>194</v>
      </c>
      <c r="D230">
        <v>1952.3</v>
      </c>
      <c r="G230">
        <v>1951.9095400000001</v>
      </c>
      <c r="H230" s="521">
        <v>225.45349999999999</v>
      </c>
      <c r="I230">
        <v>0.30952499999999999</v>
      </c>
      <c r="J230">
        <v>225.14397499999998</v>
      </c>
      <c r="K230">
        <v>1968.9176821855892</v>
      </c>
      <c r="L230" s="277">
        <v>100.8713591402186</v>
      </c>
      <c r="M230">
        <v>1876.3247675062448</v>
      </c>
      <c r="N230">
        <v>96.127649824706765</v>
      </c>
      <c r="O230">
        <v>128</v>
      </c>
      <c r="P230">
        <v>41.7</v>
      </c>
      <c r="Q230">
        <v>100</v>
      </c>
      <c r="R230">
        <v>3</v>
      </c>
      <c r="S230" t="s">
        <v>54</v>
      </c>
      <c r="T230" t="s">
        <v>54</v>
      </c>
    </row>
    <row r="231" spans="1:27">
      <c r="A231" s="148">
        <v>45401</v>
      </c>
      <c r="B231">
        <v>7</v>
      </c>
      <c r="C231" t="s">
        <v>195</v>
      </c>
      <c r="D231">
        <v>2975.4</v>
      </c>
      <c r="G231">
        <v>2974.80492</v>
      </c>
      <c r="H231" s="521">
        <v>340.3442</v>
      </c>
      <c r="I231">
        <v>0.30952499999999999</v>
      </c>
      <c r="J231">
        <v>340.03467499999999</v>
      </c>
      <c r="K231">
        <v>2979.877718197286</v>
      </c>
      <c r="L231" s="277">
        <v>100.170525407</v>
      </c>
      <c r="M231">
        <v>2833.8110425270606</v>
      </c>
      <c r="N231">
        <v>95.260399210549252</v>
      </c>
      <c r="O231">
        <v>128</v>
      </c>
      <c r="P231">
        <v>41.7</v>
      </c>
      <c r="Q231">
        <v>100</v>
      </c>
      <c r="R231">
        <v>3</v>
      </c>
      <c r="S231" t="s">
        <v>54</v>
      </c>
      <c r="T231" t="s">
        <v>54</v>
      </c>
    </row>
    <row r="232" spans="1:27">
      <c r="A232" s="148">
        <v>45401</v>
      </c>
      <c r="B232">
        <v>8</v>
      </c>
      <c r="C232" t="s">
        <v>196</v>
      </c>
      <c r="D232">
        <v>3469.5</v>
      </c>
      <c r="G232">
        <v>3468.8061000000002</v>
      </c>
      <c r="H232" s="521">
        <v>393.93270000000001</v>
      </c>
      <c r="I232">
        <v>0.30952499999999999</v>
      </c>
      <c r="J232">
        <v>393.623175</v>
      </c>
      <c r="K232">
        <v>3451.4200788044791</v>
      </c>
      <c r="L232" s="277">
        <v>99.498789477004166</v>
      </c>
      <c r="M232">
        <v>3280.41162246045</v>
      </c>
      <c r="N232">
        <v>94.568895691818867</v>
      </c>
      <c r="O232">
        <v>128</v>
      </c>
      <c r="P232">
        <v>41.7</v>
      </c>
      <c r="Q232">
        <v>100</v>
      </c>
      <c r="R232">
        <v>3</v>
      </c>
      <c r="S232" t="s">
        <v>54</v>
      </c>
      <c r="T232" t="s">
        <v>54</v>
      </c>
    </row>
    <row r="233" spans="1:27">
      <c r="A233" s="148">
        <v>45401</v>
      </c>
      <c r="B233">
        <v>9</v>
      </c>
      <c r="C233" t="s">
        <v>61</v>
      </c>
      <c r="H233" s="521">
        <v>0.64070000000000005</v>
      </c>
      <c r="I233">
        <v>0.30952499999999999</v>
      </c>
      <c r="J233">
        <v>0.33117500000000005</v>
      </c>
      <c r="K233">
        <v>-9.2820884128177177</v>
      </c>
      <c r="O233">
        <v>128</v>
      </c>
      <c r="P233">
        <v>41.7</v>
      </c>
      <c r="Q233">
        <v>100</v>
      </c>
      <c r="R233">
        <v>3</v>
      </c>
      <c r="S233" t="s">
        <v>54</v>
      </c>
      <c r="T233" t="s">
        <v>54</v>
      </c>
    </row>
    <row r="234" spans="1:27">
      <c r="A234" s="148">
        <v>45401</v>
      </c>
      <c r="B234">
        <v>10</v>
      </c>
      <c r="C234" t="s">
        <v>63</v>
      </c>
      <c r="H234" s="521">
        <v>0.2802</v>
      </c>
      <c r="I234">
        <v>0.30952499999999999</v>
      </c>
      <c r="J234">
        <v>-2.932499999999999E-2</v>
      </c>
      <c r="K234">
        <v>-12.454243278113314</v>
      </c>
      <c r="O234">
        <v>128</v>
      </c>
      <c r="P234">
        <v>41.7</v>
      </c>
      <c r="Q234">
        <v>100</v>
      </c>
      <c r="R234">
        <v>3</v>
      </c>
      <c r="S234" t="s">
        <v>54</v>
      </c>
      <c r="T234" t="s">
        <v>54</v>
      </c>
    </row>
    <row r="235" spans="1:27">
      <c r="A235" s="148">
        <v>45401</v>
      </c>
      <c r="B235">
        <v>11</v>
      </c>
      <c r="C235" t="s">
        <v>64</v>
      </c>
      <c r="D235">
        <v>1036.9000000000001</v>
      </c>
      <c r="H235" s="521">
        <v>16.137899999999998</v>
      </c>
      <c r="I235">
        <v>0.30952499999999999</v>
      </c>
      <c r="J235">
        <v>15.828374999999998</v>
      </c>
      <c r="K235">
        <v>127.08273371882972</v>
      </c>
      <c r="L235" s="277">
        <v>12.256026012038742</v>
      </c>
      <c r="M235">
        <v>131.9119112198168</v>
      </c>
      <c r="N235">
        <v>12.721758242821563</v>
      </c>
      <c r="O235">
        <v>128</v>
      </c>
      <c r="P235">
        <v>41.7</v>
      </c>
      <c r="Q235">
        <v>100</v>
      </c>
      <c r="R235">
        <v>3</v>
      </c>
      <c r="S235" t="s">
        <v>54</v>
      </c>
      <c r="T235" t="s">
        <v>54</v>
      </c>
    </row>
    <row r="236" spans="1:27">
      <c r="A236" s="148">
        <v>45401</v>
      </c>
      <c r="B236">
        <v>12</v>
      </c>
      <c r="C236" t="s">
        <v>64</v>
      </c>
      <c r="D236">
        <v>2029.7</v>
      </c>
      <c r="H236" s="521">
        <v>28.533200000000001</v>
      </c>
      <c r="I236">
        <v>0.30952499999999999</v>
      </c>
      <c r="J236">
        <v>28.223675</v>
      </c>
      <c r="K236">
        <v>236.15294509691157</v>
      </c>
      <c r="L236" s="277">
        <v>11.634869443608</v>
      </c>
      <c r="M236">
        <v>235.2129584304746</v>
      </c>
      <c r="N236">
        <v>11.588557837634852</v>
      </c>
      <c r="O236">
        <v>128</v>
      </c>
      <c r="P236">
        <v>41.7</v>
      </c>
      <c r="Q236">
        <v>100</v>
      </c>
      <c r="R236">
        <v>3</v>
      </c>
      <c r="S236" t="s">
        <v>54</v>
      </c>
      <c r="T236" t="s">
        <v>54</v>
      </c>
    </row>
    <row r="237" spans="1:27">
      <c r="A237" s="148">
        <v>45401</v>
      </c>
      <c r="B237">
        <v>13</v>
      </c>
      <c r="C237" t="s">
        <v>65</v>
      </c>
      <c r="H237" s="521">
        <v>0</v>
      </c>
      <c r="I237">
        <v>0.30952499999999999</v>
      </c>
      <c r="J237">
        <v>-0.30952499999999999</v>
      </c>
      <c r="K237">
        <v>-14.919812746229336</v>
      </c>
      <c r="O237">
        <v>128</v>
      </c>
      <c r="P237">
        <v>41.7</v>
      </c>
      <c r="Q237">
        <v>100</v>
      </c>
      <c r="R237">
        <v>3</v>
      </c>
      <c r="S237" t="s">
        <v>54</v>
      </c>
      <c r="T237" t="s">
        <v>54</v>
      </c>
    </row>
    <row r="238" spans="1:27">
      <c r="A238" s="148">
        <v>45401</v>
      </c>
      <c r="B238">
        <v>14</v>
      </c>
      <c r="C238" t="s">
        <v>66</v>
      </c>
      <c r="H238" s="521">
        <v>0</v>
      </c>
      <c r="I238">
        <v>0.30952499999999999</v>
      </c>
      <c r="J238">
        <v>-0.30952499999999999</v>
      </c>
      <c r="K238">
        <v>-14.919812746229336</v>
      </c>
      <c r="O238">
        <v>128</v>
      </c>
      <c r="P238">
        <v>41.7</v>
      </c>
      <c r="Q238">
        <v>100</v>
      </c>
      <c r="R238">
        <v>3</v>
      </c>
      <c r="S238" t="s">
        <v>54</v>
      </c>
      <c r="T238" t="s">
        <v>54</v>
      </c>
    </row>
    <row r="239" spans="1:27">
      <c r="A239" s="148">
        <v>45401</v>
      </c>
      <c r="B239">
        <v>15</v>
      </c>
      <c r="C239" t="s">
        <v>197</v>
      </c>
      <c r="D239">
        <v>2063.6999999999998</v>
      </c>
      <c r="G239">
        <v>2063.2872600000001</v>
      </c>
      <c r="H239" s="521">
        <v>239.9196</v>
      </c>
      <c r="I239">
        <v>0.30952499999999999</v>
      </c>
      <c r="J239">
        <v>239.61007499999999</v>
      </c>
      <c r="K239">
        <v>2096.20952545009</v>
      </c>
      <c r="L239" s="277">
        <v>101.59562200030692</v>
      </c>
      <c r="M239">
        <v>1996.8836308701084</v>
      </c>
      <c r="N239">
        <v>96.781658549576278</v>
      </c>
      <c r="O239">
        <v>128</v>
      </c>
      <c r="P239">
        <v>41.7</v>
      </c>
      <c r="Q239">
        <v>100</v>
      </c>
      <c r="R239">
        <v>3</v>
      </c>
      <c r="S239" t="s">
        <v>54</v>
      </c>
      <c r="T239" t="s">
        <v>54</v>
      </c>
      <c r="X239" s="348">
        <f>A240</f>
        <v>45401</v>
      </c>
      <c r="Y239" s="44"/>
      <c r="Z239" s="44"/>
      <c r="AA239" s="44"/>
    </row>
    <row r="240" spans="1:27">
      <c r="A240" s="148">
        <v>45401</v>
      </c>
      <c r="B240">
        <v>16</v>
      </c>
      <c r="C240" t="s">
        <v>74</v>
      </c>
      <c r="H240" s="521">
        <v>0.372</v>
      </c>
      <c r="I240">
        <v>0.30952499999999999</v>
      </c>
      <c r="J240">
        <v>6.2475000000000003E-2</v>
      </c>
      <c r="K240">
        <v>-11.646465700764809</v>
      </c>
      <c r="O240">
        <v>128</v>
      </c>
      <c r="P240">
        <v>41.7</v>
      </c>
      <c r="Q240">
        <v>100</v>
      </c>
      <c r="R240">
        <v>3</v>
      </c>
      <c r="S240" t="s">
        <v>54</v>
      </c>
      <c r="T240" t="s">
        <v>54</v>
      </c>
      <c r="X240" s="208" t="e">
        <f t="shared" ref="X240:X245" si="14">((J233-INDEX(LINEST($H$233:$H$238,$G$233:$G$238),2))/INDEX(LINEST($H$233:$H$238,$G$233:$G$238),1)/100.09)*12.01</f>
        <v>#VALUE!</v>
      </c>
      <c r="Y240" s="208" t="e">
        <f>(J233-X240)^2</f>
        <v>#VALUE!</v>
      </c>
      <c r="Z240" s="44"/>
      <c r="AA240" s="44"/>
    </row>
    <row r="241" spans="1:27">
      <c r="H241" s="521"/>
      <c r="X241" s="208" t="e">
        <f t="shared" si="14"/>
        <v>#VALUE!</v>
      </c>
      <c r="Y241" s="208" t="e">
        <f t="shared" ref="Y241:Y245" si="15">(J234-X241)^2</f>
        <v>#VALUE!</v>
      </c>
      <c r="Z241" s="44"/>
      <c r="AA241" s="44"/>
    </row>
    <row r="242" spans="1:27">
      <c r="A242" s="148" t="s">
        <v>159</v>
      </c>
      <c r="H242" s="521"/>
      <c r="X242" s="208" t="e">
        <f t="shared" si="14"/>
        <v>#VALUE!</v>
      </c>
      <c r="Y242" s="208" t="e">
        <f t="shared" si="15"/>
        <v>#VALUE!</v>
      </c>
      <c r="Z242" s="44"/>
      <c r="AA242" s="44"/>
    </row>
    <row r="243" spans="1:27">
      <c r="A243" s="148" t="s">
        <v>38</v>
      </c>
      <c r="H243" s="521"/>
      <c r="X243" s="208" t="e">
        <f t="shared" si="14"/>
        <v>#VALUE!</v>
      </c>
      <c r="Y243" s="208" t="e">
        <f t="shared" si="15"/>
        <v>#VALUE!</v>
      </c>
      <c r="Z243" s="44"/>
      <c r="AA243" s="44"/>
    </row>
    <row r="244" spans="1:27" ht="15.5">
      <c r="A244" s="148" t="s">
        <v>198</v>
      </c>
      <c r="H244" s="521"/>
      <c r="X244" s="208" t="e">
        <f t="shared" si="14"/>
        <v>#VALUE!</v>
      </c>
      <c r="Y244" s="208" t="e">
        <f t="shared" si="15"/>
        <v>#VALUE!</v>
      </c>
      <c r="Z244" s="44"/>
      <c r="AA244" s="52" t="s">
        <v>42</v>
      </c>
    </row>
    <row r="245" spans="1:27" ht="15.5">
      <c r="A245" s="148">
        <v>45405</v>
      </c>
      <c r="B245">
        <v>1</v>
      </c>
      <c r="C245" t="s">
        <v>45</v>
      </c>
      <c r="H245" s="521">
        <v>0.3785</v>
      </c>
      <c r="X245" s="208" t="e">
        <f t="shared" si="14"/>
        <v>#VALUE!</v>
      </c>
      <c r="Y245" s="208" t="e">
        <f t="shared" si="15"/>
        <v>#VALUE!</v>
      </c>
      <c r="AA245" s="347" t="e">
        <f>(Y246/$AK$15)*100</f>
        <v>#VALUE!</v>
      </c>
    </row>
    <row r="246" spans="1:27" ht="15.5">
      <c r="A246" s="148">
        <v>45405</v>
      </c>
      <c r="B246">
        <v>2</v>
      </c>
      <c r="C246" t="s">
        <v>49</v>
      </c>
      <c r="H246" s="521">
        <v>0.37409999999999999</v>
      </c>
      <c r="X246" s="44"/>
      <c r="Y246" s="347" t="e">
        <f>SQRT(SUM(Y240:Y245)/(6-2))</f>
        <v>#VALUE!</v>
      </c>
      <c r="Z246" s="52" t="s">
        <v>60</v>
      </c>
      <c r="AA246" s="44"/>
    </row>
    <row r="247" spans="1:27" ht="15.5">
      <c r="A247" s="148">
        <v>45405</v>
      </c>
      <c r="B247">
        <v>3</v>
      </c>
      <c r="C247" t="s">
        <v>51</v>
      </c>
      <c r="G247">
        <v>0</v>
      </c>
      <c r="H247" s="521">
        <v>0.32650000000000001</v>
      </c>
      <c r="I247">
        <v>0.36978</v>
      </c>
      <c r="J247">
        <v>0.36978</v>
      </c>
      <c r="Y247" s="347" t="e">
        <f>(Y246/12.01)*100.09</f>
        <v>#VALUE!</v>
      </c>
      <c r="Z247" s="52" t="s">
        <v>62</v>
      </c>
    </row>
    <row r="248" spans="1:27">
      <c r="A248" s="148">
        <v>45405</v>
      </c>
      <c r="B248">
        <v>4</v>
      </c>
      <c r="C248" t="s">
        <v>199</v>
      </c>
      <c r="D248">
        <v>283.39999999999998</v>
      </c>
      <c r="G248">
        <v>283.34332000000001</v>
      </c>
      <c r="H248" s="521">
        <v>32.826300000000003</v>
      </c>
      <c r="I248">
        <v>0.36978</v>
      </c>
      <c r="J248">
        <v>32.456520000000005</v>
      </c>
      <c r="K248">
        <v>276.21595346016852</v>
      </c>
      <c r="L248" s="277">
        <v>97.484547530595918</v>
      </c>
      <c r="M248">
        <v>270.48901638634476</v>
      </c>
      <c r="N248">
        <v>95.463346863566358</v>
      </c>
      <c r="O248">
        <v>128</v>
      </c>
      <c r="P248">
        <v>41.7</v>
      </c>
      <c r="Q248">
        <v>100</v>
      </c>
      <c r="R248">
        <v>3</v>
      </c>
      <c r="S248" t="s">
        <v>54</v>
      </c>
      <c r="T248" t="s">
        <v>54</v>
      </c>
    </row>
    <row r="249" spans="1:27">
      <c r="A249" s="148">
        <v>45405</v>
      </c>
      <c r="B249">
        <v>5</v>
      </c>
      <c r="C249" t="s">
        <v>200</v>
      </c>
      <c r="D249">
        <v>1230.9000000000001</v>
      </c>
      <c r="G249">
        <v>1230.6538200000002</v>
      </c>
      <c r="H249" s="521">
        <v>144.64869999999999</v>
      </c>
      <c r="I249">
        <v>0.36978</v>
      </c>
      <c r="J249">
        <v>144.27892</v>
      </c>
      <c r="K249">
        <v>1233.4182397140723</v>
      </c>
      <c r="L249" s="277">
        <v>100.22463016561977</v>
      </c>
      <c r="M249">
        <v>1202.4044215487095</v>
      </c>
      <c r="N249">
        <v>97.704521125909253</v>
      </c>
      <c r="O249">
        <v>128</v>
      </c>
      <c r="P249">
        <v>41.7</v>
      </c>
      <c r="Q249">
        <v>100</v>
      </c>
      <c r="R249">
        <v>3</v>
      </c>
      <c r="S249" t="s">
        <v>54</v>
      </c>
      <c r="T249" t="s">
        <v>54</v>
      </c>
    </row>
    <row r="250" spans="1:27">
      <c r="A250" s="148">
        <v>45405</v>
      </c>
      <c r="B250">
        <v>6</v>
      </c>
      <c r="C250" t="s">
        <v>201</v>
      </c>
      <c r="D250">
        <v>2206.5</v>
      </c>
      <c r="G250">
        <v>2206.0587</v>
      </c>
      <c r="H250" s="521">
        <v>259.11439999999999</v>
      </c>
      <c r="I250">
        <v>0.36978</v>
      </c>
      <c r="J250">
        <v>258.74462</v>
      </c>
      <c r="K250">
        <v>2213.247234062731</v>
      </c>
      <c r="L250" s="277">
        <v>100.32585416075877</v>
      </c>
      <c r="M250">
        <v>2156.348793988343</v>
      </c>
      <c r="N250">
        <v>97.746664401465978</v>
      </c>
      <c r="O250">
        <v>128</v>
      </c>
      <c r="P250">
        <v>41.7</v>
      </c>
      <c r="Q250">
        <v>100</v>
      </c>
      <c r="R250">
        <v>3</v>
      </c>
      <c r="S250" t="s">
        <v>54</v>
      </c>
      <c r="T250" t="s">
        <v>54</v>
      </c>
    </row>
    <row r="251" spans="1:27">
      <c r="A251" s="148">
        <v>45405</v>
      </c>
      <c r="B251">
        <v>7</v>
      </c>
      <c r="C251" t="s">
        <v>202</v>
      </c>
      <c r="D251">
        <v>2978.6</v>
      </c>
      <c r="G251">
        <v>2978.0042800000001</v>
      </c>
      <c r="H251" s="521">
        <v>349.28980000000001</v>
      </c>
      <c r="I251">
        <v>0.36978</v>
      </c>
      <c r="J251">
        <v>348.92002000000002</v>
      </c>
      <c r="K251">
        <v>2985.1507081775808</v>
      </c>
      <c r="L251" s="277">
        <v>100.23997373763281</v>
      </c>
      <c r="M251">
        <v>2907.8605163863449</v>
      </c>
      <c r="N251">
        <v>97.644605009981532</v>
      </c>
      <c r="O251">
        <v>128</v>
      </c>
      <c r="P251">
        <v>41.7</v>
      </c>
      <c r="Q251">
        <v>100</v>
      </c>
      <c r="R251">
        <v>3</v>
      </c>
      <c r="S251" t="s">
        <v>54</v>
      </c>
      <c r="T251" t="s">
        <v>54</v>
      </c>
    </row>
    <row r="252" spans="1:27">
      <c r="A252" s="148">
        <v>45405</v>
      </c>
      <c r="B252">
        <v>8</v>
      </c>
      <c r="C252" t="s">
        <v>203</v>
      </c>
      <c r="D252">
        <v>3343.3</v>
      </c>
      <c r="G252">
        <v>3342.6313400000004</v>
      </c>
      <c r="H252" s="521">
        <v>389.70510000000002</v>
      </c>
      <c r="I252">
        <v>0.36978</v>
      </c>
      <c r="J252">
        <v>389.33532000000002</v>
      </c>
      <c r="K252">
        <v>3331.1065950091761</v>
      </c>
      <c r="L252" s="277">
        <v>99.655219382020618</v>
      </c>
      <c r="M252">
        <v>3244.6771173022485</v>
      </c>
      <c r="N252">
        <v>97.069547529050809</v>
      </c>
      <c r="O252">
        <v>128</v>
      </c>
      <c r="P252">
        <v>41.7</v>
      </c>
      <c r="Q252">
        <v>100</v>
      </c>
      <c r="R252">
        <v>3</v>
      </c>
      <c r="S252" t="s">
        <v>54</v>
      </c>
      <c r="T252" t="s">
        <v>54</v>
      </c>
    </row>
    <row r="253" spans="1:27">
      <c r="A253" s="148">
        <v>45405</v>
      </c>
      <c r="B253">
        <v>9</v>
      </c>
      <c r="C253" t="s">
        <v>61</v>
      </c>
      <c r="H253" s="521">
        <v>0.54849999999999999</v>
      </c>
      <c r="I253">
        <v>0.36978</v>
      </c>
      <c r="J253">
        <v>0.17871999999999999</v>
      </c>
      <c r="K253">
        <v>-8.2748367428289421E-2</v>
      </c>
      <c r="O253">
        <v>128</v>
      </c>
      <c r="P253">
        <v>41.7</v>
      </c>
      <c r="Q253">
        <v>100</v>
      </c>
      <c r="R253">
        <v>3</v>
      </c>
      <c r="S253" t="s">
        <v>54</v>
      </c>
      <c r="T253" t="s">
        <v>54</v>
      </c>
    </row>
    <row r="254" spans="1:27">
      <c r="A254" s="148">
        <v>45405</v>
      </c>
      <c r="B254">
        <v>10</v>
      </c>
      <c r="C254" t="s">
        <v>63</v>
      </c>
      <c r="H254" s="521">
        <v>0.41039999999999999</v>
      </c>
      <c r="I254">
        <v>0.36978</v>
      </c>
      <c r="J254">
        <v>4.0619999999999989E-2</v>
      </c>
      <c r="K254">
        <v>-1.2648875070967647</v>
      </c>
      <c r="O254">
        <v>128</v>
      </c>
      <c r="P254">
        <v>41.7</v>
      </c>
      <c r="Q254">
        <v>100</v>
      </c>
      <c r="R254">
        <v>3</v>
      </c>
      <c r="S254" t="s">
        <v>54</v>
      </c>
      <c r="T254" t="s">
        <v>54</v>
      </c>
    </row>
    <row r="255" spans="1:27">
      <c r="A255" s="148">
        <v>45405</v>
      </c>
      <c r="B255">
        <v>11</v>
      </c>
      <c r="C255" t="s">
        <v>64</v>
      </c>
      <c r="D255">
        <v>1057</v>
      </c>
      <c r="H255" s="521">
        <v>16.0059</v>
      </c>
      <c r="I255">
        <v>0.36978</v>
      </c>
      <c r="J255">
        <v>15.63612</v>
      </c>
      <c r="K255">
        <v>132.23294705264044</v>
      </c>
      <c r="L255" s="277">
        <v>12.510212587761632</v>
      </c>
      <c r="M255">
        <v>130.30967950041634</v>
      </c>
      <c r="N255">
        <v>12.3282572848076</v>
      </c>
      <c r="O255">
        <v>128</v>
      </c>
      <c r="P255">
        <v>41.7</v>
      </c>
      <c r="Q255">
        <v>100</v>
      </c>
      <c r="R255">
        <v>3</v>
      </c>
      <c r="S255" t="s">
        <v>54</v>
      </c>
      <c r="T255" t="s">
        <v>54</v>
      </c>
    </row>
    <row r="256" spans="1:27">
      <c r="A256" s="148">
        <v>45405</v>
      </c>
      <c r="B256">
        <v>12</v>
      </c>
      <c r="C256" t="s">
        <v>64</v>
      </c>
      <c r="D256">
        <v>2045.1</v>
      </c>
      <c r="H256" s="521">
        <v>31.680800000000001</v>
      </c>
      <c r="I256">
        <v>0.36978</v>
      </c>
      <c r="J256">
        <v>31.311020000000003</v>
      </c>
      <c r="K256">
        <v>266.41044741751654</v>
      </c>
      <c r="L256" s="277">
        <v>13.026768735881694</v>
      </c>
      <c r="M256">
        <v>260.94254719400504</v>
      </c>
      <c r="N256">
        <v>12.759402825974528</v>
      </c>
      <c r="O256">
        <v>128</v>
      </c>
      <c r="P256">
        <v>41.7</v>
      </c>
      <c r="Q256">
        <v>100</v>
      </c>
      <c r="R256">
        <v>3</v>
      </c>
      <c r="S256" t="s">
        <v>54</v>
      </c>
      <c r="T256" t="s">
        <v>54</v>
      </c>
    </row>
    <row r="257" spans="1:20">
      <c r="A257" s="148">
        <v>45405</v>
      </c>
      <c r="B257">
        <v>13</v>
      </c>
      <c r="C257" t="s">
        <v>65</v>
      </c>
      <c r="H257" s="521">
        <v>0.55549999999999999</v>
      </c>
      <c r="I257">
        <v>0.36978</v>
      </c>
      <c r="J257">
        <v>0.18572</v>
      </c>
      <c r="K257">
        <v>-2.282820828506469E-2</v>
      </c>
      <c r="O257">
        <v>128</v>
      </c>
      <c r="P257">
        <v>41.7</v>
      </c>
      <c r="Q257">
        <v>100</v>
      </c>
      <c r="R257">
        <v>3</v>
      </c>
      <c r="S257" t="s">
        <v>54</v>
      </c>
      <c r="T257" t="s">
        <v>54</v>
      </c>
    </row>
    <row r="258" spans="1:20">
      <c r="A258" s="148">
        <v>45405</v>
      </c>
      <c r="B258">
        <v>14</v>
      </c>
      <c r="C258" t="s">
        <v>66</v>
      </c>
      <c r="H258" s="521">
        <v>0.27989999999999998</v>
      </c>
      <c r="I258">
        <v>0.36978</v>
      </c>
      <c r="J258">
        <v>-8.9880000000000015E-2</v>
      </c>
      <c r="K258">
        <v>-2.3819704739811676</v>
      </c>
      <c r="O258">
        <v>128</v>
      </c>
      <c r="P258">
        <v>41.7</v>
      </c>
      <c r="Q258">
        <v>100</v>
      </c>
      <c r="R258">
        <v>3</v>
      </c>
      <c r="S258" t="s">
        <v>54</v>
      </c>
      <c r="T258" t="s">
        <v>54</v>
      </c>
    </row>
    <row r="259" spans="1:20">
      <c r="A259" s="148">
        <v>45405</v>
      </c>
      <c r="B259">
        <v>15</v>
      </c>
      <c r="C259" t="s">
        <v>168</v>
      </c>
      <c r="D259">
        <v>3068.3</v>
      </c>
      <c r="E259" t="s">
        <v>68</v>
      </c>
      <c r="H259" s="521">
        <v>259.4803</v>
      </c>
      <c r="I259">
        <v>0.36978</v>
      </c>
      <c r="J259">
        <v>259.11052000000001</v>
      </c>
      <c r="K259">
        <v>2216.3793463813749</v>
      </c>
      <c r="L259" s="277">
        <v>72.234766691046332</v>
      </c>
      <c r="M259">
        <v>2159.3981637635306</v>
      </c>
      <c r="N259">
        <v>70.377673753007542</v>
      </c>
      <c r="O259">
        <v>128</v>
      </c>
      <c r="P259">
        <v>41.7</v>
      </c>
      <c r="Q259">
        <v>100</v>
      </c>
      <c r="R259">
        <v>3</v>
      </c>
      <c r="S259" t="s">
        <v>54</v>
      </c>
      <c r="T259" t="s">
        <v>54</v>
      </c>
    </row>
    <row r="260" spans="1:20">
      <c r="A260" s="148">
        <v>45405</v>
      </c>
      <c r="B260">
        <v>16</v>
      </c>
      <c r="C260" t="s">
        <v>204</v>
      </c>
      <c r="D260">
        <v>2188.3000000000002</v>
      </c>
      <c r="H260" s="521">
        <v>192.51769999999999</v>
      </c>
      <c r="I260">
        <v>0.36978</v>
      </c>
      <c r="J260">
        <v>192.14792</v>
      </c>
      <c r="K260">
        <v>1643.1779680036468</v>
      </c>
      <c r="L260" s="277">
        <v>75.089245898809438</v>
      </c>
      <c r="M260">
        <v>1601.3393266278104</v>
      </c>
      <c r="N260">
        <v>73.177321511118691</v>
      </c>
      <c r="O260">
        <v>128</v>
      </c>
      <c r="P260">
        <v>41.7</v>
      </c>
      <c r="Q260">
        <v>100</v>
      </c>
      <c r="R260">
        <v>3</v>
      </c>
      <c r="S260" t="s">
        <v>54</v>
      </c>
      <c r="T260" t="s">
        <v>54</v>
      </c>
    </row>
    <row r="261" spans="1:20">
      <c r="A261" s="148">
        <v>45405</v>
      </c>
      <c r="B261">
        <v>17</v>
      </c>
      <c r="C261" t="s">
        <v>205</v>
      </c>
      <c r="D261">
        <v>2313.1999999999998</v>
      </c>
      <c r="H261" s="521">
        <v>190.86689999999999</v>
      </c>
      <c r="I261">
        <v>0.36978</v>
      </c>
      <c r="J261">
        <v>190.49712</v>
      </c>
      <c r="K261">
        <v>1629.0470824731276</v>
      </c>
      <c r="L261" s="277">
        <v>70.423961718533974</v>
      </c>
      <c r="M261">
        <v>1587.5817436136554</v>
      </c>
      <c r="N261">
        <v>68.631408594745608</v>
      </c>
      <c r="O261">
        <v>128</v>
      </c>
      <c r="P261">
        <v>41.7</v>
      </c>
      <c r="Q261">
        <v>100</v>
      </c>
      <c r="R261">
        <v>3</v>
      </c>
      <c r="S261" t="s">
        <v>54</v>
      </c>
      <c r="T261" t="s">
        <v>54</v>
      </c>
    </row>
    <row r="262" spans="1:20">
      <c r="A262" s="148">
        <v>45405</v>
      </c>
      <c r="B262">
        <v>18</v>
      </c>
      <c r="C262" t="s">
        <v>173</v>
      </c>
      <c r="D262">
        <v>2133.6999999999998</v>
      </c>
      <c r="H262" s="521">
        <v>131.4357</v>
      </c>
      <c r="I262">
        <v>0.36978</v>
      </c>
      <c r="J262">
        <v>131.06592000000001</v>
      </c>
      <c r="K262">
        <v>1120.3146593198685</v>
      </c>
      <c r="L262" s="277">
        <v>52.505725234094228</v>
      </c>
      <c r="M262">
        <v>1092.2887537718568</v>
      </c>
      <c r="N262">
        <v>51.192236667378587</v>
      </c>
      <c r="O262">
        <v>128</v>
      </c>
      <c r="P262">
        <v>41.7</v>
      </c>
      <c r="Q262">
        <v>100</v>
      </c>
      <c r="R262">
        <v>3</v>
      </c>
      <c r="S262" t="s">
        <v>54</v>
      </c>
      <c r="T262" t="s">
        <v>54</v>
      </c>
    </row>
    <row r="263" spans="1:20">
      <c r="A263" s="148">
        <v>45405</v>
      </c>
      <c r="B263">
        <v>19</v>
      </c>
      <c r="C263" t="s">
        <v>150</v>
      </c>
      <c r="D263">
        <v>2862.9</v>
      </c>
      <c r="H263" s="521">
        <v>246.87569999999999</v>
      </c>
      <c r="I263">
        <v>0.36978</v>
      </c>
      <c r="J263">
        <v>246.50592</v>
      </c>
      <c r="K263">
        <v>2108.4836838189908</v>
      </c>
      <c r="L263" s="277">
        <v>73.648527151454488</v>
      </c>
      <c r="M263">
        <v>2054.3528337052458</v>
      </c>
      <c r="N263">
        <v>71.757757298726673</v>
      </c>
      <c r="O263">
        <v>128</v>
      </c>
      <c r="P263">
        <v>41.7</v>
      </c>
      <c r="Q263">
        <v>100</v>
      </c>
      <c r="R263">
        <v>3</v>
      </c>
      <c r="S263" t="s">
        <v>54</v>
      </c>
      <c r="T263" t="s">
        <v>54</v>
      </c>
    </row>
    <row r="264" spans="1:20">
      <c r="A264" s="148">
        <v>45405</v>
      </c>
      <c r="B264">
        <v>20</v>
      </c>
      <c r="C264" t="s">
        <v>74</v>
      </c>
      <c r="H264" s="521">
        <v>0.40770000000000001</v>
      </c>
      <c r="I264">
        <v>0.36978</v>
      </c>
      <c r="J264">
        <v>3.7920000000000009E-2</v>
      </c>
      <c r="K264">
        <v>-1.2879995684805798</v>
      </c>
      <c r="L264" s="277" t="e">
        <v>#DIV/0!</v>
      </c>
      <c r="O264">
        <v>128</v>
      </c>
      <c r="P264">
        <v>41.7</v>
      </c>
      <c r="Q264">
        <v>100</v>
      </c>
      <c r="R264">
        <v>3</v>
      </c>
      <c r="S264" t="s">
        <v>54</v>
      </c>
      <c r="T264" t="s">
        <v>54</v>
      </c>
    </row>
    <row r="265" spans="1:20">
      <c r="A265" s="148">
        <v>45405</v>
      </c>
      <c r="B265">
        <v>21</v>
      </c>
      <c r="C265" t="s">
        <v>170</v>
      </c>
      <c r="D265">
        <v>2711.3</v>
      </c>
      <c r="H265" s="521">
        <v>207.52860000000001</v>
      </c>
      <c r="I265">
        <v>0.36978</v>
      </c>
      <c r="J265">
        <v>207.15882000000002</v>
      </c>
      <c r="K265">
        <v>1771.6716132726515</v>
      </c>
      <c r="L265" s="277">
        <v>65.343990457442985</v>
      </c>
      <c r="M265">
        <v>1726.4384924063281</v>
      </c>
      <c r="N265">
        <v>63.675671906698931</v>
      </c>
      <c r="O265">
        <v>128</v>
      </c>
      <c r="P265">
        <v>41.7</v>
      </c>
      <c r="Q265">
        <v>100</v>
      </c>
      <c r="R265">
        <v>3</v>
      </c>
      <c r="S265" t="s">
        <v>54</v>
      </c>
      <c r="T265" t="s">
        <v>54</v>
      </c>
    </row>
    <row r="266" spans="1:20">
      <c r="A266" s="148">
        <v>45405</v>
      </c>
      <c r="B266">
        <v>22</v>
      </c>
      <c r="C266" t="s">
        <v>206</v>
      </c>
      <c r="D266">
        <v>2388.6999999999998</v>
      </c>
      <c r="H266" s="521">
        <v>213.1532</v>
      </c>
      <c r="I266">
        <v>0.36978</v>
      </c>
      <c r="J266">
        <v>212.78342000000001</v>
      </c>
      <c r="K266">
        <v>1819.8183171465059</v>
      </c>
      <c r="L266" s="277">
        <v>76.184465070812834</v>
      </c>
      <c r="M266">
        <v>1773.3132812489594</v>
      </c>
      <c r="N266">
        <v>74.237588698830294</v>
      </c>
      <c r="O266">
        <v>128</v>
      </c>
      <c r="P266">
        <v>41.7</v>
      </c>
      <c r="Q266">
        <v>100</v>
      </c>
      <c r="R266">
        <v>3</v>
      </c>
      <c r="S266" t="s">
        <v>54</v>
      </c>
      <c r="T266" t="s">
        <v>54</v>
      </c>
    </row>
    <row r="267" spans="1:20">
      <c r="A267" s="148">
        <v>45405</v>
      </c>
      <c r="B267">
        <v>23</v>
      </c>
      <c r="C267" t="s">
        <v>102</v>
      </c>
      <c r="D267">
        <v>2298.5</v>
      </c>
      <c r="H267" s="521">
        <v>182.82859999999999</v>
      </c>
      <c r="I267">
        <v>0.36978</v>
      </c>
      <c r="J267">
        <v>182.45882</v>
      </c>
      <c r="K267">
        <v>1560.2390517244157</v>
      </c>
      <c r="L267" s="277">
        <v>67.880750564473175</v>
      </c>
      <c r="M267">
        <v>1520.5914482764363</v>
      </c>
      <c r="N267">
        <v>66.155816762081187</v>
      </c>
      <c r="O267">
        <v>128</v>
      </c>
      <c r="P267">
        <v>41.7</v>
      </c>
      <c r="Q267">
        <v>100</v>
      </c>
      <c r="R267">
        <v>3</v>
      </c>
      <c r="S267" t="s">
        <v>54</v>
      </c>
      <c r="T267" t="s">
        <v>54</v>
      </c>
    </row>
    <row r="268" spans="1:20">
      <c r="A268" s="148">
        <v>45405</v>
      </c>
      <c r="B268">
        <v>24</v>
      </c>
      <c r="C268" t="s">
        <v>72</v>
      </c>
      <c r="D268">
        <v>2560.6</v>
      </c>
      <c r="H268" s="521">
        <v>223.27420000000001</v>
      </c>
      <c r="I268">
        <v>0.36978</v>
      </c>
      <c r="J268">
        <v>222.90442000000002</v>
      </c>
      <c r="K268">
        <v>1906.4543072448741</v>
      </c>
      <c r="L268" s="277">
        <v>74.453421356122561</v>
      </c>
      <c r="M268">
        <v>1857.6605660116572</v>
      </c>
      <c r="N268">
        <v>72.547862454567579</v>
      </c>
      <c r="O268">
        <v>128</v>
      </c>
      <c r="P268">
        <v>41.7</v>
      </c>
      <c r="Q268">
        <v>100</v>
      </c>
      <c r="R268">
        <v>3</v>
      </c>
      <c r="S268" t="s">
        <v>54</v>
      </c>
      <c r="T268" t="s">
        <v>54</v>
      </c>
    </row>
    <row r="269" spans="1:20">
      <c r="A269" s="148">
        <v>45405</v>
      </c>
      <c r="B269">
        <v>25</v>
      </c>
      <c r="C269" t="s">
        <v>108</v>
      </c>
      <c r="D269">
        <v>2758.6</v>
      </c>
      <c r="H269" s="521">
        <v>236.8185</v>
      </c>
      <c r="I269">
        <v>0.36978</v>
      </c>
      <c r="J269">
        <v>236.44872000000001</v>
      </c>
      <c r="K269">
        <v>2022.3938231710995</v>
      </c>
      <c r="L269" s="277">
        <v>73.312325932396845</v>
      </c>
      <c r="M269">
        <v>1970.5372510241468</v>
      </c>
      <c r="N269">
        <v>71.432511093458515</v>
      </c>
      <c r="O269">
        <v>128</v>
      </c>
      <c r="P269">
        <v>41.7</v>
      </c>
      <c r="Q269">
        <v>100</v>
      </c>
      <c r="R269">
        <v>3</v>
      </c>
      <c r="S269" t="s">
        <v>54</v>
      </c>
      <c r="T269" t="s">
        <v>54</v>
      </c>
    </row>
    <row r="270" spans="1:20">
      <c r="A270" s="148">
        <v>45405</v>
      </c>
      <c r="B270">
        <v>26</v>
      </c>
      <c r="C270" t="s">
        <v>188</v>
      </c>
      <c r="H270" s="521">
        <v>0.41670000000000001</v>
      </c>
      <c r="I270">
        <v>0.36978</v>
      </c>
      <c r="J270">
        <v>4.6920000000000017E-2</v>
      </c>
      <c r="K270">
        <v>-1.2109593638678624</v>
      </c>
      <c r="M270">
        <v>0.3910260449625314</v>
      </c>
      <c r="N270" t="e">
        <v>#DIV/0!</v>
      </c>
      <c r="O270">
        <v>128</v>
      </c>
      <c r="P270">
        <v>41.7</v>
      </c>
      <c r="Q270">
        <v>100</v>
      </c>
      <c r="R270">
        <v>3</v>
      </c>
      <c r="S270" t="s">
        <v>54</v>
      </c>
      <c r="T270" t="s">
        <v>54</v>
      </c>
    </row>
    <row r="271" spans="1:20">
      <c r="A271" s="148">
        <v>45405</v>
      </c>
      <c r="B271">
        <v>27</v>
      </c>
      <c r="C271" t="s">
        <v>207</v>
      </c>
      <c r="D271">
        <v>2019.1</v>
      </c>
      <c r="G271">
        <v>2018.6961799999999</v>
      </c>
      <c r="H271" s="521">
        <v>233.20869999999999</v>
      </c>
      <c r="I271">
        <v>0.36978</v>
      </c>
      <c r="J271">
        <v>232.83892</v>
      </c>
      <c r="K271">
        <v>1991.4938531032119</v>
      </c>
      <c r="L271" s="277">
        <v>98.652480389753947</v>
      </c>
      <c r="M271">
        <v>1940.4535805828475</v>
      </c>
      <c r="N271">
        <v>96.124102269953653</v>
      </c>
      <c r="O271">
        <v>128</v>
      </c>
      <c r="P271">
        <v>41.7</v>
      </c>
      <c r="Q271">
        <v>100</v>
      </c>
      <c r="R271">
        <v>3</v>
      </c>
      <c r="S271" t="s">
        <v>54</v>
      </c>
      <c r="T271" t="s">
        <v>54</v>
      </c>
    </row>
    <row r="272" spans="1:20">
      <c r="A272" s="148">
        <v>45405</v>
      </c>
      <c r="B272">
        <v>28</v>
      </c>
      <c r="C272" t="s">
        <v>84</v>
      </c>
      <c r="H272" s="521">
        <v>0</v>
      </c>
      <c r="I272">
        <v>0.36978</v>
      </c>
      <c r="J272">
        <v>-0.36978</v>
      </c>
      <c r="K272">
        <v>-4.7779208374366799</v>
      </c>
      <c r="O272">
        <v>128</v>
      </c>
      <c r="P272">
        <v>41.7</v>
      </c>
      <c r="Q272">
        <v>100</v>
      </c>
      <c r="R272">
        <v>3</v>
      </c>
      <c r="S272" t="s">
        <v>54</v>
      </c>
      <c r="T272" t="s">
        <v>54</v>
      </c>
    </row>
    <row r="274" spans="1:20">
      <c r="A274" s="148" t="s">
        <v>85</v>
      </c>
      <c r="H274" s="521"/>
    </row>
    <row r="275" spans="1:20">
      <c r="A275" s="148" t="s">
        <v>38</v>
      </c>
      <c r="H275" s="521"/>
    </row>
    <row r="276" spans="1:20">
      <c r="A276" s="148" t="s">
        <v>208</v>
      </c>
      <c r="H276" s="521"/>
    </row>
    <row r="277" spans="1:20">
      <c r="A277" s="148">
        <v>45475</v>
      </c>
      <c r="B277">
        <v>1</v>
      </c>
      <c r="C277" t="s">
        <v>45</v>
      </c>
      <c r="H277" s="521">
        <v>0.2361</v>
      </c>
    </row>
    <row r="278" spans="1:20">
      <c r="A278" s="148">
        <v>45475</v>
      </c>
      <c r="B278">
        <v>2</v>
      </c>
      <c r="C278" t="s">
        <v>49</v>
      </c>
      <c r="H278" s="521">
        <v>0.31609999999999999</v>
      </c>
    </row>
    <row r="279" spans="1:20">
      <c r="A279" s="148">
        <v>45475</v>
      </c>
      <c r="B279">
        <v>3</v>
      </c>
      <c r="C279" t="s">
        <v>51</v>
      </c>
      <c r="G279">
        <v>0</v>
      </c>
      <c r="H279" s="521">
        <v>0.3579</v>
      </c>
      <c r="I279">
        <v>0.34411000000000003</v>
      </c>
      <c r="J279">
        <v>0.34411000000000003</v>
      </c>
    </row>
    <row r="280" spans="1:20">
      <c r="A280" s="148">
        <v>45475</v>
      </c>
      <c r="B280">
        <v>4</v>
      </c>
      <c r="C280" t="s">
        <v>209</v>
      </c>
      <c r="D280">
        <v>279.8</v>
      </c>
      <c r="G280">
        <v>279.74404000000004</v>
      </c>
      <c r="H280" s="521">
        <v>32.514699999999998</v>
      </c>
      <c r="I280">
        <v>0.34411000000000003</v>
      </c>
      <c r="J280">
        <v>32.170589999999997</v>
      </c>
      <c r="K280">
        <v>279.03623161591844</v>
      </c>
      <c r="L280" s="277">
        <v>99.746979994969109</v>
      </c>
      <c r="M280">
        <v>268.10610766860947</v>
      </c>
      <c r="N280">
        <v>95.839792572027434</v>
      </c>
      <c r="O280">
        <v>128</v>
      </c>
      <c r="P280">
        <v>41.7</v>
      </c>
      <c r="Q280">
        <v>100</v>
      </c>
      <c r="R280">
        <v>3</v>
      </c>
      <c r="S280" t="s">
        <v>54</v>
      </c>
      <c r="T280" t="s">
        <v>54</v>
      </c>
    </row>
    <row r="281" spans="1:20">
      <c r="A281" s="148">
        <v>45475</v>
      </c>
      <c r="B281">
        <v>5</v>
      </c>
      <c r="C281" t="s">
        <v>210</v>
      </c>
      <c r="D281">
        <v>1010.6</v>
      </c>
      <c r="G281">
        <v>1010.3978800000001</v>
      </c>
      <c r="H281" s="521">
        <v>118.6644</v>
      </c>
      <c r="I281">
        <v>0.34411000000000003</v>
      </c>
      <c r="J281">
        <v>118.32029</v>
      </c>
      <c r="K281">
        <v>1011.2793590934746</v>
      </c>
      <c r="L281" s="277">
        <v>100.08724079008108</v>
      </c>
      <c r="M281">
        <v>986.06809542880933</v>
      </c>
      <c r="N281">
        <v>97.592059024194427</v>
      </c>
      <c r="O281">
        <v>128</v>
      </c>
      <c r="P281">
        <v>41.7</v>
      </c>
      <c r="Q281">
        <v>100</v>
      </c>
      <c r="R281">
        <v>3</v>
      </c>
      <c r="S281" t="s">
        <v>54</v>
      </c>
      <c r="T281" t="s">
        <v>54</v>
      </c>
    </row>
    <row r="282" spans="1:20">
      <c r="A282" s="148">
        <v>45475</v>
      </c>
      <c r="B282">
        <v>6</v>
      </c>
      <c r="C282" t="s">
        <v>211</v>
      </c>
      <c r="D282">
        <v>2155.8000000000002</v>
      </c>
      <c r="G282">
        <v>2155.3688400000001</v>
      </c>
      <c r="H282" s="521">
        <v>251.45849999999999</v>
      </c>
      <c r="I282">
        <v>0.34411000000000003</v>
      </c>
      <c r="J282">
        <v>251.11438999999999</v>
      </c>
      <c r="K282">
        <v>2139.9840103524725</v>
      </c>
      <c r="L282" s="277">
        <v>99.286208960526338</v>
      </c>
      <c r="M282">
        <v>2092.7593085012491</v>
      </c>
      <c r="N282">
        <v>97.095182488638429</v>
      </c>
      <c r="O282">
        <v>128</v>
      </c>
      <c r="P282">
        <v>41.7</v>
      </c>
      <c r="Q282">
        <v>100</v>
      </c>
      <c r="R282">
        <v>3</v>
      </c>
      <c r="S282" t="s">
        <v>54</v>
      </c>
      <c r="T282" t="s">
        <v>54</v>
      </c>
    </row>
    <row r="283" spans="1:20">
      <c r="A283" s="148">
        <v>45475</v>
      </c>
      <c r="B283">
        <v>7</v>
      </c>
      <c r="C283" t="s">
        <v>212</v>
      </c>
      <c r="D283">
        <v>3050.5</v>
      </c>
      <c r="G283">
        <v>3049.8899000000001</v>
      </c>
      <c r="H283" s="521">
        <v>356.4314</v>
      </c>
      <c r="I283">
        <v>0.34411000000000003</v>
      </c>
      <c r="J283">
        <v>356.08729</v>
      </c>
      <c r="K283">
        <v>3032.2179310322749</v>
      </c>
      <c r="L283" s="277">
        <v>99.420570264922503</v>
      </c>
      <c r="M283">
        <v>2967.5917448875934</v>
      </c>
      <c r="N283">
        <v>97.30160242465125</v>
      </c>
      <c r="O283">
        <v>128</v>
      </c>
      <c r="P283">
        <v>41.7</v>
      </c>
      <c r="Q283">
        <v>100</v>
      </c>
      <c r="R283">
        <v>3</v>
      </c>
      <c r="S283" t="s">
        <v>54</v>
      </c>
      <c r="T283" t="s">
        <v>54</v>
      </c>
    </row>
    <row r="284" spans="1:20">
      <c r="A284" s="148">
        <v>45475</v>
      </c>
      <c r="B284">
        <v>8</v>
      </c>
      <c r="C284" t="s">
        <v>213</v>
      </c>
      <c r="D284">
        <v>3545.9</v>
      </c>
      <c r="G284">
        <v>3545.1908200000003</v>
      </c>
      <c r="H284" s="521">
        <v>419.6497</v>
      </c>
      <c r="I284">
        <v>0.34411000000000003</v>
      </c>
      <c r="J284">
        <v>419.30559</v>
      </c>
      <c r="K284">
        <v>3569.5519636036524</v>
      </c>
      <c r="L284" s="277">
        <v>100.68716029236622</v>
      </c>
      <c r="M284">
        <v>3494.4460035886759</v>
      </c>
      <c r="N284">
        <v>98.56862947616105</v>
      </c>
      <c r="O284">
        <v>128</v>
      </c>
      <c r="P284">
        <v>41.7</v>
      </c>
      <c r="Q284">
        <v>100</v>
      </c>
      <c r="R284">
        <v>3</v>
      </c>
      <c r="S284" t="s">
        <v>54</v>
      </c>
      <c r="T284" t="s">
        <v>54</v>
      </c>
    </row>
    <row r="285" spans="1:20">
      <c r="A285" s="148">
        <v>45475</v>
      </c>
      <c r="B285">
        <v>9</v>
      </c>
      <c r="C285" t="s">
        <v>61</v>
      </c>
      <c r="H285" s="521">
        <v>0.45839999999999997</v>
      </c>
      <c r="I285">
        <v>0.34411000000000003</v>
      </c>
      <c r="J285">
        <v>0.11428999999999995</v>
      </c>
      <c r="K285">
        <v>6.568592525372785</v>
      </c>
      <c r="O285">
        <v>128</v>
      </c>
      <c r="P285">
        <v>41.7</v>
      </c>
      <c r="Q285">
        <v>100</v>
      </c>
      <c r="R285">
        <v>3</v>
      </c>
      <c r="S285" t="s">
        <v>54</v>
      </c>
      <c r="T285" t="s">
        <v>54</v>
      </c>
    </row>
    <row r="286" spans="1:20">
      <c r="A286" s="148">
        <v>45475</v>
      </c>
      <c r="B286">
        <v>10</v>
      </c>
      <c r="C286" t="s">
        <v>63</v>
      </c>
      <c r="H286" s="521">
        <v>0.4642</v>
      </c>
      <c r="I286">
        <v>0.34411000000000003</v>
      </c>
      <c r="J286">
        <v>0.12008999999999997</v>
      </c>
      <c r="K286">
        <v>6.6178905512436801</v>
      </c>
      <c r="O286">
        <v>128</v>
      </c>
      <c r="P286">
        <v>41.7</v>
      </c>
      <c r="Q286">
        <v>100</v>
      </c>
      <c r="R286">
        <v>3</v>
      </c>
      <c r="S286" t="s">
        <v>54</v>
      </c>
      <c r="T286" t="s">
        <v>54</v>
      </c>
    </row>
    <row r="287" spans="1:20">
      <c r="A287" s="148">
        <v>45475</v>
      </c>
      <c r="B287">
        <v>11</v>
      </c>
      <c r="C287" t="s">
        <v>64</v>
      </c>
      <c r="D287">
        <v>1112.5</v>
      </c>
      <c r="H287" s="521">
        <v>21.322399999999998</v>
      </c>
      <c r="I287">
        <v>0.34411000000000003</v>
      </c>
      <c r="J287">
        <v>20.978289999999998</v>
      </c>
      <c r="K287">
        <v>183.90549110646742</v>
      </c>
      <c r="L287" s="277">
        <v>16.5308306612555</v>
      </c>
      <c r="M287">
        <v>174.83072823480433</v>
      </c>
      <c r="N287">
        <v>15.715121639083536</v>
      </c>
      <c r="O287">
        <v>128</v>
      </c>
      <c r="P287">
        <v>41.7</v>
      </c>
      <c r="Q287">
        <v>100</v>
      </c>
      <c r="R287">
        <v>3</v>
      </c>
      <c r="S287" t="s">
        <v>54</v>
      </c>
      <c r="T287" t="s">
        <v>54</v>
      </c>
    </row>
    <row r="288" spans="1:20">
      <c r="A288" s="148">
        <v>45475</v>
      </c>
      <c r="B288">
        <v>12</v>
      </c>
      <c r="C288" t="s">
        <v>64</v>
      </c>
      <c r="D288">
        <v>2097.9</v>
      </c>
      <c r="H288" s="521">
        <v>34.641100000000002</v>
      </c>
      <c r="I288">
        <v>0.34411000000000003</v>
      </c>
      <c r="J288">
        <v>34.296990000000001</v>
      </c>
      <c r="K288">
        <v>297.10990785934445</v>
      </c>
      <c r="L288" s="277">
        <v>14.162253103548522</v>
      </c>
      <c r="M288">
        <v>285.82728801831809</v>
      </c>
      <c r="N288">
        <v>13.624447686654181</v>
      </c>
      <c r="O288">
        <v>128</v>
      </c>
      <c r="P288">
        <v>41.7</v>
      </c>
      <c r="Q288">
        <v>100</v>
      </c>
      <c r="R288">
        <v>3</v>
      </c>
      <c r="S288" t="s">
        <v>54</v>
      </c>
      <c r="T288" t="s">
        <v>54</v>
      </c>
    </row>
    <row r="289" spans="1:20">
      <c r="A289" s="148">
        <v>45475</v>
      </c>
      <c r="B289">
        <v>13</v>
      </c>
      <c r="C289" t="s">
        <v>214</v>
      </c>
      <c r="D289">
        <v>1292.0999999999999</v>
      </c>
      <c r="H289" s="521">
        <v>124.8366</v>
      </c>
      <c r="I289">
        <v>0.34411000000000003</v>
      </c>
      <c r="J289">
        <v>124.49249</v>
      </c>
      <c r="K289">
        <v>1063.7409582797395</v>
      </c>
      <c r="L289" s="277">
        <v>82.326519486087733</v>
      </c>
      <c r="M289">
        <v>1037.5065215736886</v>
      </c>
      <c r="N289">
        <v>80.29614747880882</v>
      </c>
      <c r="O289">
        <v>128</v>
      </c>
      <c r="P289">
        <v>41.7</v>
      </c>
      <c r="Q289">
        <v>100</v>
      </c>
      <c r="R289">
        <v>3</v>
      </c>
      <c r="S289" t="s">
        <v>54</v>
      </c>
      <c r="T289" t="s">
        <v>54</v>
      </c>
    </row>
    <row r="290" spans="1:20">
      <c r="A290" s="148">
        <v>45475</v>
      </c>
      <c r="B290">
        <v>14</v>
      </c>
      <c r="C290" t="s">
        <v>214</v>
      </c>
      <c r="D290">
        <v>2004.5</v>
      </c>
      <c r="H290" s="521">
        <v>196.11529999999999</v>
      </c>
      <c r="I290">
        <v>0.34411000000000003</v>
      </c>
      <c r="J290">
        <v>195.77118999999999</v>
      </c>
      <c r="K290">
        <v>1669.5856473562478</v>
      </c>
      <c r="L290" s="277">
        <v>83.291875647605281</v>
      </c>
      <c r="M290">
        <v>1631.5352545462113</v>
      </c>
      <c r="N290">
        <v>81.393627066411142</v>
      </c>
      <c r="O290">
        <v>128</v>
      </c>
      <c r="P290">
        <v>41.7</v>
      </c>
      <c r="Q290">
        <v>100</v>
      </c>
      <c r="R290">
        <v>3</v>
      </c>
      <c r="S290" t="s">
        <v>54</v>
      </c>
      <c r="T290" t="s">
        <v>54</v>
      </c>
    </row>
    <row r="291" spans="1:20">
      <c r="A291" s="148">
        <v>45475</v>
      </c>
      <c r="B291">
        <v>15</v>
      </c>
      <c r="C291" t="s">
        <v>215</v>
      </c>
      <c r="H291" s="521">
        <v>0.36370000000000002</v>
      </c>
      <c r="I291">
        <v>0.34411000000000003</v>
      </c>
      <c r="J291">
        <v>1.9589999999999996E-2</v>
      </c>
      <c r="K291">
        <v>5.7636747581359336</v>
      </c>
      <c r="M291">
        <v>0.16326087427144045</v>
      </c>
      <c r="N291" t="e">
        <v>#DIV/0!</v>
      </c>
      <c r="O291">
        <v>128</v>
      </c>
      <c r="P291">
        <v>41.7</v>
      </c>
      <c r="Q291">
        <v>100</v>
      </c>
      <c r="R291">
        <v>3</v>
      </c>
      <c r="S291" t="s">
        <v>54</v>
      </c>
      <c r="T291" t="s">
        <v>54</v>
      </c>
    </row>
    <row r="292" spans="1:20">
      <c r="A292" s="148">
        <v>45475</v>
      </c>
      <c r="B292">
        <v>16</v>
      </c>
      <c r="C292" t="s">
        <v>216</v>
      </c>
      <c r="H292" s="521">
        <v>0.28199999999999997</v>
      </c>
      <c r="I292">
        <v>0.34411000000000003</v>
      </c>
      <c r="J292">
        <v>-6.2110000000000054E-2</v>
      </c>
      <c r="K292">
        <v>5.0692525661269494</v>
      </c>
      <c r="M292">
        <v>-0.51761781015820196</v>
      </c>
      <c r="N292" t="e">
        <v>#DIV/0!</v>
      </c>
      <c r="O292">
        <v>128</v>
      </c>
      <c r="P292">
        <v>41.7</v>
      </c>
      <c r="Q292">
        <v>100</v>
      </c>
      <c r="R292">
        <v>3</v>
      </c>
      <c r="S292" t="s">
        <v>54</v>
      </c>
      <c r="T292" t="s">
        <v>54</v>
      </c>
    </row>
    <row r="293" spans="1:20">
      <c r="A293" s="148">
        <v>45475</v>
      </c>
      <c r="B293">
        <v>17</v>
      </c>
      <c r="C293" t="s">
        <v>217</v>
      </c>
      <c r="D293">
        <v>3111.9</v>
      </c>
      <c r="H293" s="521">
        <v>245.0538</v>
      </c>
      <c r="I293">
        <v>0.34411000000000003</v>
      </c>
      <c r="J293">
        <v>244.70968999999999</v>
      </c>
      <c r="K293">
        <v>2085.5462403015554</v>
      </c>
      <c r="L293" s="277">
        <v>67.018420910104922</v>
      </c>
      <c r="M293">
        <v>2039.3832532972524</v>
      </c>
      <c r="N293">
        <v>65.534986770052143</v>
      </c>
      <c r="O293">
        <v>128</v>
      </c>
      <c r="P293">
        <v>41.7</v>
      </c>
      <c r="Q293">
        <v>100</v>
      </c>
      <c r="R293">
        <v>3</v>
      </c>
      <c r="S293" t="s">
        <v>54</v>
      </c>
      <c r="T293" t="s">
        <v>54</v>
      </c>
    </row>
    <row r="294" spans="1:20">
      <c r="A294" s="148">
        <v>45475</v>
      </c>
      <c r="B294">
        <v>18</v>
      </c>
      <c r="C294" t="s">
        <v>218</v>
      </c>
      <c r="D294">
        <v>2761.6</v>
      </c>
      <c r="H294" s="521">
        <v>259.5154</v>
      </c>
      <c r="I294">
        <v>0.34411000000000003</v>
      </c>
      <c r="J294">
        <v>259.17129</v>
      </c>
      <c r="K294">
        <v>2208.4649180488886</v>
      </c>
      <c r="L294" s="277">
        <v>79.970485155304488</v>
      </c>
      <c r="M294">
        <v>2159.9046141631975</v>
      </c>
      <c r="N294">
        <v>78.212073224333622</v>
      </c>
      <c r="O294">
        <v>128</v>
      </c>
      <c r="P294">
        <v>41.7</v>
      </c>
      <c r="Q294">
        <v>100</v>
      </c>
      <c r="R294">
        <v>3</v>
      </c>
      <c r="S294" t="s">
        <v>54</v>
      </c>
      <c r="T294" t="s">
        <v>54</v>
      </c>
    </row>
    <row r="295" spans="1:20">
      <c r="A295" s="148">
        <v>45475</v>
      </c>
      <c r="B295">
        <v>19</v>
      </c>
      <c r="C295" t="s">
        <v>219</v>
      </c>
      <c r="D295">
        <v>2454.1999999999998</v>
      </c>
      <c r="H295" s="521">
        <v>223.43010000000001</v>
      </c>
      <c r="I295">
        <v>0.34411000000000003</v>
      </c>
      <c r="J295">
        <v>223.08599000000001</v>
      </c>
      <c r="K295">
        <v>1901.752150297337</v>
      </c>
      <c r="L295" s="277">
        <v>77.489697265803002</v>
      </c>
      <c r="M295">
        <v>1859.1737501332227</v>
      </c>
      <c r="N295">
        <v>75.754777529672523</v>
      </c>
      <c r="O295">
        <v>128</v>
      </c>
      <c r="P295">
        <v>41.7</v>
      </c>
      <c r="Q295">
        <v>100</v>
      </c>
      <c r="R295">
        <v>3</v>
      </c>
      <c r="S295" t="s">
        <v>54</v>
      </c>
      <c r="T295" t="s">
        <v>54</v>
      </c>
    </row>
    <row r="296" spans="1:20">
      <c r="A296" s="148">
        <v>45475</v>
      </c>
      <c r="B296">
        <v>20</v>
      </c>
      <c r="C296" t="s">
        <v>220</v>
      </c>
      <c r="D296">
        <v>2467.9</v>
      </c>
      <c r="H296" s="521">
        <v>217.23769999999999</v>
      </c>
      <c r="I296">
        <v>0.34411000000000003</v>
      </c>
      <c r="J296">
        <v>216.89358999999999</v>
      </c>
      <c r="K296">
        <v>1849.1188579864872</v>
      </c>
      <c r="L296" s="277">
        <v>74.926814619169619</v>
      </c>
      <c r="M296">
        <v>1807.5669794421315</v>
      </c>
      <c r="N296">
        <v>73.243120849391445</v>
      </c>
      <c r="O296">
        <v>128</v>
      </c>
      <c r="P296">
        <v>41.7</v>
      </c>
      <c r="Q296">
        <v>100</v>
      </c>
      <c r="R296">
        <v>3</v>
      </c>
      <c r="S296" t="s">
        <v>54</v>
      </c>
      <c r="T296" t="s">
        <v>54</v>
      </c>
    </row>
    <row r="297" spans="1:20">
      <c r="A297" s="148">
        <v>45475</v>
      </c>
      <c r="B297">
        <v>21</v>
      </c>
      <c r="C297" t="s">
        <v>74</v>
      </c>
      <c r="H297" s="521">
        <v>0.40789999999999998</v>
      </c>
      <c r="I297">
        <v>0.34411000000000003</v>
      </c>
      <c r="J297">
        <v>6.3789999999999958E-2</v>
      </c>
      <c r="K297">
        <v>6.1393597139106841</v>
      </c>
      <c r="M297">
        <v>0.53161874271440435</v>
      </c>
      <c r="N297" t="e">
        <v>#DIV/0!</v>
      </c>
      <c r="O297">
        <v>128</v>
      </c>
      <c r="P297">
        <v>41.7</v>
      </c>
      <c r="Q297">
        <v>100</v>
      </c>
      <c r="R297">
        <v>3</v>
      </c>
      <c r="S297" t="s">
        <v>54</v>
      </c>
      <c r="T297" t="s">
        <v>54</v>
      </c>
    </row>
    <row r="298" spans="1:20">
      <c r="A298" s="148">
        <v>45475</v>
      </c>
      <c r="B298">
        <v>22</v>
      </c>
      <c r="C298" t="s">
        <v>221</v>
      </c>
      <c r="D298">
        <v>2111</v>
      </c>
      <c r="H298" s="521">
        <v>197.1097</v>
      </c>
      <c r="I298">
        <v>0.34411000000000003</v>
      </c>
      <c r="J298">
        <v>196.76559</v>
      </c>
      <c r="K298">
        <v>1678.0377088952166</v>
      </c>
      <c r="L298" s="277">
        <v>79.490180430848724</v>
      </c>
      <c r="M298">
        <v>1639.8224731973357</v>
      </c>
      <c r="N298">
        <v>77.6798897772305</v>
      </c>
      <c r="O298">
        <v>128</v>
      </c>
      <c r="P298">
        <v>41.7</v>
      </c>
      <c r="Q298">
        <v>100</v>
      </c>
      <c r="R298">
        <v>3</v>
      </c>
      <c r="S298" t="s">
        <v>54</v>
      </c>
      <c r="T298" t="s">
        <v>54</v>
      </c>
    </row>
    <row r="299" spans="1:20">
      <c r="A299" s="148">
        <v>45475</v>
      </c>
      <c r="B299">
        <v>23</v>
      </c>
      <c r="C299" t="s">
        <v>222</v>
      </c>
      <c r="D299">
        <v>2014.6</v>
      </c>
      <c r="H299" s="521">
        <v>178.98779999999999</v>
      </c>
      <c r="I299">
        <v>0.34411000000000003</v>
      </c>
      <c r="J299">
        <v>178.64368999999999</v>
      </c>
      <c r="K299">
        <v>1524.0077269935323</v>
      </c>
      <c r="L299" s="277">
        <v>75.648154819494309</v>
      </c>
      <c r="M299">
        <v>1488.7965805245628</v>
      </c>
      <c r="N299">
        <v>73.900356424330525</v>
      </c>
      <c r="O299">
        <v>128</v>
      </c>
      <c r="P299">
        <v>41.7</v>
      </c>
      <c r="Q299">
        <v>100</v>
      </c>
      <c r="R299">
        <v>3</v>
      </c>
      <c r="S299" t="s">
        <v>54</v>
      </c>
      <c r="T299" t="s">
        <v>54</v>
      </c>
    </row>
    <row r="300" spans="1:20">
      <c r="A300" s="148">
        <v>45475</v>
      </c>
      <c r="B300">
        <v>24</v>
      </c>
      <c r="C300" t="s">
        <v>223</v>
      </c>
      <c r="D300">
        <v>2705.1</v>
      </c>
      <c r="H300" s="521">
        <v>212.4384</v>
      </c>
      <c r="I300">
        <v>0.34411000000000003</v>
      </c>
      <c r="J300">
        <v>212.09429</v>
      </c>
      <c r="K300">
        <v>1808.3264415102483</v>
      </c>
      <c r="L300" s="277">
        <v>66.848783464945782</v>
      </c>
      <c r="M300">
        <v>1767.5701487177353</v>
      </c>
      <c r="N300">
        <v>65.342137027013237</v>
      </c>
      <c r="O300">
        <v>128</v>
      </c>
      <c r="P300">
        <v>41.7</v>
      </c>
      <c r="Q300">
        <v>100</v>
      </c>
      <c r="R300">
        <v>3</v>
      </c>
      <c r="S300" t="s">
        <v>54</v>
      </c>
      <c r="T300" t="s">
        <v>54</v>
      </c>
    </row>
    <row r="301" spans="1:20">
      <c r="A301" s="148">
        <v>45475</v>
      </c>
      <c r="B301">
        <v>25</v>
      </c>
      <c r="C301" t="s">
        <v>224</v>
      </c>
      <c r="D301">
        <v>2458.8000000000002</v>
      </c>
      <c r="H301" s="521">
        <v>222.34630000000001</v>
      </c>
      <c r="I301">
        <v>0.34411000000000003</v>
      </c>
      <c r="J301">
        <v>222.00219000000001</v>
      </c>
      <c r="K301">
        <v>1892.5402191871863</v>
      </c>
      <c r="L301" s="277">
        <v>76.970075613599562</v>
      </c>
      <c r="M301">
        <v>1850.1414818567862</v>
      </c>
      <c r="N301">
        <v>75.245708551195136</v>
      </c>
      <c r="O301">
        <v>128</v>
      </c>
      <c r="P301">
        <v>41.7</v>
      </c>
      <c r="Q301">
        <v>100</v>
      </c>
      <c r="R301">
        <v>3</v>
      </c>
      <c r="S301" t="s">
        <v>54</v>
      </c>
      <c r="T301" t="s">
        <v>54</v>
      </c>
    </row>
    <row r="302" spans="1:20">
      <c r="A302" s="148">
        <v>45475</v>
      </c>
      <c r="B302">
        <v>28</v>
      </c>
      <c r="C302" t="s">
        <v>82</v>
      </c>
      <c r="H302" s="521">
        <v>0.27239999999999998</v>
      </c>
      <c r="I302">
        <v>0.34411000000000003</v>
      </c>
      <c r="J302">
        <v>-7.1710000000000051E-2</v>
      </c>
      <c r="K302">
        <v>4.9876558336509857</v>
      </c>
      <c r="M302">
        <v>-0.59762313905079145</v>
      </c>
      <c r="N302" t="e">
        <v>#DIV/0!</v>
      </c>
      <c r="O302">
        <v>128</v>
      </c>
      <c r="P302">
        <v>41.7</v>
      </c>
      <c r="Q302">
        <v>100</v>
      </c>
      <c r="R302">
        <v>3</v>
      </c>
      <c r="S302" t="s">
        <v>54</v>
      </c>
      <c r="T302" t="s">
        <v>54</v>
      </c>
    </row>
    <row r="303" spans="1:20">
      <c r="A303" s="148">
        <v>45475</v>
      </c>
      <c r="B303">
        <v>29</v>
      </c>
      <c r="C303" t="s">
        <v>225</v>
      </c>
      <c r="D303">
        <v>2065.6999999999998</v>
      </c>
      <c r="G303">
        <v>2065.2868599999997</v>
      </c>
      <c r="H303" s="521">
        <v>240.44</v>
      </c>
      <c r="I303">
        <v>0.34411000000000003</v>
      </c>
      <c r="J303">
        <v>240.09589</v>
      </c>
      <c r="K303">
        <v>2046.3305106872222</v>
      </c>
      <c r="L303" s="277">
        <v>99.08214448656409</v>
      </c>
      <c r="M303">
        <v>2000.9323588759366</v>
      </c>
      <c r="N303">
        <v>96.864615330199783</v>
      </c>
      <c r="O303">
        <v>128</v>
      </c>
      <c r="P303">
        <v>41.7</v>
      </c>
      <c r="Q303">
        <v>100</v>
      </c>
      <c r="R303">
        <v>3</v>
      </c>
      <c r="S303" t="s">
        <v>54</v>
      </c>
      <c r="T303" t="s">
        <v>54</v>
      </c>
    </row>
    <row r="304" spans="1:20">
      <c r="A304" s="148">
        <v>45475</v>
      </c>
      <c r="B304">
        <v>30</v>
      </c>
      <c r="C304" t="s">
        <v>84</v>
      </c>
      <c r="H304" s="521">
        <v>0.28239999999999998</v>
      </c>
      <c r="I304">
        <v>0.34411000000000003</v>
      </c>
      <c r="J304">
        <v>-6.1710000000000043E-2</v>
      </c>
      <c r="K304">
        <v>5.0726524299801152</v>
      </c>
      <c r="M304">
        <v>-0.51428425478767736</v>
      </c>
      <c r="N304" t="e">
        <v>#DIV/0!</v>
      </c>
      <c r="O304">
        <v>128</v>
      </c>
      <c r="P304">
        <v>41.7</v>
      </c>
      <c r="Q304">
        <v>100</v>
      </c>
      <c r="R304">
        <v>3</v>
      </c>
      <c r="S304" t="s">
        <v>54</v>
      </c>
      <c r="T304" t="s">
        <v>54</v>
      </c>
    </row>
    <row r="306" spans="1:20">
      <c r="A306" s="148" t="s">
        <v>226</v>
      </c>
      <c r="H306" s="521"/>
    </row>
    <row r="307" spans="1:20">
      <c r="A307" s="148" t="s">
        <v>38</v>
      </c>
      <c r="H307" s="521"/>
    </row>
    <row r="308" spans="1:20">
      <c r="A308" s="148" t="s">
        <v>227</v>
      </c>
      <c r="H308" s="521"/>
    </row>
    <row r="309" spans="1:20">
      <c r="A309" s="148">
        <v>45476</v>
      </c>
      <c r="B309">
        <v>1</v>
      </c>
      <c r="C309" t="s">
        <v>45</v>
      </c>
      <c r="H309" s="521">
        <v>0.3281</v>
      </c>
    </row>
    <row r="310" spans="1:20">
      <c r="A310" s="148">
        <v>45476</v>
      </c>
      <c r="B310">
        <v>2</v>
      </c>
      <c r="C310" t="s">
        <v>49</v>
      </c>
      <c r="H310" s="521">
        <v>0.28420000000000001</v>
      </c>
    </row>
    <row r="311" spans="1:20">
      <c r="A311" s="148">
        <v>45476</v>
      </c>
      <c r="B311">
        <v>3</v>
      </c>
      <c r="C311" t="s">
        <v>51</v>
      </c>
      <c r="G311">
        <v>0</v>
      </c>
      <c r="H311" s="521">
        <v>0.3266</v>
      </c>
      <c r="I311">
        <v>0.44518999999999992</v>
      </c>
      <c r="J311">
        <v>0.44518999999999992</v>
      </c>
    </row>
    <row r="312" spans="1:20">
      <c r="A312" s="148">
        <v>45476</v>
      </c>
      <c r="B312">
        <v>4</v>
      </c>
      <c r="C312" t="s">
        <v>228</v>
      </c>
      <c r="D312">
        <v>262.10000000000002</v>
      </c>
      <c r="G312">
        <v>262.04758000000004</v>
      </c>
      <c r="H312" s="521">
        <v>29.631599999999999</v>
      </c>
      <c r="I312">
        <v>0.44518999999999992</v>
      </c>
      <c r="J312">
        <v>29.186409999999999</v>
      </c>
      <c r="K312">
        <v>253.44949477855388</v>
      </c>
      <c r="L312" s="277">
        <v>96.718883944111923</v>
      </c>
      <c r="M312">
        <v>243.23628450457954</v>
      </c>
      <c r="N312">
        <v>92.821419875191935</v>
      </c>
      <c r="O312">
        <v>128</v>
      </c>
      <c r="P312">
        <v>41.7</v>
      </c>
      <c r="Q312">
        <v>100</v>
      </c>
      <c r="R312">
        <v>3</v>
      </c>
      <c r="S312" t="s">
        <v>54</v>
      </c>
      <c r="T312" t="s">
        <v>54</v>
      </c>
    </row>
    <row r="313" spans="1:20">
      <c r="A313" s="148">
        <v>45476</v>
      </c>
      <c r="B313">
        <v>5</v>
      </c>
      <c r="C313" t="s">
        <v>229</v>
      </c>
      <c r="D313">
        <v>1152.7</v>
      </c>
      <c r="G313">
        <v>1152.46946</v>
      </c>
      <c r="H313" s="521">
        <v>135.9563</v>
      </c>
      <c r="I313">
        <v>0.44518999999999992</v>
      </c>
      <c r="J313">
        <v>135.51111</v>
      </c>
      <c r="K313">
        <v>1155.2031793237131</v>
      </c>
      <c r="L313" s="277">
        <v>100.23720535932581</v>
      </c>
      <c r="M313">
        <v>1129.3344712656119</v>
      </c>
      <c r="N313">
        <v>97.992572511692586</v>
      </c>
      <c r="O313">
        <v>128</v>
      </c>
      <c r="P313">
        <v>41.7</v>
      </c>
      <c r="Q313">
        <v>100</v>
      </c>
      <c r="R313">
        <v>3</v>
      </c>
      <c r="S313" t="s">
        <v>54</v>
      </c>
      <c r="T313" t="s">
        <v>54</v>
      </c>
    </row>
    <row r="314" spans="1:20">
      <c r="A314" s="148">
        <v>45476</v>
      </c>
      <c r="B314">
        <v>6</v>
      </c>
      <c r="C314" t="s">
        <v>230</v>
      </c>
      <c r="D314">
        <v>2123.9</v>
      </c>
      <c r="G314">
        <v>2123.4752200000003</v>
      </c>
      <c r="H314" s="521">
        <v>249.3151</v>
      </c>
      <c r="I314">
        <v>0.44518999999999992</v>
      </c>
      <c r="J314">
        <v>248.86991</v>
      </c>
      <c r="K314">
        <v>2116.6139858025253</v>
      </c>
      <c r="L314" s="277">
        <v>99.67688654273654</v>
      </c>
      <c r="M314">
        <v>2074.054062606162</v>
      </c>
      <c r="N314">
        <v>97.67262848521311</v>
      </c>
      <c r="O314">
        <v>128</v>
      </c>
      <c r="P314">
        <v>41.7</v>
      </c>
      <c r="Q314">
        <v>100</v>
      </c>
      <c r="R314">
        <v>3</v>
      </c>
      <c r="S314" t="s">
        <v>54</v>
      </c>
      <c r="T314" t="s">
        <v>54</v>
      </c>
    </row>
    <row r="315" spans="1:20">
      <c r="A315" s="148">
        <v>45476</v>
      </c>
      <c r="B315">
        <v>7</v>
      </c>
      <c r="C315" t="s">
        <v>231</v>
      </c>
      <c r="D315">
        <v>2994.9</v>
      </c>
      <c r="G315">
        <v>2994.3010200000003</v>
      </c>
      <c r="H315" s="521">
        <v>351.94749999999999</v>
      </c>
      <c r="I315">
        <v>0.44518999999999992</v>
      </c>
      <c r="J315">
        <v>351.50230999999997</v>
      </c>
      <c r="K315">
        <v>2987.0527912138041</v>
      </c>
      <c r="L315" s="277">
        <v>99.757932527899413</v>
      </c>
      <c r="M315">
        <v>2929.3810331307245</v>
      </c>
      <c r="N315">
        <v>97.83188175017635</v>
      </c>
      <c r="O315">
        <v>128</v>
      </c>
      <c r="P315">
        <v>41.7</v>
      </c>
      <c r="Q315">
        <v>100</v>
      </c>
      <c r="R315">
        <v>3</v>
      </c>
      <c r="S315" t="s">
        <v>54</v>
      </c>
      <c r="T315" t="s">
        <v>54</v>
      </c>
    </row>
    <row r="316" spans="1:20">
      <c r="A316" s="148">
        <v>45476</v>
      </c>
      <c r="B316">
        <v>8</v>
      </c>
      <c r="C316" t="s">
        <v>232</v>
      </c>
      <c r="D316">
        <v>3441.1</v>
      </c>
      <c r="G316">
        <v>3440.4117799999999</v>
      </c>
      <c r="H316" s="521">
        <v>406.61489999999998</v>
      </c>
      <c r="I316">
        <v>0.44518999999999992</v>
      </c>
      <c r="J316">
        <v>406.16970999999995</v>
      </c>
      <c r="K316">
        <v>3450.6941593484335</v>
      </c>
      <c r="L316" s="277">
        <v>100.29887060055449</v>
      </c>
      <c r="M316">
        <v>3384.9730452872604</v>
      </c>
      <c r="N316">
        <v>98.388601764619594</v>
      </c>
      <c r="O316">
        <v>128</v>
      </c>
      <c r="P316">
        <v>41.7</v>
      </c>
      <c r="Q316">
        <v>100</v>
      </c>
      <c r="R316">
        <v>3</v>
      </c>
      <c r="S316" t="s">
        <v>54</v>
      </c>
      <c r="T316" t="s">
        <v>54</v>
      </c>
    </row>
    <row r="317" spans="1:20">
      <c r="A317" s="148">
        <v>45476</v>
      </c>
      <c r="B317">
        <v>9</v>
      </c>
      <c r="C317" t="s">
        <v>61</v>
      </c>
      <c r="H317" s="521">
        <v>0.4602</v>
      </c>
      <c r="I317">
        <v>0.44518999999999992</v>
      </c>
      <c r="J317">
        <v>1.5010000000000079E-2</v>
      </c>
      <c r="K317">
        <v>6.0430366992867395</v>
      </c>
      <c r="O317">
        <v>128</v>
      </c>
      <c r="P317">
        <v>41.7</v>
      </c>
      <c r="Q317">
        <v>100</v>
      </c>
      <c r="R317">
        <v>3</v>
      </c>
      <c r="S317" t="s">
        <v>54</v>
      </c>
      <c r="T317" t="s">
        <v>54</v>
      </c>
    </row>
    <row r="318" spans="1:20">
      <c r="A318" s="148">
        <v>45476</v>
      </c>
      <c r="B318">
        <v>10</v>
      </c>
      <c r="C318" t="s">
        <v>63</v>
      </c>
      <c r="H318" s="521">
        <v>0.43269999999999997</v>
      </c>
      <c r="I318">
        <v>0.44518999999999992</v>
      </c>
      <c r="J318">
        <v>-1.2489999999999946E-2</v>
      </c>
      <c r="K318">
        <v>5.8098056031727427</v>
      </c>
      <c r="O318">
        <v>128</v>
      </c>
      <c r="P318">
        <v>41.7</v>
      </c>
      <c r="Q318">
        <v>100</v>
      </c>
      <c r="R318">
        <v>3</v>
      </c>
      <c r="S318" t="s">
        <v>54</v>
      </c>
      <c r="T318" t="s">
        <v>54</v>
      </c>
    </row>
    <row r="319" spans="1:20">
      <c r="A319" s="148">
        <v>45476</v>
      </c>
      <c r="B319">
        <v>11</v>
      </c>
      <c r="C319" t="s">
        <v>214</v>
      </c>
      <c r="D319">
        <v>1060.2</v>
      </c>
      <c r="H319" s="521">
        <v>103.9324</v>
      </c>
      <c r="I319">
        <v>0.44518999999999992</v>
      </c>
      <c r="J319">
        <v>103.48721</v>
      </c>
      <c r="K319">
        <v>883.60429572934868</v>
      </c>
      <c r="L319" s="277">
        <v>83.343170696976856</v>
      </c>
      <c r="M319">
        <v>862.45086169025819</v>
      </c>
      <c r="N319">
        <v>81.347940170746853</v>
      </c>
      <c r="O319">
        <v>128</v>
      </c>
      <c r="P319">
        <v>41.7</v>
      </c>
      <c r="Q319">
        <v>100</v>
      </c>
      <c r="R319">
        <v>3</v>
      </c>
      <c r="S319" t="s">
        <v>54</v>
      </c>
      <c r="T319" t="s">
        <v>54</v>
      </c>
    </row>
    <row r="320" spans="1:20">
      <c r="A320" s="148">
        <v>45476</v>
      </c>
      <c r="B320">
        <v>12</v>
      </c>
      <c r="C320" t="s">
        <v>214</v>
      </c>
      <c r="D320">
        <v>2195.3000000000002</v>
      </c>
      <c r="H320" s="521">
        <v>213.45249999999999</v>
      </c>
      <c r="I320">
        <v>0.44518999999999992</v>
      </c>
      <c r="J320">
        <v>213.00730999999999</v>
      </c>
      <c r="K320">
        <v>1812.4585855298774</v>
      </c>
      <c r="L320" s="277">
        <v>82.560861182065196</v>
      </c>
      <c r="M320">
        <v>1775.1791555287259</v>
      </c>
      <c r="N320">
        <v>80.862713776191214</v>
      </c>
      <c r="O320">
        <v>128</v>
      </c>
      <c r="P320">
        <v>41.7</v>
      </c>
      <c r="Q320">
        <v>100</v>
      </c>
      <c r="R320">
        <v>3</v>
      </c>
      <c r="S320" t="s">
        <v>54</v>
      </c>
      <c r="T320" t="s">
        <v>54</v>
      </c>
    </row>
    <row r="321" spans="1:20">
      <c r="A321" s="148">
        <v>45476</v>
      </c>
      <c r="B321">
        <v>13</v>
      </c>
      <c r="C321" t="s">
        <v>64</v>
      </c>
      <c r="D321">
        <v>993.4</v>
      </c>
      <c r="H321" s="521">
        <v>15.8315</v>
      </c>
      <c r="I321">
        <v>0.44518999999999992</v>
      </c>
      <c r="J321">
        <v>15.38631</v>
      </c>
      <c r="K321">
        <v>136.40904207008964</v>
      </c>
      <c r="L321" s="277">
        <v>13.731532320323097</v>
      </c>
      <c r="M321">
        <v>128.22779083263947</v>
      </c>
      <c r="N321">
        <v>12.907971696460587</v>
      </c>
      <c r="O321">
        <v>128</v>
      </c>
      <c r="P321">
        <v>41.7</v>
      </c>
      <c r="Q321">
        <v>100</v>
      </c>
      <c r="R321">
        <v>3</v>
      </c>
      <c r="S321" t="s">
        <v>54</v>
      </c>
      <c r="T321" t="s">
        <v>54</v>
      </c>
    </row>
    <row r="322" spans="1:20">
      <c r="A322" s="148">
        <v>45476</v>
      </c>
      <c r="B322">
        <v>14</v>
      </c>
      <c r="C322" t="s">
        <v>64</v>
      </c>
      <c r="D322">
        <v>1989.8</v>
      </c>
      <c r="H322" s="521">
        <v>31.883400000000002</v>
      </c>
      <c r="I322">
        <v>0.44518999999999992</v>
      </c>
      <c r="J322">
        <v>31.438210000000002</v>
      </c>
      <c r="K322">
        <v>272.5473050414447</v>
      </c>
      <c r="L322" s="277">
        <v>13.697221079578084</v>
      </c>
      <c r="M322">
        <v>262.00253446294755</v>
      </c>
      <c r="N322">
        <v>13.167279850384338</v>
      </c>
      <c r="O322">
        <v>128</v>
      </c>
      <c r="P322">
        <v>41.7</v>
      </c>
      <c r="Q322">
        <v>100</v>
      </c>
      <c r="R322">
        <v>3</v>
      </c>
      <c r="S322" t="s">
        <v>54</v>
      </c>
      <c r="T322" t="s">
        <v>54</v>
      </c>
    </row>
    <row r="323" spans="1:20">
      <c r="A323" s="148">
        <v>45476</v>
      </c>
      <c r="B323">
        <v>15</v>
      </c>
      <c r="C323" t="s">
        <v>215</v>
      </c>
      <c r="H323" s="521">
        <v>0.51870000000000005</v>
      </c>
      <c r="I323">
        <v>0.44518999999999992</v>
      </c>
      <c r="J323">
        <v>7.3510000000000131E-2</v>
      </c>
      <c r="K323">
        <v>6.5391828492019703</v>
      </c>
      <c r="M323">
        <v>0.61262413821815265</v>
      </c>
      <c r="N323" t="e">
        <v>#DIV/0!</v>
      </c>
      <c r="O323">
        <v>128</v>
      </c>
      <c r="P323">
        <v>41.7</v>
      </c>
      <c r="Q323">
        <v>100</v>
      </c>
      <c r="R323">
        <v>3</v>
      </c>
      <c r="S323" t="s">
        <v>54</v>
      </c>
      <c r="T323" t="s">
        <v>54</v>
      </c>
    </row>
    <row r="324" spans="1:20">
      <c r="A324" s="148">
        <v>45476</v>
      </c>
      <c r="B324">
        <v>16</v>
      </c>
      <c r="C324" t="s">
        <v>216</v>
      </c>
      <c r="H324" s="521">
        <v>0.2757</v>
      </c>
      <c r="I324">
        <v>0.44518999999999992</v>
      </c>
      <c r="J324">
        <v>-0.16948999999999992</v>
      </c>
      <c r="K324">
        <v>4.4782680726310158</v>
      </c>
      <c r="M324">
        <v>-1.4125107493755196</v>
      </c>
      <c r="N324" t="e">
        <v>#DIV/0!</v>
      </c>
      <c r="O324">
        <v>128</v>
      </c>
      <c r="P324">
        <v>41.7</v>
      </c>
      <c r="Q324">
        <v>100</v>
      </c>
      <c r="R324">
        <v>3</v>
      </c>
      <c r="S324" t="s">
        <v>54</v>
      </c>
      <c r="T324" t="s">
        <v>54</v>
      </c>
    </row>
    <row r="325" spans="1:20">
      <c r="A325" s="148">
        <v>45476</v>
      </c>
      <c r="B325">
        <v>17</v>
      </c>
      <c r="C325" t="s">
        <v>233</v>
      </c>
      <c r="D325">
        <v>2062.6999999999998</v>
      </c>
      <c r="H325" s="521">
        <v>183.1634</v>
      </c>
      <c r="I325">
        <v>0.44518999999999992</v>
      </c>
      <c r="J325">
        <v>182.71821</v>
      </c>
      <c r="K325">
        <v>1555.5727675914607</v>
      </c>
      <c r="L325" s="277">
        <v>75.414397032601002</v>
      </c>
      <c r="M325">
        <v>1522.7531755953373</v>
      </c>
      <c r="N325">
        <v>73.823298375689021</v>
      </c>
      <c r="O325">
        <v>128</v>
      </c>
      <c r="P325">
        <v>41.7</v>
      </c>
      <c r="Q325">
        <v>100</v>
      </c>
      <c r="R325">
        <v>3</v>
      </c>
      <c r="S325" t="s">
        <v>54</v>
      </c>
      <c r="T325" t="s">
        <v>54</v>
      </c>
    </row>
    <row r="326" spans="1:20">
      <c r="A326" s="148">
        <v>45476</v>
      </c>
      <c r="B326">
        <v>18</v>
      </c>
      <c r="C326" t="s">
        <v>234</v>
      </c>
      <c r="D326">
        <v>3021.4</v>
      </c>
      <c r="H326" s="521">
        <v>264.02839999999998</v>
      </c>
      <c r="I326">
        <v>0.44518999999999992</v>
      </c>
      <c r="J326">
        <v>263.58320999999995</v>
      </c>
      <c r="K326">
        <v>2241.3994071281277</v>
      </c>
      <c r="L326" s="277">
        <v>74.184133419213865</v>
      </c>
      <c r="M326">
        <v>2196.6730631890086</v>
      </c>
      <c r="N326">
        <v>72.703814893394082</v>
      </c>
      <c r="O326">
        <v>128</v>
      </c>
      <c r="P326">
        <v>41.7</v>
      </c>
      <c r="Q326">
        <v>100</v>
      </c>
      <c r="R326">
        <v>3</v>
      </c>
      <c r="S326" t="s">
        <v>54</v>
      </c>
      <c r="T326" t="s">
        <v>54</v>
      </c>
    </row>
    <row r="327" spans="1:20">
      <c r="A327" s="148">
        <v>45476</v>
      </c>
      <c r="B327">
        <v>19</v>
      </c>
      <c r="C327" t="s">
        <v>235</v>
      </c>
      <c r="D327">
        <v>2106.6</v>
      </c>
      <c r="H327" s="521">
        <v>178.91399999999999</v>
      </c>
      <c r="I327">
        <v>0.44518999999999992</v>
      </c>
      <c r="J327">
        <v>178.46880999999999</v>
      </c>
      <c r="K327">
        <v>1519.5330505068491</v>
      </c>
      <c r="L327" s="277">
        <v>72.132016068871607</v>
      </c>
      <c r="M327">
        <v>1487.3391501165695</v>
      </c>
      <c r="N327">
        <v>70.603776232629329</v>
      </c>
      <c r="O327">
        <v>128</v>
      </c>
      <c r="P327">
        <v>41.7</v>
      </c>
      <c r="Q327">
        <v>100</v>
      </c>
      <c r="R327">
        <v>3</v>
      </c>
      <c r="S327" t="s">
        <v>54</v>
      </c>
      <c r="T327" t="s">
        <v>54</v>
      </c>
    </row>
    <row r="328" spans="1:20">
      <c r="A328" s="148">
        <v>45476</v>
      </c>
      <c r="B328">
        <v>20</v>
      </c>
      <c r="C328" t="s">
        <v>236</v>
      </c>
      <c r="D328">
        <v>2510.6</v>
      </c>
      <c r="H328" s="521">
        <v>215.43109999999999</v>
      </c>
      <c r="I328">
        <v>0.44518999999999992</v>
      </c>
      <c r="J328">
        <v>214.98590999999999</v>
      </c>
      <c r="K328">
        <v>1829.2393508670102</v>
      </c>
      <c r="L328" s="277">
        <v>72.860644900303129</v>
      </c>
      <c r="M328">
        <v>1791.6685871690256</v>
      </c>
      <c r="N328">
        <v>71.364159450690096</v>
      </c>
      <c r="O328">
        <v>128</v>
      </c>
      <c r="P328">
        <v>41.7</v>
      </c>
      <c r="Q328">
        <v>100</v>
      </c>
      <c r="R328">
        <v>3</v>
      </c>
      <c r="S328" t="s">
        <v>54</v>
      </c>
      <c r="T328" t="s">
        <v>54</v>
      </c>
    </row>
    <row r="329" spans="1:20">
      <c r="A329" s="148">
        <v>45476</v>
      </c>
      <c r="B329">
        <v>21</v>
      </c>
      <c r="C329" t="s">
        <v>74</v>
      </c>
      <c r="H329" s="521">
        <v>0.28949999999999998</v>
      </c>
      <c r="I329">
        <v>0.44518999999999992</v>
      </c>
      <c r="J329">
        <v>-0.15568999999999994</v>
      </c>
      <c r="K329">
        <v>4.595307677226403</v>
      </c>
      <c r="M329">
        <v>-1.2975030890924226</v>
      </c>
      <c r="N329" t="e">
        <v>#DIV/0!</v>
      </c>
      <c r="O329">
        <v>128</v>
      </c>
      <c r="P329">
        <v>41.7</v>
      </c>
      <c r="Q329">
        <v>100</v>
      </c>
      <c r="R329">
        <v>3</v>
      </c>
      <c r="S329" t="s">
        <v>54</v>
      </c>
      <c r="T329" t="s">
        <v>54</v>
      </c>
    </row>
    <row r="330" spans="1:20">
      <c r="A330" s="148">
        <v>45476</v>
      </c>
      <c r="B330">
        <v>22</v>
      </c>
      <c r="C330" t="s">
        <v>237</v>
      </c>
      <c r="D330">
        <v>2980.2</v>
      </c>
      <c r="H330" s="521">
        <v>260.60300000000001</v>
      </c>
      <c r="I330">
        <v>0.44518999999999992</v>
      </c>
      <c r="J330">
        <v>260.15780999999998</v>
      </c>
      <c r="K330">
        <v>2212.3481417961684</v>
      </c>
      <c r="L330" s="277">
        <v>74.234888322802789</v>
      </c>
      <c r="M330">
        <v>2168.1261617735222</v>
      </c>
      <c r="N330">
        <v>72.751028849524275</v>
      </c>
      <c r="O330">
        <v>128</v>
      </c>
      <c r="P330">
        <v>41.7</v>
      </c>
      <c r="Q330">
        <v>100</v>
      </c>
      <c r="R330">
        <v>3</v>
      </c>
      <c r="S330" t="s">
        <v>54</v>
      </c>
      <c r="T330" t="s">
        <v>54</v>
      </c>
    </row>
    <row r="331" spans="1:20">
      <c r="A331" s="148">
        <v>45476</v>
      </c>
      <c r="B331">
        <v>23</v>
      </c>
      <c r="C331" t="s">
        <v>238</v>
      </c>
      <c r="D331">
        <v>2635.4</v>
      </c>
      <c r="H331" s="521">
        <v>239.1722</v>
      </c>
      <c r="I331">
        <v>0.44518999999999992</v>
      </c>
      <c r="J331">
        <v>238.72701000000001</v>
      </c>
      <c r="K331">
        <v>2030.5907245379926</v>
      </c>
      <c r="L331" s="277">
        <v>77.050570104651754</v>
      </c>
      <c r="M331">
        <v>1989.5242656869277</v>
      </c>
      <c r="N331">
        <v>75.492307265953087</v>
      </c>
      <c r="O331">
        <v>128</v>
      </c>
      <c r="P331">
        <v>41.7</v>
      </c>
      <c r="Q331">
        <v>100</v>
      </c>
      <c r="R331">
        <v>3</v>
      </c>
      <c r="S331" t="s">
        <v>54</v>
      </c>
      <c r="T331" t="s">
        <v>54</v>
      </c>
    </row>
    <row r="332" spans="1:20">
      <c r="A332" s="148">
        <v>45476</v>
      </c>
      <c r="B332">
        <v>24</v>
      </c>
      <c r="C332" t="s">
        <v>239</v>
      </c>
      <c r="D332">
        <v>2910.4</v>
      </c>
      <c r="H332" s="521">
        <v>260.19740000000002</v>
      </c>
      <c r="I332">
        <v>0.44518999999999992</v>
      </c>
      <c r="J332">
        <v>259.75220999999999</v>
      </c>
      <c r="K332">
        <v>2208.9081951567564</v>
      </c>
      <c r="L332" s="277">
        <v>75.89706552902544</v>
      </c>
      <c r="M332">
        <v>2164.7459366278104</v>
      </c>
      <c r="N332">
        <v>74.379670719757087</v>
      </c>
      <c r="O332">
        <v>128</v>
      </c>
      <c r="P332">
        <v>41.7</v>
      </c>
      <c r="Q332">
        <v>100</v>
      </c>
      <c r="R332">
        <v>3</v>
      </c>
      <c r="S332" t="s">
        <v>54</v>
      </c>
      <c r="T332" t="s">
        <v>54</v>
      </c>
    </row>
    <row r="333" spans="1:20">
      <c r="A333" s="148">
        <v>45476</v>
      </c>
      <c r="B333">
        <v>28</v>
      </c>
      <c r="C333" t="s">
        <v>82</v>
      </c>
      <c r="H333" s="521">
        <v>0.51429999999999998</v>
      </c>
      <c r="I333">
        <v>0.44518999999999992</v>
      </c>
      <c r="J333">
        <v>6.911000000000006E-2</v>
      </c>
      <c r="K333">
        <v>6.5018658738237285</v>
      </c>
      <c r="M333">
        <v>0.57595502914238184</v>
      </c>
      <c r="N333" t="e">
        <v>#DIV/0!</v>
      </c>
      <c r="O333">
        <v>128</v>
      </c>
      <c r="P333">
        <v>41.7</v>
      </c>
      <c r="Q333">
        <v>100</v>
      </c>
      <c r="R333">
        <v>3</v>
      </c>
      <c r="S333" t="s">
        <v>54</v>
      </c>
      <c r="T333" t="s">
        <v>54</v>
      </c>
    </row>
    <row r="334" spans="1:20">
      <c r="A334" s="148">
        <v>45476</v>
      </c>
      <c r="B334">
        <v>29</v>
      </c>
      <c r="C334" t="s">
        <v>240</v>
      </c>
      <c r="D334">
        <v>2056.1999999999998</v>
      </c>
      <c r="G334">
        <v>2055.7887599999999</v>
      </c>
      <c r="H334" s="521">
        <v>242.22489999999999</v>
      </c>
      <c r="I334">
        <v>0.44518999999999992</v>
      </c>
      <c r="J334">
        <v>241.77970999999999</v>
      </c>
      <c r="K334">
        <v>2056.4810724327995</v>
      </c>
      <c r="L334" s="277">
        <v>100.03367624370121</v>
      </c>
      <c r="M334">
        <v>2014.9651268859284</v>
      </c>
      <c r="N334">
        <v>97.994607863336668</v>
      </c>
      <c r="O334">
        <v>128</v>
      </c>
      <c r="P334">
        <v>41.7</v>
      </c>
      <c r="Q334">
        <v>100</v>
      </c>
      <c r="R334">
        <v>3</v>
      </c>
      <c r="S334" t="s">
        <v>54</v>
      </c>
      <c r="T334" t="s">
        <v>54</v>
      </c>
    </row>
    <row r="335" spans="1:20">
      <c r="A335" s="148">
        <v>45476</v>
      </c>
      <c r="B335">
        <v>30</v>
      </c>
      <c r="C335" t="s">
        <v>84</v>
      </c>
      <c r="H335" s="521">
        <v>1.0219</v>
      </c>
      <c r="I335">
        <v>0.44518999999999992</v>
      </c>
      <c r="J335">
        <v>0.57671000000000006</v>
      </c>
      <c r="K335">
        <v>10.806887851549721</v>
      </c>
      <c r="M335">
        <v>4.8062367943380524</v>
      </c>
      <c r="N335" t="e">
        <v>#DIV/0!</v>
      </c>
      <c r="O335">
        <v>128</v>
      </c>
      <c r="P335">
        <v>41.7</v>
      </c>
      <c r="Q335">
        <v>100</v>
      </c>
      <c r="R335">
        <v>3</v>
      </c>
      <c r="S335" t="s">
        <v>54</v>
      </c>
      <c r="T335" t="s">
        <v>54</v>
      </c>
    </row>
  </sheetData>
  <mergeCells count="4">
    <mergeCell ref="AJ4:AJ6"/>
    <mergeCell ref="X6:Y6"/>
    <mergeCell ref="K3:L3"/>
    <mergeCell ref="M3:N3"/>
  </mergeCells>
  <phoneticPr fontId="15" type="noConversion"/>
  <pageMargins left="0.7" right="0.7" top="0.75" bottom="0.75" header="0.3" footer="0.3"/>
  <pageSetup paperSize="9"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D34E1-0F53-4D16-9809-795856355457}">
  <dimension ref="A1:Z128"/>
  <sheetViews>
    <sheetView topLeftCell="A84" zoomScaleNormal="100" workbookViewId="0">
      <selection activeCell="E118" activeCellId="3" sqref="E103 E110 E111 E118"/>
    </sheetView>
  </sheetViews>
  <sheetFormatPr defaultRowHeight="14.5"/>
  <cols>
    <col min="1" max="1" width="9.81640625" bestFit="1" customWidth="1"/>
    <col min="2" max="2" width="12.453125" customWidth="1"/>
    <col min="7" max="7" width="17.54296875" bestFit="1" customWidth="1"/>
    <col min="8" max="8" width="12.453125" bestFit="1" customWidth="1"/>
    <col min="9" max="9" width="4.453125" bestFit="1" customWidth="1"/>
    <col min="10" max="10" width="12.54296875" bestFit="1" customWidth="1"/>
    <col min="11" max="11" width="7" bestFit="1" customWidth="1"/>
    <col min="12" max="12" width="13.7265625" bestFit="1" customWidth="1"/>
    <col min="21" max="21" width="10.7265625" style="148" bestFit="1" customWidth="1"/>
    <col min="22" max="22" width="13.7265625" bestFit="1" customWidth="1"/>
    <col min="25" max="25" width="12.1796875" bestFit="1" customWidth="1"/>
  </cols>
  <sheetData>
    <row r="1" spans="1:24">
      <c r="A1" s="228" t="s">
        <v>395</v>
      </c>
      <c r="B1" s="229" t="s">
        <v>3115</v>
      </c>
      <c r="C1" s="229" t="s">
        <v>3236</v>
      </c>
      <c r="D1" s="229" t="s">
        <v>3237</v>
      </c>
      <c r="E1" s="229" t="s">
        <v>3238</v>
      </c>
      <c r="F1" s="230" t="s">
        <v>3239</v>
      </c>
      <c r="G1" s="243" t="s">
        <v>395</v>
      </c>
      <c r="H1" s="243" t="s">
        <v>1</v>
      </c>
      <c r="I1" s="243" t="s">
        <v>3240</v>
      </c>
      <c r="J1" s="243" t="s">
        <v>3241</v>
      </c>
      <c r="M1" s="38" t="s">
        <v>3242</v>
      </c>
      <c r="N1" s="38"/>
    </row>
    <row r="2" spans="1:24">
      <c r="A2" s="231" t="s">
        <v>3243</v>
      </c>
      <c r="B2" s="232" t="s">
        <v>3244</v>
      </c>
      <c r="C2" s="232" t="s">
        <v>3245</v>
      </c>
      <c r="D2" s="232" t="s">
        <v>3246</v>
      </c>
      <c r="E2" s="232" t="s">
        <v>3246</v>
      </c>
      <c r="F2" s="233" t="s">
        <v>3246</v>
      </c>
      <c r="G2" s="313">
        <v>2022</v>
      </c>
      <c r="H2" s="314" t="s">
        <v>3247</v>
      </c>
      <c r="I2" s="313"/>
      <c r="M2" s="38"/>
      <c r="N2" s="38"/>
      <c r="W2" s="148"/>
    </row>
    <row r="3" spans="1:24">
      <c r="A3" s="231" t="s">
        <v>3248</v>
      </c>
      <c r="B3" s="232" t="s">
        <v>3244</v>
      </c>
      <c r="C3" s="232" t="s">
        <v>3249</v>
      </c>
      <c r="D3" s="232">
        <v>0.92014843225479126</v>
      </c>
      <c r="E3" s="232">
        <v>14.150093078613281</v>
      </c>
      <c r="F3" s="233">
        <v>0.77868545055389404</v>
      </c>
      <c r="G3" t="s">
        <v>3250</v>
      </c>
      <c r="H3" s="322">
        <v>3.0847000000000002</v>
      </c>
      <c r="I3">
        <f>E3/D3</f>
        <v>15.378054868755227</v>
      </c>
      <c r="L3" s="148"/>
      <c r="M3" s="38" t="s">
        <v>3251</v>
      </c>
      <c r="N3" s="38" t="s">
        <v>3252</v>
      </c>
      <c r="W3" s="148"/>
      <c r="X3" s="148"/>
    </row>
    <row r="4" spans="1:24">
      <c r="A4" s="231" t="s">
        <v>3253</v>
      </c>
      <c r="B4" s="232" t="s">
        <v>3244</v>
      </c>
      <c r="C4" s="232" t="s">
        <v>3254</v>
      </c>
      <c r="D4" s="232">
        <v>0.86944180727005005</v>
      </c>
      <c r="E4" s="232">
        <v>14.103673934936523</v>
      </c>
      <c r="F4" s="233">
        <v>0.76273900270462036</v>
      </c>
      <c r="G4" t="s">
        <v>3255</v>
      </c>
      <c r="H4" s="323">
        <v>2.9820000000000002</v>
      </c>
      <c r="I4">
        <f>E4/D4</f>
        <v>16.221527210913035</v>
      </c>
      <c r="W4" s="148"/>
      <c r="X4" s="148"/>
    </row>
    <row r="5" spans="1:24">
      <c r="A5" s="231" t="s">
        <v>3256</v>
      </c>
      <c r="B5" s="232" t="s">
        <v>3244</v>
      </c>
      <c r="C5" s="232" t="s">
        <v>3257</v>
      </c>
      <c r="D5" s="232">
        <v>1.1249848604202271</v>
      </c>
      <c r="E5" s="232">
        <v>14.953019142150879</v>
      </c>
      <c r="F5" s="233">
        <v>1.0198506116867065</v>
      </c>
      <c r="G5" t="s">
        <v>3258</v>
      </c>
      <c r="H5" s="323">
        <v>2.8536000000000001</v>
      </c>
      <c r="I5">
        <f t="shared" ref="I5:I71" si="0">E5/D5</f>
        <v>13.291751443273046</v>
      </c>
      <c r="W5" s="148"/>
      <c r="X5" s="148"/>
    </row>
    <row r="6" spans="1:24">
      <c r="A6" s="273" t="s">
        <v>3259</v>
      </c>
      <c r="B6" s="274" t="s">
        <v>3244</v>
      </c>
      <c r="C6" s="274" t="s">
        <v>3260</v>
      </c>
      <c r="D6" s="275">
        <v>5.0349807739257813</v>
      </c>
      <c r="E6" s="275">
        <v>30.813896179199219</v>
      </c>
      <c r="F6" s="276">
        <v>3.990206241607666</v>
      </c>
      <c r="G6" s="277" t="s">
        <v>3261</v>
      </c>
      <c r="H6" s="323">
        <v>2.7978999999999998</v>
      </c>
      <c r="I6" s="277">
        <f t="shared" si="0"/>
        <v>6.1199630272219654</v>
      </c>
      <c r="J6" s="277"/>
      <c r="K6" s="306" t="s">
        <v>3262</v>
      </c>
      <c r="W6" s="148"/>
      <c r="X6" s="148"/>
    </row>
    <row r="7" spans="1:24">
      <c r="A7" s="273" t="s">
        <v>3263</v>
      </c>
      <c r="B7" s="274" t="s">
        <v>3244</v>
      </c>
      <c r="C7" s="274" t="s">
        <v>3264</v>
      </c>
      <c r="D7" s="275">
        <v>2.7771925926208496</v>
      </c>
      <c r="E7" s="275">
        <v>20.211074829101563</v>
      </c>
      <c r="F7" s="276">
        <v>2.0656507015228271</v>
      </c>
      <c r="G7" s="277" t="s">
        <v>3265</v>
      </c>
      <c r="H7" s="323">
        <v>2.6848000000000001</v>
      </c>
      <c r="I7" s="277">
        <f t="shared" si="0"/>
        <v>7.2775200692971307</v>
      </c>
      <c r="J7" s="277"/>
      <c r="K7" s="307" t="s">
        <v>3266</v>
      </c>
      <c r="W7" s="148"/>
      <c r="X7" s="148"/>
    </row>
    <row r="8" spans="1:24">
      <c r="A8" s="231" t="s">
        <v>3267</v>
      </c>
      <c r="B8" s="232" t="s">
        <v>3244</v>
      </c>
      <c r="C8" s="232" t="s">
        <v>3268</v>
      </c>
      <c r="D8" s="232">
        <v>1.430580735206604</v>
      </c>
      <c r="E8" s="232">
        <v>14.441088676452637</v>
      </c>
      <c r="F8" s="233">
        <v>1.1391545534133911</v>
      </c>
      <c r="G8" t="s">
        <v>3269</v>
      </c>
      <c r="H8" s="323">
        <v>2.9089999999999998</v>
      </c>
      <c r="I8">
        <f t="shared" si="0"/>
        <v>10.094563921530133</v>
      </c>
      <c r="W8" s="148"/>
      <c r="X8" s="148"/>
    </row>
    <row r="9" spans="1:24">
      <c r="A9" s="231" t="s">
        <v>3270</v>
      </c>
      <c r="B9" s="232" t="s">
        <v>3244</v>
      </c>
      <c r="C9" s="232" t="s">
        <v>3271</v>
      </c>
      <c r="D9" s="232">
        <v>1.3329753875732422</v>
      </c>
      <c r="E9" s="232">
        <v>16.339384078979492</v>
      </c>
      <c r="F9" s="233">
        <v>1.1822478771209717</v>
      </c>
      <c r="G9" t="s">
        <v>3272</v>
      </c>
      <c r="H9" s="323">
        <v>2.3620000000000001</v>
      </c>
      <c r="I9">
        <f t="shared" si="0"/>
        <v>12.257828787616457</v>
      </c>
      <c r="W9" s="148"/>
      <c r="X9" s="148"/>
    </row>
    <row r="10" spans="1:24" s="247" customFormat="1">
      <c r="A10" s="244" t="s">
        <v>3273</v>
      </c>
      <c r="B10" s="245" t="s">
        <v>3244</v>
      </c>
      <c r="C10" s="245" t="s">
        <v>3274</v>
      </c>
      <c r="D10" s="245">
        <v>1.3836919069290161</v>
      </c>
      <c r="E10" s="245">
        <v>14.778889656066895</v>
      </c>
      <c r="F10" s="246">
        <v>1.205103874206543</v>
      </c>
      <c r="G10" s="247" t="s">
        <v>3275</v>
      </c>
      <c r="H10" s="323">
        <v>2.8593999999999999</v>
      </c>
      <c r="I10" s="247">
        <f t="shared" si="0"/>
        <v>10.680766131578636</v>
      </c>
      <c r="M10" s="330">
        <f>((D10-D15)/AVERAGE(D10,D15))*100</f>
        <v>3.4185571682473022</v>
      </c>
      <c r="N10" s="330">
        <f>((E10-E15)/AVERAGE(E10,E15))*100</f>
        <v>-1.0713436653896653</v>
      </c>
      <c r="X10" s="383"/>
    </row>
    <row r="11" spans="1:24">
      <c r="A11" s="231" t="s">
        <v>3276</v>
      </c>
      <c r="B11" s="232" t="s">
        <v>3244</v>
      </c>
      <c r="C11" s="232" t="s">
        <v>3277</v>
      </c>
      <c r="D11" s="232">
        <v>0.8400733470916748</v>
      </c>
      <c r="E11" s="232">
        <v>13.10334587097168</v>
      </c>
      <c r="F11" s="233">
        <v>0.79668515920639038</v>
      </c>
      <c r="G11" t="s">
        <v>3278</v>
      </c>
      <c r="H11" s="323">
        <v>3.0162</v>
      </c>
      <c r="I11">
        <f t="shared" si="0"/>
        <v>15.597859301613754</v>
      </c>
      <c r="M11" s="110"/>
      <c r="N11" s="110"/>
      <c r="W11" s="148"/>
      <c r="X11" s="148"/>
    </row>
    <row r="12" spans="1:24">
      <c r="A12" s="231" t="s">
        <v>3279</v>
      </c>
      <c r="B12" s="232" t="s">
        <v>3244</v>
      </c>
      <c r="C12" s="232" t="s">
        <v>3280</v>
      </c>
      <c r="D12" s="232">
        <v>0.71678870916366577</v>
      </c>
      <c r="E12" s="232">
        <v>12.854622840881348</v>
      </c>
      <c r="F12" s="233">
        <v>0.683940589427948</v>
      </c>
      <c r="G12" t="s">
        <v>3281</v>
      </c>
      <c r="H12" s="323">
        <v>2.5569999999999999</v>
      </c>
      <c r="I12">
        <f t="shared" si="0"/>
        <v>17.93362908280162</v>
      </c>
      <c r="M12" s="110"/>
      <c r="N12" s="110"/>
      <c r="W12" s="148"/>
      <c r="X12" s="148"/>
    </row>
    <row r="13" spans="1:24">
      <c r="A13" s="231" t="s">
        <v>3282</v>
      </c>
      <c r="B13" s="232" t="s">
        <v>3244</v>
      </c>
      <c r="C13" s="232" t="s">
        <v>3283</v>
      </c>
      <c r="D13" s="232">
        <v>0.60590004920959473</v>
      </c>
      <c r="E13" s="232">
        <v>12.759049415588379</v>
      </c>
      <c r="F13" s="233">
        <v>0.64679688215255737</v>
      </c>
      <c r="G13" t="s">
        <v>3284</v>
      </c>
      <c r="H13" s="324">
        <v>2.7275999999999998</v>
      </c>
      <c r="I13">
        <f t="shared" si="0"/>
        <v>21.058010198600812</v>
      </c>
      <c r="M13" s="110"/>
      <c r="N13" s="110"/>
      <c r="W13" s="148"/>
      <c r="X13" s="148"/>
    </row>
    <row r="14" spans="1:24" s="38" customFormat="1">
      <c r="A14" s="315" t="s">
        <v>3285</v>
      </c>
      <c r="B14" s="316" t="s">
        <v>3244</v>
      </c>
      <c r="C14" s="316" t="s">
        <v>3286</v>
      </c>
      <c r="D14" s="316"/>
      <c r="E14" s="316"/>
      <c r="F14" s="317"/>
      <c r="M14" s="116"/>
      <c r="N14" s="116"/>
      <c r="W14" s="486"/>
    </row>
    <row r="15" spans="1:24" s="247" customFormat="1">
      <c r="A15" s="244" t="s">
        <v>3287</v>
      </c>
      <c r="B15" s="245" t="s">
        <v>3244</v>
      </c>
      <c r="C15" s="245" t="s">
        <v>3288</v>
      </c>
      <c r="D15" s="245">
        <v>1.3371845483779907</v>
      </c>
      <c r="E15" s="245">
        <v>14.938075065612793</v>
      </c>
      <c r="F15" s="246">
        <v>1.1706619262695313</v>
      </c>
      <c r="G15" s="247" t="s">
        <v>3289</v>
      </c>
      <c r="H15" s="325">
        <v>2.7296</v>
      </c>
      <c r="I15" s="247">
        <f t="shared" si="0"/>
        <v>11.171289021947439</v>
      </c>
      <c r="M15" s="330"/>
      <c r="N15" s="330"/>
      <c r="W15" s="383"/>
      <c r="X15" s="383"/>
    </row>
    <row r="16" spans="1:24" s="251" customFormat="1">
      <c r="A16" s="248" t="s">
        <v>3290</v>
      </c>
      <c r="B16" s="249" t="s">
        <v>3244</v>
      </c>
      <c r="C16" s="249" t="s">
        <v>3291</v>
      </c>
      <c r="D16" s="249">
        <v>0.68985587358474731</v>
      </c>
      <c r="E16" s="249">
        <v>13.30765438079834</v>
      </c>
      <c r="F16" s="250">
        <v>0.70516753196716309</v>
      </c>
      <c r="G16" s="251" t="s">
        <v>3292</v>
      </c>
      <c r="H16" s="323">
        <v>2.5848</v>
      </c>
      <c r="I16" s="251">
        <f t="shared" si="0"/>
        <v>19.290484998912635</v>
      </c>
      <c r="M16" s="331">
        <f>((D16-D17)/AVERAGE(D16,D17))*100</f>
        <v>0.64968353174035609</v>
      </c>
      <c r="N16" s="331">
        <f>((E16-E17)/AVERAGE(E16,E17))*100</f>
        <v>0.21111423017376751</v>
      </c>
      <c r="W16" s="487"/>
      <c r="X16" s="486"/>
    </row>
    <row r="17" spans="1:24" s="251" customFormat="1">
      <c r="A17" s="248" t="s">
        <v>3293</v>
      </c>
      <c r="B17" s="249" t="s">
        <v>3244</v>
      </c>
      <c r="C17" s="249" t="s">
        <v>3294</v>
      </c>
      <c r="D17" s="249">
        <v>0.68538850545883179</v>
      </c>
      <c r="E17" s="249">
        <v>13.279589653015137</v>
      </c>
      <c r="F17" s="250">
        <v>0.70585572719573975</v>
      </c>
      <c r="G17" s="251" t="s">
        <v>3295</v>
      </c>
      <c r="H17" s="323">
        <v>2.6488</v>
      </c>
      <c r="I17" s="251">
        <f t="shared" si="0"/>
        <v>19.375273362842794</v>
      </c>
      <c r="M17" s="331"/>
      <c r="N17" s="331"/>
      <c r="W17" s="487"/>
      <c r="X17" s="486"/>
    </row>
    <row r="18" spans="1:24">
      <c r="A18" s="231" t="s">
        <v>3296</v>
      </c>
      <c r="B18" s="232" t="s">
        <v>3244</v>
      </c>
      <c r="C18" s="232" t="s">
        <v>3297</v>
      </c>
      <c r="D18" s="232">
        <v>0.71775048971176147</v>
      </c>
      <c r="E18" s="232">
        <v>13.347002983093262</v>
      </c>
      <c r="F18" s="233">
        <v>0.7359464168548584</v>
      </c>
      <c r="G18" t="s">
        <v>3298</v>
      </c>
      <c r="H18" s="323">
        <v>3.0783999999999998</v>
      </c>
      <c r="I18">
        <f t="shared" si="0"/>
        <v>18.595602753894646</v>
      </c>
      <c r="M18" s="110"/>
      <c r="N18" s="110"/>
      <c r="W18" s="148"/>
      <c r="X18" s="383"/>
    </row>
    <row r="19" spans="1:24">
      <c r="A19" s="231" t="s">
        <v>3299</v>
      </c>
      <c r="B19" s="232" t="s">
        <v>3244</v>
      </c>
      <c r="C19" s="232" t="s">
        <v>3300</v>
      </c>
      <c r="D19" s="232">
        <v>0.76607954502105713</v>
      </c>
      <c r="E19" s="232">
        <v>13.542201995849609</v>
      </c>
      <c r="F19" s="233">
        <v>0.77291220426559448</v>
      </c>
      <c r="G19" t="s">
        <v>3301</v>
      </c>
      <c r="H19" s="323">
        <v>2.5813000000000001</v>
      </c>
      <c r="I19">
        <f t="shared" si="0"/>
        <v>17.677279185776168</v>
      </c>
      <c r="M19" s="110"/>
      <c r="N19" s="110"/>
      <c r="W19" s="148"/>
      <c r="X19" s="487"/>
    </row>
    <row r="20" spans="1:24">
      <c r="A20" s="231" t="s">
        <v>3302</v>
      </c>
      <c r="B20" s="232" t="s">
        <v>3244</v>
      </c>
      <c r="C20" s="232" t="s">
        <v>3303</v>
      </c>
      <c r="D20" s="232">
        <v>0.9453589916229248</v>
      </c>
      <c r="E20" s="232">
        <v>14.125909805297852</v>
      </c>
      <c r="F20" s="233">
        <v>0.9349522590637207</v>
      </c>
      <c r="G20" t="s">
        <v>3304</v>
      </c>
      <c r="H20" s="323">
        <v>2.8919000000000001</v>
      </c>
      <c r="I20">
        <f t="shared" si="0"/>
        <v>14.942376314681789</v>
      </c>
      <c r="M20" s="110"/>
      <c r="N20" s="110"/>
      <c r="W20" s="148"/>
      <c r="X20" s="487"/>
    </row>
    <row r="21" spans="1:24">
      <c r="A21" s="231" t="s">
        <v>3305</v>
      </c>
      <c r="B21" s="232" t="s">
        <v>3244</v>
      </c>
      <c r="C21" s="232" t="s">
        <v>3306</v>
      </c>
      <c r="D21" s="232">
        <v>0.27425473928451538</v>
      </c>
      <c r="E21" s="232">
        <v>3.19893389701843</v>
      </c>
      <c r="F21" s="233">
        <v>0.71583456754684405</v>
      </c>
      <c r="G21" s="38" t="s">
        <v>3307</v>
      </c>
      <c r="H21" s="323">
        <v>3.2843</v>
      </c>
      <c r="I21">
        <f t="shared" si="0"/>
        <v>11.664097055766154</v>
      </c>
      <c r="M21" s="110"/>
      <c r="N21" s="110"/>
      <c r="W21" s="148"/>
    </row>
    <row r="22" spans="1:24">
      <c r="A22" s="231" t="s">
        <v>3308</v>
      </c>
      <c r="B22" s="232" t="s">
        <v>3244</v>
      </c>
      <c r="C22" s="232" t="s">
        <v>3309</v>
      </c>
      <c r="D22" s="232">
        <v>1.2483048439025879</v>
      </c>
      <c r="E22" s="232">
        <v>14.696099281311035</v>
      </c>
      <c r="F22" s="233">
        <v>0.99246484041213989</v>
      </c>
      <c r="G22" t="s">
        <v>3310</v>
      </c>
      <c r="H22" s="323">
        <v>2.6318000000000001</v>
      </c>
      <c r="I22">
        <f t="shared" si="0"/>
        <v>11.772844872864928</v>
      </c>
      <c r="M22" s="110"/>
      <c r="N22" s="110"/>
      <c r="W22" s="148"/>
      <c r="X22" s="148"/>
    </row>
    <row r="23" spans="1:24">
      <c r="A23" s="231" t="s">
        <v>3311</v>
      </c>
      <c r="B23" s="232" t="s">
        <v>3244</v>
      </c>
      <c r="C23" s="232" t="s">
        <v>3312</v>
      </c>
      <c r="D23" s="232">
        <v>0.86163246631622314</v>
      </c>
      <c r="E23" s="232">
        <v>14.053082466125488</v>
      </c>
      <c r="F23" s="233">
        <v>0.92834818363189697</v>
      </c>
      <c r="G23" t="s">
        <v>3313</v>
      </c>
      <c r="H23" s="323">
        <v>2.8422999999999998</v>
      </c>
      <c r="I23">
        <f t="shared" si="0"/>
        <v>16.309833966920117</v>
      </c>
      <c r="M23" s="110"/>
      <c r="N23" s="110"/>
      <c r="W23" s="148"/>
      <c r="X23" s="148"/>
    </row>
    <row r="24" spans="1:24">
      <c r="A24" s="231" t="s">
        <v>3314</v>
      </c>
      <c r="B24" s="232" t="s">
        <v>3244</v>
      </c>
      <c r="C24" s="232" t="s">
        <v>3315</v>
      </c>
      <c r="D24" s="232">
        <v>1.1338266134262085</v>
      </c>
      <c r="E24" s="232">
        <v>15.229901313781738</v>
      </c>
      <c r="F24" s="233">
        <v>1.1962739229202271</v>
      </c>
      <c r="G24" t="s">
        <v>3316</v>
      </c>
      <c r="H24" s="323">
        <v>2.8769</v>
      </c>
      <c r="I24">
        <f t="shared" si="0"/>
        <v>13.432301847069784</v>
      </c>
      <c r="M24" s="110"/>
      <c r="N24" s="110"/>
      <c r="W24" s="148"/>
      <c r="X24" s="148"/>
    </row>
    <row r="25" spans="1:24">
      <c r="A25" s="231" t="s">
        <v>3317</v>
      </c>
      <c r="B25" s="232" t="s">
        <v>3244</v>
      </c>
      <c r="C25" s="232" t="s">
        <v>3318</v>
      </c>
      <c r="D25" s="232">
        <v>0.89570164680480957</v>
      </c>
      <c r="E25" s="232">
        <v>14.040099143981934</v>
      </c>
      <c r="F25" s="233">
        <v>0.97634279727935791</v>
      </c>
      <c r="G25" t="s">
        <v>3319</v>
      </c>
      <c r="H25" s="323">
        <v>2.8081999999999998</v>
      </c>
      <c r="I25">
        <f t="shared" si="0"/>
        <v>15.674973015921605</v>
      </c>
      <c r="M25" s="110"/>
      <c r="N25" s="110"/>
      <c r="W25" s="148"/>
      <c r="X25" s="148"/>
    </row>
    <row r="26" spans="1:24" s="321" customFormat="1">
      <c r="A26" s="318" t="s">
        <v>3320</v>
      </c>
      <c r="B26" s="319" t="s">
        <v>3244</v>
      </c>
      <c r="C26" s="319" t="s">
        <v>3321</v>
      </c>
      <c r="D26" s="319">
        <v>0.78490573167800903</v>
      </c>
      <c r="E26" s="319">
        <v>14.247434616088867</v>
      </c>
      <c r="F26" s="320">
        <v>0.87097489833831787</v>
      </c>
      <c r="G26" s="321" t="s">
        <v>3322</v>
      </c>
      <c r="H26" s="324">
        <v>2.6707000000000001</v>
      </c>
      <c r="I26" s="321">
        <f t="shared" si="0"/>
        <v>18.15177803024832</v>
      </c>
      <c r="M26" s="332"/>
      <c r="N26" s="332"/>
      <c r="X26" s="148"/>
    </row>
    <row r="27" spans="1:24">
      <c r="A27" s="315" t="s">
        <v>3323</v>
      </c>
      <c r="B27" s="316" t="s">
        <v>3324</v>
      </c>
      <c r="C27" s="316" t="s">
        <v>3325</v>
      </c>
      <c r="D27" s="232">
        <v>0.97619426250457764</v>
      </c>
      <c r="E27" s="232">
        <v>14.521237373352051</v>
      </c>
      <c r="F27" s="233">
        <v>0.90399563312530518</v>
      </c>
      <c r="G27" t="s">
        <v>3326</v>
      </c>
      <c r="H27" s="325">
        <v>2.7046000000000001</v>
      </c>
      <c r="I27">
        <f t="shared" si="0"/>
        <v>14.875356198156263</v>
      </c>
      <c r="J27" t="s">
        <v>3327</v>
      </c>
      <c r="M27" s="110"/>
      <c r="N27" s="110"/>
      <c r="W27" s="148"/>
      <c r="X27" s="148"/>
    </row>
    <row r="28" spans="1:24" s="255" customFormat="1">
      <c r="A28" s="252" t="s">
        <v>3328</v>
      </c>
      <c r="B28" s="253" t="s">
        <v>3324</v>
      </c>
      <c r="C28" s="253" t="s">
        <v>3329</v>
      </c>
      <c r="D28" s="253">
        <v>0.88953083753585815</v>
      </c>
      <c r="E28" s="253">
        <v>14.122218132019043</v>
      </c>
      <c r="F28" s="254">
        <v>0.82705086469650269</v>
      </c>
      <c r="G28" s="255" t="s">
        <v>3330</v>
      </c>
      <c r="H28" s="323">
        <v>2.5647000000000002</v>
      </c>
      <c r="I28" s="255">
        <f t="shared" si="0"/>
        <v>15.876029853152515</v>
      </c>
      <c r="M28" s="333">
        <f>((D28-D44)/AVERAGE(D28,D44))*100</f>
        <v>-0.36968895671119822</v>
      </c>
      <c r="N28" s="333">
        <f>((E28-E44)/AVERAGE(E28,E44))*100</f>
        <v>-3.6702606999138541E-2</v>
      </c>
      <c r="X28" s="488"/>
    </row>
    <row r="29" spans="1:24">
      <c r="A29" s="231" t="s">
        <v>3331</v>
      </c>
      <c r="B29" s="232" t="s">
        <v>3324</v>
      </c>
      <c r="C29" s="232" t="s">
        <v>3332</v>
      </c>
      <c r="D29" s="232">
        <v>0.27332425117492676</v>
      </c>
      <c r="E29" s="232">
        <v>3.2330312728881836</v>
      </c>
      <c r="F29" s="233">
        <v>0.76893907785415649</v>
      </c>
      <c r="G29" s="38" t="s">
        <v>3307</v>
      </c>
      <c r="H29" s="327">
        <v>3.7326999999999999</v>
      </c>
      <c r="I29">
        <f t="shared" si="0"/>
        <v>11.828556225766636</v>
      </c>
      <c r="M29" s="110"/>
      <c r="N29" s="110"/>
      <c r="W29" s="148"/>
    </row>
    <row r="30" spans="1:24">
      <c r="A30" s="231" t="s">
        <v>3333</v>
      </c>
      <c r="B30" s="232" t="s">
        <v>3324</v>
      </c>
      <c r="C30" s="232" t="s">
        <v>3334</v>
      </c>
      <c r="D30" s="232">
        <v>0.89602220058441162</v>
      </c>
      <c r="E30" s="232">
        <v>13.998252868652344</v>
      </c>
      <c r="F30" s="233">
        <v>0.88012850284576416</v>
      </c>
      <c r="G30" t="s">
        <v>3335</v>
      </c>
      <c r="H30" s="323">
        <v>2.5972</v>
      </c>
      <c r="I30">
        <f t="shared" si="0"/>
        <v>15.622662987057996</v>
      </c>
      <c r="M30" s="110"/>
      <c r="N30" s="110"/>
      <c r="W30" s="148"/>
      <c r="X30" s="148"/>
    </row>
    <row r="31" spans="1:24">
      <c r="A31" s="231" t="s">
        <v>3336</v>
      </c>
      <c r="B31" s="232" t="s">
        <v>3324</v>
      </c>
      <c r="C31" s="232" t="s">
        <v>3337</v>
      </c>
      <c r="D31" s="232">
        <v>0.72803771495819092</v>
      </c>
      <c r="E31" s="232">
        <v>13.26401424407959</v>
      </c>
      <c r="F31" s="233">
        <v>0.7707405686378479</v>
      </c>
      <c r="G31" t="s">
        <v>3338</v>
      </c>
      <c r="H31" s="323">
        <v>2.8895</v>
      </c>
      <c r="I31">
        <f t="shared" si="0"/>
        <v>18.218855935013345</v>
      </c>
      <c r="M31" s="110"/>
      <c r="N31" s="110"/>
      <c r="W31" s="148"/>
      <c r="X31" s="489"/>
    </row>
    <row r="32" spans="1:24">
      <c r="A32" s="231" t="s">
        <v>3339</v>
      </c>
      <c r="B32" s="232" t="s">
        <v>3324</v>
      </c>
      <c r="C32" s="232" t="s">
        <v>3340</v>
      </c>
      <c r="D32" s="232">
        <v>0.71530050039291382</v>
      </c>
      <c r="E32" s="232">
        <v>13.046916007995605</v>
      </c>
      <c r="F32" s="233">
        <v>0.77816194295883179</v>
      </c>
      <c r="G32" t="s">
        <v>3341</v>
      </c>
      <c r="H32" s="323">
        <v>2.8155000000000001</v>
      </c>
      <c r="I32">
        <f t="shared" si="0"/>
        <v>18.239769161113333</v>
      </c>
      <c r="M32" s="110"/>
      <c r="N32" s="110"/>
      <c r="W32" s="148"/>
      <c r="X32" s="148"/>
    </row>
    <row r="33" spans="1:26">
      <c r="A33" s="231" t="s">
        <v>3342</v>
      </c>
      <c r="B33" s="232" t="s">
        <v>3324</v>
      </c>
      <c r="C33" s="232" t="s">
        <v>3343</v>
      </c>
      <c r="D33" s="232">
        <v>0.75174504518508911</v>
      </c>
      <c r="E33" s="232">
        <v>13.122382164001465</v>
      </c>
      <c r="F33" s="233">
        <v>0.81378859281539917</v>
      </c>
      <c r="G33" t="s">
        <v>3344</v>
      </c>
      <c r="H33" s="323">
        <v>2.5651000000000002</v>
      </c>
      <c r="I33">
        <f t="shared" si="0"/>
        <v>17.455894452580754</v>
      </c>
      <c r="M33" s="110"/>
      <c r="N33" s="110"/>
      <c r="W33" s="148"/>
      <c r="X33" s="148"/>
    </row>
    <row r="34" spans="1:26">
      <c r="A34" s="231" t="s">
        <v>3345</v>
      </c>
      <c r="B34" s="232" t="s">
        <v>3324</v>
      </c>
      <c r="C34" s="232" t="s">
        <v>3346</v>
      </c>
      <c r="D34" s="232">
        <v>0.71574407815933228</v>
      </c>
      <c r="E34" s="232">
        <v>12.903997421264648</v>
      </c>
      <c r="F34" s="233">
        <v>0.79861712455749512</v>
      </c>
      <c r="G34" t="s">
        <v>3347</v>
      </c>
      <c r="H34" s="323">
        <v>2.7437</v>
      </c>
      <c r="I34">
        <f t="shared" si="0"/>
        <v>18.028786845781042</v>
      </c>
      <c r="M34" s="110"/>
      <c r="N34" s="110"/>
      <c r="W34" s="148"/>
      <c r="X34" s="148"/>
    </row>
    <row r="35" spans="1:26">
      <c r="A35" s="231" t="s">
        <v>3348</v>
      </c>
      <c r="B35" s="232" t="s">
        <v>3324</v>
      </c>
      <c r="C35" s="232" t="s">
        <v>3349</v>
      </c>
      <c r="D35" s="232">
        <v>0.59883177280426025</v>
      </c>
      <c r="E35" s="232">
        <v>12.563013076782227</v>
      </c>
      <c r="F35" s="233">
        <v>0.69049811363220215</v>
      </c>
      <c r="G35" t="s">
        <v>3350</v>
      </c>
      <c r="H35" s="323">
        <v>2.7023000000000001</v>
      </c>
      <c r="I35">
        <f t="shared" si="0"/>
        <v>20.979202586314155</v>
      </c>
      <c r="M35" s="110"/>
      <c r="N35" s="110"/>
      <c r="W35" s="148"/>
      <c r="X35" s="148"/>
    </row>
    <row r="36" spans="1:26">
      <c r="A36" s="231" t="s">
        <v>3351</v>
      </c>
      <c r="B36" s="232" t="s">
        <v>3324</v>
      </c>
      <c r="C36" s="232" t="s">
        <v>3352</v>
      </c>
      <c r="D36" s="232">
        <v>0.69182890653610229</v>
      </c>
      <c r="E36" s="232">
        <v>13.241850852966309</v>
      </c>
      <c r="F36" s="233">
        <v>0.73611801862716675</v>
      </c>
      <c r="G36" t="s">
        <v>3353</v>
      </c>
      <c r="H36" s="323">
        <v>3.0198</v>
      </c>
      <c r="I36">
        <f t="shared" si="0"/>
        <v>19.140354974854318</v>
      </c>
      <c r="M36" s="110"/>
      <c r="N36" s="110"/>
      <c r="W36" s="148"/>
      <c r="X36" s="148"/>
    </row>
    <row r="37" spans="1:26">
      <c r="A37" s="231" t="s">
        <v>3354</v>
      </c>
      <c r="B37" s="232" t="s">
        <v>3324</v>
      </c>
      <c r="C37" s="232" t="s">
        <v>3355</v>
      </c>
      <c r="D37" s="232">
        <v>0.47727426886558533</v>
      </c>
      <c r="E37" s="232">
        <v>12.646408081054688</v>
      </c>
      <c r="F37" s="233">
        <v>0.56469756364822388</v>
      </c>
      <c r="G37" t="s">
        <v>3356</v>
      </c>
      <c r="H37" s="323">
        <v>2.9716999999999998</v>
      </c>
      <c r="I37">
        <f t="shared" si="0"/>
        <v>26.497150393448706</v>
      </c>
      <c r="M37" s="110"/>
      <c r="N37" s="110"/>
      <c r="W37" s="148"/>
      <c r="X37" s="148"/>
    </row>
    <row r="38" spans="1:26">
      <c r="A38" s="231" t="s">
        <v>3357</v>
      </c>
      <c r="B38" s="232" t="s">
        <v>3324</v>
      </c>
      <c r="C38" s="232" t="s">
        <v>3358</v>
      </c>
      <c r="D38" s="232">
        <v>0.57263672351837158</v>
      </c>
      <c r="E38" s="232">
        <v>12.868570327758789</v>
      </c>
      <c r="F38" s="233">
        <v>0.62590712308883667</v>
      </c>
      <c r="G38" t="s">
        <v>3359</v>
      </c>
      <c r="H38" s="324">
        <v>2.6825999999999999</v>
      </c>
      <c r="I38">
        <f t="shared" si="0"/>
        <v>22.472485258528714</v>
      </c>
      <c r="M38" s="110"/>
      <c r="N38" s="110"/>
      <c r="W38" s="148"/>
      <c r="X38" s="148"/>
    </row>
    <row r="39" spans="1:26" s="38" customFormat="1">
      <c r="A39" s="315" t="s">
        <v>3360</v>
      </c>
      <c r="B39" s="316" t="s">
        <v>3324</v>
      </c>
      <c r="C39" s="316" t="s">
        <v>3361</v>
      </c>
      <c r="D39" s="316"/>
      <c r="E39" s="316"/>
      <c r="F39" s="317"/>
      <c r="M39" s="116"/>
      <c r="N39" s="116"/>
    </row>
    <row r="40" spans="1:26" s="259" customFormat="1">
      <c r="A40" s="256" t="s">
        <v>3362</v>
      </c>
      <c r="B40" s="257" t="s">
        <v>3324</v>
      </c>
      <c r="C40" s="257" t="s">
        <v>3363</v>
      </c>
      <c r="D40" s="257">
        <v>0.71534091234207153</v>
      </c>
      <c r="E40" s="257">
        <v>13.39105224609375</v>
      </c>
      <c r="F40" s="258">
        <v>0.70788651704788208</v>
      </c>
      <c r="G40" s="259" t="s">
        <v>3364</v>
      </c>
      <c r="H40" s="326">
        <v>2.9824000000000002</v>
      </c>
      <c r="I40" s="259">
        <f t="shared" si="0"/>
        <v>18.719818781580095</v>
      </c>
      <c r="M40" s="334">
        <f>((D40-D41)/AVERAGE(D40,D41))*100</f>
        <v>-0.53381598402299901</v>
      </c>
      <c r="N40" s="334">
        <f>((E40-E41)/AVERAGE(E40,E41))*100</f>
        <v>8.1475887268139136E-3</v>
      </c>
      <c r="W40" s="490"/>
      <c r="X40" s="148"/>
    </row>
    <row r="41" spans="1:26" s="259" customFormat="1">
      <c r="A41" s="256" t="s">
        <v>3365</v>
      </c>
      <c r="B41" s="257" t="s">
        <v>3324</v>
      </c>
      <c r="C41" s="257" t="s">
        <v>3366</v>
      </c>
      <c r="D41" s="257">
        <v>0.7191697359085083</v>
      </c>
      <c r="E41" s="257">
        <v>13.389961242675781</v>
      </c>
      <c r="F41" s="258">
        <v>0.70476889610290527</v>
      </c>
      <c r="G41" s="259" t="s">
        <v>3367</v>
      </c>
      <c r="H41" s="323">
        <v>2.6617000000000002</v>
      </c>
      <c r="I41" s="259">
        <f t="shared" si="0"/>
        <v>18.618638374375688</v>
      </c>
      <c r="W41" s="490"/>
      <c r="X41" s="148"/>
    </row>
    <row r="42" spans="1:26">
      <c r="A42" s="231" t="s">
        <v>3368</v>
      </c>
      <c r="B42" s="232" t="s">
        <v>3324</v>
      </c>
      <c r="C42" s="232" t="s">
        <v>3369</v>
      </c>
      <c r="D42" s="232">
        <v>10.245760154724101</v>
      </c>
      <c r="E42" s="232">
        <v>71.069293212890599</v>
      </c>
      <c r="F42" s="233">
        <v>6.6594326019287102</v>
      </c>
      <c r="G42" t="s">
        <v>3370</v>
      </c>
      <c r="H42" s="323">
        <v>0.52370000000000005</v>
      </c>
      <c r="I42">
        <f t="shared" si="0"/>
        <v>6.9364588024366416</v>
      </c>
      <c r="W42" s="148"/>
    </row>
    <row r="43" spans="1:26">
      <c r="A43" s="231" t="s">
        <v>3371</v>
      </c>
      <c r="B43" s="232" t="s">
        <v>3324</v>
      </c>
      <c r="C43" s="232" t="s">
        <v>3372</v>
      </c>
      <c r="D43" s="232">
        <v>0.86480331420898438</v>
      </c>
      <c r="E43" s="232">
        <v>13.844083786010742</v>
      </c>
      <c r="F43" s="233">
        <v>0.95539230108261108</v>
      </c>
      <c r="G43" t="s">
        <v>3373</v>
      </c>
      <c r="H43" s="323">
        <v>2.5897000000000001</v>
      </c>
      <c r="I43">
        <f t="shared" si="0"/>
        <v>16.008361159755275</v>
      </c>
      <c r="W43" s="148"/>
      <c r="X43" s="486"/>
    </row>
    <row r="44" spans="1:26" s="255" customFormat="1">
      <c r="A44" s="252" t="s">
        <v>3374</v>
      </c>
      <c r="B44" s="253" t="s">
        <v>3324</v>
      </c>
      <c r="C44" s="253" t="s">
        <v>3375</v>
      </c>
      <c r="D44" s="253">
        <v>0.8928254246711731</v>
      </c>
      <c r="E44" s="253">
        <v>14.127402305603027</v>
      </c>
      <c r="F44" s="254">
        <v>0.86040699481964111</v>
      </c>
      <c r="G44" s="255" t="s">
        <v>3376</v>
      </c>
      <c r="H44" s="323">
        <v>2.8106</v>
      </c>
      <c r="I44" s="255">
        <f t="shared" si="0"/>
        <v>15.823252693331552</v>
      </c>
      <c r="X44" s="488"/>
    </row>
    <row r="45" spans="1:26" ht="15.5">
      <c r="A45" s="231" t="s">
        <v>3377</v>
      </c>
      <c r="B45" s="232" t="s">
        <v>3324</v>
      </c>
      <c r="C45" s="232" t="s">
        <v>3260</v>
      </c>
      <c r="D45" s="232">
        <v>1.3417773246765137</v>
      </c>
      <c r="E45" s="232">
        <v>15.185502052307129</v>
      </c>
      <c r="F45" s="233">
        <v>1.4797039031982422</v>
      </c>
      <c r="G45" t="s">
        <v>3378</v>
      </c>
      <c r="H45" s="323">
        <v>2.6248999999999998</v>
      </c>
      <c r="I45">
        <f t="shared" si="0"/>
        <v>11.317453181710437</v>
      </c>
      <c r="K45" s="213" t="s">
        <v>3307</v>
      </c>
      <c r="M45" s="213" t="s">
        <v>3379</v>
      </c>
      <c r="O45" s="212" t="s">
        <v>3307</v>
      </c>
      <c r="P45" s="212"/>
      <c r="U45"/>
      <c r="X45" s="213" t="s">
        <v>3370</v>
      </c>
    </row>
    <row r="46" spans="1:26" ht="15.5">
      <c r="A46" s="231" t="s">
        <v>3380</v>
      </c>
      <c r="B46" s="232" t="s">
        <v>3324</v>
      </c>
      <c r="C46" s="232" t="s">
        <v>3264</v>
      </c>
      <c r="D46" s="232">
        <v>1.4059737920761108</v>
      </c>
      <c r="E46" s="232">
        <v>15.645127296447754</v>
      </c>
      <c r="F46" s="233">
        <v>1.5493061542510986</v>
      </c>
      <c r="G46" t="s">
        <v>3381</v>
      </c>
      <c r="H46" s="323">
        <v>3.0017</v>
      </c>
      <c r="I46">
        <f t="shared" si="0"/>
        <v>11.12760947936704</v>
      </c>
      <c r="K46" s="38" t="s">
        <v>44</v>
      </c>
      <c r="L46" s="38" t="s">
        <v>48</v>
      </c>
      <c r="N46" s="38" t="s">
        <v>48</v>
      </c>
      <c r="O46" s="1" t="s">
        <v>3251</v>
      </c>
      <c r="P46" s="1" t="s">
        <v>3252</v>
      </c>
      <c r="T46" s="213" t="s">
        <v>3370</v>
      </c>
      <c r="U46"/>
      <c r="V46" s="213" t="s">
        <v>3379</v>
      </c>
      <c r="X46" s="1" t="s">
        <v>3251</v>
      </c>
      <c r="Y46" s="1" t="s">
        <v>3252</v>
      </c>
    </row>
    <row r="47" spans="1:26">
      <c r="A47" s="231" t="s">
        <v>3382</v>
      </c>
      <c r="B47" s="232" t="s">
        <v>3324</v>
      </c>
      <c r="C47" s="232" t="s">
        <v>3268</v>
      </c>
      <c r="D47" s="232">
        <v>0.75171852111816406</v>
      </c>
      <c r="E47" s="232">
        <v>13.722061157226563</v>
      </c>
      <c r="F47" s="233">
        <v>0.75116705894470215</v>
      </c>
      <c r="G47" t="s">
        <v>3383</v>
      </c>
      <c r="H47" s="323">
        <v>2.8235999999999999</v>
      </c>
      <c r="I47">
        <f t="shared" si="0"/>
        <v>18.254254447283422</v>
      </c>
      <c r="K47" s="269" t="s">
        <v>3251</v>
      </c>
      <c r="M47" s="269" t="s">
        <v>3252</v>
      </c>
      <c r="O47" s="38" t="s">
        <v>3384</v>
      </c>
      <c r="P47" s="38"/>
      <c r="T47" s="38" t="s">
        <v>44</v>
      </c>
      <c r="U47" s="38" t="s">
        <v>48</v>
      </c>
      <c r="V47" s="38"/>
      <c r="W47" s="38" t="s">
        <v>48</v>
      </c>
      <c r="X47" s="38" t="s">
        <v>3384</v>
      </c>
    </row>
    <row r="48" spans="1:26" ht="15.5">
      <c r="A48" s="231" t="s">
        <v>3385</v>
      </c>
      <c r="B48" s="232" t="s">
        <v>3324</v>
      </c>
      <c r="C48" s="232" t="s">
        <v>3386</v>
      </c>
      <c r="D48" s="232">
        <v>0.72249287366867065</v>
      </c>
      <c r="E48" s="232">
        <v>13.56171989440918</v>
      </c>
      <c r="F48" s="233">
        <v>0.7453194260597229</v>
      </c>
      <c r="G48" t="s">
        <v>3387</v>
      </c>
      <c r="H48" s="323">
        <v>2.8081</v>
      </c>
      <c r="I48">
        <f t="shared" si="0"/>
        <v>18.770731710536531</v>
      </c>
      <c r="K48" s="110">
        <f>AVERAGE(D21,D29,D64,D66,D88,D94,D108,D116,D124)</f>
        <v>0.26875559157795376</v>
      </c>
      <c r="L48" s="184">
        <f>_xlfn.STDEV.P(D21,D29,D64,D66,D88,D94,D108,D116,D124)</f>
        <v>1.2209694815527391E-2</v>
      </c>
      <c r="M48" s="110">
        <f>AVERAGE(E21,E29,E64,E66,E88,E94,E108,E116,E124)</f>
        <v>3.2872170374128546</v>
      </c>
      <c r="N48" s="184">
        <f>_xlfn.STDEV.P(E21,E29,E64,E66,E88,E94,E108,E116,E124)</f>
        <v>0.10800726151048988</v>
      </c>
      <c r="O48" s="270">
        <f>((D21-$K$48)/$K$48)*100</f>
        <v>2.0461519234908914</v>
      </c>
      <c r="P48" s="270">
        <f>((E21-$M$48)/$M$48)*100</f>
        <v>-2.6856498792031789</v>
      </c>
      <c r="Q48" t="s">
        <v>3388</v>
      </c>
      <c r="T48" s="269" t="s">
        <v>3251</v>
      </c>
      <c r="U48"/>
      <c r="V48" s="269" t="s">
        <v>3252</v>
      </c>
      <c r="X48" s="270">
        <f>((D42-$T$49)/$T$49)*100</f>
        <v>-1.2078173276699034</v>
      </c>
      <c r="Y48" s="270">
        <f>((E42-V49)/V49)*100</f>
        <v>7.2225010827683275E-2</v>
      </c>
      <c r="Z48" s="271" t="s">
        <v>3389</v>
      </c>
    </row>
    <row r="49" spans="1:26" ht="15.5">
      <c r="A49" s="231" t="s">
        <v>3390</v>
      </c>
      <c r="B49" s="232" t="s">
        <v>3324</v>
      </c>
      <c r="C49" s="232" t="s">
        <v>3391</v>
      </c>
      <c r="D49" s="232">
        <v>0.66684079170227051</v>
      </c>
      <c r="E49" s="232">
        <v>13.43907642364502</v>
      </c>
      <c r="F49" s="233">
        <v>0.70241934061050415</v>
      </c>
      <c r="G49" t="s">
        <v>3392</v>
      </c>
      <c r="H49" s="323">
        <v>2.7677999999999998</v>
      </c>
      <c r="I49">
        <f t="shared" si="0"/>
        <v>20.153350831071034</v>
      </c>
      <c r="O49" s="270">
        <f>((D29-$K$48)/$K$48)*100</f>
        <v>1.6999309931186461</v>
      </c>
      <c r="P49" s="270">
        <f>((E29-$M$48)/$M$48)*100</f>
        <v>-1.6483780629014078</v>
      </c>
      <c r="Q49" t="s">
        <v>3393</v>
      </c>
      <c r="T49" s="110">
        <f>AVERAGE(D42,D57,D75:D76,D90,D95,D109,D117,D125)</f>
        <v>10.371023169623474</v>
      </c>
      <c r="U49" s="184">
        <f>_xlfn.STDEV.P(D42,D57,D75:D76,D90,D95,D109,D117,D125)</f>
        <v>6.387476775443772E-2</v>
      </c>
      <c r="V49" s="110">
        <f>AVERAGE(E42,E57,E75:E76,E90,E95,E109,E117,E125)</f>
        <v>71.018000454372824</v>
      </c>
      <c r="W49" s="184">
        <f>_xlfn.STDEV.P(E42,E57,E75:E76,E90,E95,E109,E117,E125)</f>
        <v>5.4303429894465217E-2</v>
      </c>
      <c r="X49" s="270">
        <f>((D57-T49)/T49)*100</f>
        <v>0.26632207427488497</v>
      </c>
      <c r="Y49" s="270">
        <f>((E57-V49)/V49)*100</f>
        <v>3.0634938170998608E-2</v>
      </c>
      <c r="Z49" s="271" t="s">
        <v>3394</v>
      </c>
    </row>
    <row r="50" spans="1:26" ht="15.5">
      <c r="A50" s="231" t="s">
        <v>3395</v>
      </c>
      <c r="B50" s="232" t="s">
        <v>3324</v>
      </c>
      <c r="C50" s="232" t="s">
        <v>3396</v>
      </c>
      <c r="D50" s="232">
        <v>1.2000707387924194</v>
      </c>
      <c r="E50" s="232">
        <v>15.685426712036133</v>
      </c>
      <c r="F50" s="233">
        <v>1.1622022390365601</v>
      </c>
      <c r="G50" t="s">
        <v>3397</v>
      </c>
      <c r="H50" s="323">
        <v>2.714</v>
      </c>
      <c r="I50">
        <f t="shared" si="0"/>
        <v>13.070418438682804</v>
      </c>
      <c r="O50" s="270">
        <f>((D64-$K$48)/$K$48)*100</f>
        <v>7.2913513359066666</v>
      </c>
      <c r="P50" s="270">
        <f>((E64-$M$48)/$M$48)*100</f>
        <v>-1.2180373691177711</v>
      </c>
      <c r="Q50" t="s">
        <v>3398</v>
      </c>
      <c r="U50"/>
      <c r="X50" s="272">
        <f>((D75-T49)/T49)*100</f>
        <v>-0.62440094256992607</v>
      </c>
      <c r="Y50" s="272">
        <f>((E75-V49)/V49)*100</f>
        <v>-1.1498725351032357E-2</v>
      </c>
      <c r="Z50" s="271" t="s">
        <v>3399</v>
      </c>
    </row>
    <row r="51" spans="1:26" ht="15.5">
      <c r="A51" s="231" t="s">
        <v>3400</v>
      </c>
      <c r="B51" s="232" t="s">
        <v>3324</v>
      </c>
      <c r="C51" s="232" t="s">
        <v>3401</v>
      </c>
      <c r="D51" s="232">
        <v>0.53777742385864258</v>
      </c>
      <c r="E51" s="232">
        <v>12.691935539245605</v>
      </c>
      <c r="F51" s="233">
        <v>0.62336349487304688</v>
      </c>
      <c r="G51" t="s">
        <v>3402</v>
      </c>
      <c r="H51" s="324">
        <v>2.9445999999999999</v>
      </c>
      <c r="I51">
        <f t="shared" si="0"/>
        <v>23.600722113209688</v>
      </c>
      <c r="O51" s="270">
        <f>((D66-$K$48)/$K$48)*100</f>
        <v>5.1280194268534167</v>
      </c>
      <c r="P51" s="270">
        <f>((E66-$M$48)/$M$48)*100</f>
        <v>-2.0901667347459685</v>
      </c>
      <c r="Q51" t="s">
        <v>3403</v>
      </c>
      <c r="U51"/>
      <c r="X51" s="270">
        <f>((D76-T49)/T49)*100</f>
        <v>-4.3347082377621551E-3</v>
      </c>
      <c r="Y51" s="270">
        <f>((E76-V49)/V49)*100</f>
        <v>-2.7301534897436197E-2</v>
      </c>
      <c r="Z51" s="271" t="s">
        <v>3404</v>
      </c>
    </row>
    <row r="52" spans="1:26" ht="15.5">
      <c r="A52" s="315" t="s">
        <v>3405</v>
      </c>
      <c r="B52" s="316" t="s">
        <v>3324</v>
      </c>
      <c r="C52" s="316" t="s">
        <v>3406</v>
      </c>
      <c r="D52" s="232"/>
      <c r="E52" s="232"/>
      <c r="F52" s="233"/>
      <c r="O52" s="270">
        <f>((D88-$K$48)/$K$48)*100</f>
        <v>-0.76921351018884088</v>
      </c>
      <c r="P52" s="270">
        <f>((E88-$M$48)/$M$48)*100</f>
        <v>-3.3363455832321254</v>
      </c>
      <c r="Q52" t="s">
        <v>3407</v>
      </c>
      <c r="U52"/>
      <c r="X52" s="270">
        <f>((D90-T49)/T49)*100</f>
        <v>0.9694095598127539</v>
      </c>
      <c r="Y52" s="270">
        <f>((E90-V49)/V49)*100</f>
        <v>-9.7205601327381666E-2</v>
      </c>
      <c r="Z52" s="271" t="s">
        <v>3408</v>
      </c>
    </row>
    <row r="53" spans="1:26" ht="15.5">
      <c r="A53" s="231" t="s">
        <v>3409</v>
      </c>
      <c r="B53" s="232" t="s">
        <v>3324</v>
      </c>
      <c r="C53" s="232" t="s">
        <v>3410</v>
      </c>
      <c r="D53" s="232">
        <v>0.45570942759513855</v>
      </c>
      <c r="E53" s="232">
        <v>11.987616539001465</v>
      </c>
      <c r="F53" s="233">
        <v>0.58083021640777588</v>
      </c>
      <c r="G53" t="s">
        <v>3411</v>
      </c>
      <c r="H53" s="325">
        <v>2.6555</v>
      </c>
      <c r="I53">
        <f t="shared" si="0"/>
        <v>26.305395089722623</v>
      </c>
      <c r="O53" s="270">
        <f>((D94-$K$48)/$K$48)*100</f>
        <v>1.475822191542095</v>
      </c>
      <c r="P53" s="270">
        <f>((E94-$M$48)/$M$48)*100</f>
        <v>-2.7010039793269538</v>
      </c>
      <c r="Q53" t="s">
        <v>3412</v>
      </c>
      <c r="U53"/>
      <c r="X53" s="270">
        <f>((D95-T49)/T49)*100</f>
        <v>0.69418625905200804</v>
      </c>
      <c r="Y53" s="270">
        <f>((E95-V49)/V49)*100</f>
        <v>-7.7900605572909301E-2</v>
      </c>
      <c r="Z53" t="s">
        <v>3413</v>
      </c>
    </row>
    <row r="54" spans="1:26" ht="15.5">
      <c r="A54" s="231" t="s">
        <v>3414</v>
      </c>
      <c r="B54" s="232" t="s">
        <v>3324</v>
      </c>
      <c r="C54" s="232" t="s">
        <v>3415</v>
      </c>
      <c r="D54" s="232">
        <v>0.55595111846923828</v>
      </c>
      <c r="E54" s="232">
        <v>11.95491886138916</v>
      </c>
      <c r="F54" s="233">
        <v>0.56883180141448975</v>
      </c>
      <c r="G54" t="s">
        <v>3416</v>
      </c>
      <c r="H54" s="323">
        <v>2.6787000000000001</v>
      </c>
      <c r="I54">
        <f t="shared" si="0"/>
        <v>21.503543142976241</v>
      </c>
      <c r="O54" s="270">
        <f>((D108-$K$48)/$K$48)*100</f>
        <v>-6.6064992833853378</v>
      </c>
      <c r="P54" s="270">
        <f>((E108-$M$48)/$M$48)*100</f>
        <v>3.9449644718009735</v>
      </c>
      <c r="Q54" t="s">
        <v>3417</v>
      </c>
      <c r="W54" s="148"/>
      <c r="X54" s="270">
        <f>((D109-T49)/T49)*100</f>
        <v>0.11281791048926192</v>
      </c>
      <c r="Y54" s="270">
        <f>((E109-V49)/V49)*100</f>
        <v>1.851694417490396E-2</v>
      </c>
      <c r="Z54" t="s">
        <v>3418</v>
      </c>
    </row>
    <row r="55" spans="1:26" ht="15.5">
      <c r="A55" s="231" t="s">
        <v>3419</v>
      </c>
      <c r="B55" s="232" t="s">
        <v>3324</v>
      </c>
      <c r="C55" s="232" t="s">
        <v>3420</v>
      </c>
      <c r="D55" s="232">
        <v>0.58643555641174316</v>
      </c>
      <c r="E55" s="232">
        <v>12.301887512207031</v>
      </c>
      <c r="F55" s="233">
        <v>0.62987852096557617</v>
      </c>
      <c r="G55" t="s">
        <v>3421</v>
      </c>
      <c r="H55" s="323">
        <v>2.6787000000000001</v>
      </c>
      <c r="I55">
        <f t="shared" si="0"/>
        <v>20.977390231041404</v>
      </c>
      <c r="O55" s="270">
        <f>((D116-$K$48)/$K$48)*100</f>
        <v>-4.898060558808746</v>
      </c>
      <c r="P55" s="270">
        <f>((E116-$M$48)/$M$48)*100</f>
        <v>4.8044694389164793</v>
      </c>
      <c r="Q55" t="s">
        <v>3422</v>
      </c>
      <c r="W55" s="148"/>
      <c r="X55" s="270">
        <f>((D117-T49)/T49)*100</f>
        <v>-0.24215596243857992</v>
      </c>
      <c r="Y55" s="270">
        <f>((E117-V49)/V49)*100</f>
        <v>0.15906418872528846</v>
      </c>
      <c r="Z55" t="s">
        <v>3423</v>
      </c>
    </row>
    <row r="56" spans="1:26" ht="15.5">
      <c r="A56" s="231" t="s">
        <v>3424</v>
      </c>
      <c r="B56" s="232" t="s">
        <v>3324</v>
      </c>
      <c r="C56" s="232" t="s">
        <v>3425</v>
      </c>
      <c r="D56" s="232">
        <v>0.63776969909667969</v>
      </c>
      <c r="E56" s="232">
        <v>12.759530067443848</v>
      </c>
      <c r="F56" s="233">
        <v>0.69448685646057129</v>
      </c>
      <c r="G56" t="s">
        <v>3426</v>
      </c>
      <c r="H56" s="323">
        <v>2.7233999999999998</v>
      </c>
      <c r="I56">
        <f t="shared" si="0"/>
        <v>20.00648523364486</v>
      </c>
      <c r="O56" s="270">
        <f>((D124-$K$48)/$K$48)*100</f>
        <v>-5.367502518528771</v>
      </c>
      <c r="P56" s="270">
        <f>((E124-$M$48)/$M$48)*100</f>
        <v>4.9301476978100069</v>
      </c>
      <c r="Q56" t="s">
        <v>3427</v>
      </c>
      <c r="W56" s="148"/>
      <c r="X56" s="270">
        <f>((D125-T49)/T49)*100</f>
        <v>3.5973137287177076E-2</v>
      </c>
      <c r="Y56" s="270">
        <f>((E125-V49)/V49)*100</f>
        <v>-6.6534614750234852E-2</v>
      </c>
      <c r="Z56" t="s">
        <v>3428</v>
      </c>
    </row>
    <row r="57" spans="1:26">
      <c r="A57" s="231" t="s">
        <v>3429</v>
      </c>
      <c r="B57" s="232" t="s">
        <v>3324</v>
      </c>
      <c r="C57" s="232" t="s">
        <v>3430</v>
      </c>
      <c r="D57" s="232">
        <v>10.398643493652344</v>
      </c>
      <c r="E57" s="232">
        <v>71.039756774902301</v>
      </c>
      <c r="F57" s="233">
        <v>6.6549035072326603</v>
      </c>
      <c r="G57" t="s">
        <v>3431</v>
      </c>
      <c r="H57" s="323">
        <v>0.55300000000000005</v>
      </c>
      <c r="I57">
        <f t="shared" si="0"/>
        <v>6.8316369167062208</v>
      </c>
      <c r="W57" s="148"/>
    </row>
    <row r="58" spans="1:26">
      <c r="A58" s="231" t="s">
        <v>3432</v>
      </c>
      <c r="B58" s="232" t="s">
        <v>3324</v>
      </c>
      <c r="C58" s="232" t="s">
        <v>3433</v>
      </c>
      <c r="D58" s="232">
        <v>0.49478974938392639</v>
      </c>
      <c r="E58" s="232">
        <v>12.43962574005127</v>
      </c>
      <c r="F58" s="233">
        <v>0.56315791606903076</v>
      </c>
      <c r="G58" t="s">
        <v>3434</v>
      </c>
      <c r="H58" s="323">
        <v>2.9529999999999998</v>
      </c>
      <c r="I58">
        <f t="shared" si="0"/>
        <v>25.141235758299604</v>
      </c>
      <c r="W58" s="148"/>
      <c r="X58" s="148"/>
    </row>
    <row r="59" spans="1:26">
      <c r="A59" s="231" t="s">
        <v>3435</v>
      </c>
      <c r="B59" s="232" t="s">
        <v>3324</v>
      </c>
      <c r="C59" s="232" t="s">
        <v>3303</v>
      </c>
      <c r="D59" s="232">
        <v>0.44762051105499268</v>
      </c>
      <c r="E59" s="232">
        <v>12.442903518676758</v>
      </c>
      <c r="F59" s="233">
        <v>0.53769987821578979</v>
      </c>
      <c r="G59" t="s">
        <v>3436</v>
      </c>
      <c r="H59" s="323">
        <v>2.7633000000000001</v>
      </c>
      <c r="I59">
        <f t="shared" si="0"/>
        <v>27.797885064181248</v>
      </c>
      <c r="W59" s="148"/>
      <c r="X59" s="148"/>
    </row>
    <row r="60" spans="1:26">
      <c r="A60" s="231" t="s">
        <v>3437</v>
      </c>
      <c r="B60" s="232" t="s">
        <v>3324</v>
      </c>
      <c r="C60" s="232" t="s">
        <v>3438</v>
      </c>
      <c r="D60" s="232">
        <v>0.65887707471847534</v>
      </c>
      <c r="E60" s="232">
        <v>13.223359107971191</v>
      </c>
      <c r="F60" s="233">
        <v>0.67851835489273071</v>
      </c>
      <c r="G60" t="s">
        <v>3439</v>
      </c>
      <c r="H60" s="323">
        <v>2.6625000000000001</v>
      </c>
      <c r="I60">
        <f t="shared" si="0"/>
        <v>20.069538940357369</v>
      </c>
      <c r="W60" s="148"/>
      <c r="X60" s="148"/>
    </row>
    <row r="61" spans="1:26">
      <c r="A61" s="231" t="s">
        <v>3440</v>
      </c>
      <c r="B61" s="232" t="s">
        <v>3324</v>
      </c>
      <c r="C61" s="232" t="s">
        <v>3441</v>
      </c>
      <c r="D61" s="232">
        <v>0.67238980531692505</v>
      </c>
      <c r="E61" s="232">
        <v>12.236926078796387</v>
      </c>
      <c r="F61" s="233">
        <v>0.78714656829833984</v>
      </c>
      <c r="G61" t="s">
        <v>3442</v>
      </c>
      <c r="H61" s="323">
        <v>2.9359000000000002</v>
      </c>
      <c r="I61">
        <f t="shared" si="0"/>
        <v>18.199154689783882</v>
      </c>
      <c r="W61" s="148"/>
      <c r="X61" s="148"/>
    </row>
    <row r="62" spans="1:26">
      <c r="A62" s="231" t="s">
        <v>3443</v>
      </c>
      <c r="B62" s="232" t="s">
        <v>3324</v>
      </c>
      <c r="C62" s="232" t="s">
        <v>3444</v>
      </c>
      <c r="D62" s="232">
        <v>0.66294419765472412</v>
      </c>
      <c r="E62" s="232">
        <v>11.76308536529541</v>
      </c>
      <c r="F62" s="233">
        <v>0.85527735948562622</v>
      </c>
      <c r="G62" t="s">
        <v>3445</v>
      </c>
      <c r="H62" s="323">
        <v>2.5590000000000002</v>
      </c>
      <c r="I62">
        <f t="shared" si="0"/>
        <v>17.743703628313348</v>
      </c>
      <c r="W62" s="148"/>
      <c r="X62" s="148"/>
    </row>
    <row r="63" spans="1:26" s="263" customFormat="1">
      <c r="A63" s="260" t="s">
        <v>3446</v>
      </c>
      <c r="B63" s="261" t="s">
        <v>3324</v>
      </c>
      <c r="C63" s="261" t="s">
        <v>3447</v>
      </c>
      <c r="D63" s="261">
        <v>1.0213484764099121</v>
      </c>
      <c r="E63" s="261">
        <v>13.287544250488281</v>
      </c>
      <c r="F63" s="262">
        <v>1.1840263605117798</v>
      </c>
      <c r="G63" s="263" t="s">
        <v>3448</v>
      </c>
      <c r="H63" s="323">
        <v>2.6875</v>
      </c>
      <c r="I63" s="263">
        <f t="shared" si="0"/>
        <v>13.009804740880041</v>
      </c>
      <c r="M63" s="263">
        <f>((D63-D68)/AVERAGE(D63,D68))*100</f>
        <v>-1.5217329990262796</v>
      </c>
      <c r="N63" s="263">
        <f>((E63-E68)/AVERAGE(E63,E68))*100</f>
        <v>-0.26446716267490078</v>
      </c>
      <c r="X63" s="148"/>
    </row>
    <row r="64" spans="1:26">
      <c r="A64" s="231" t="s">
        <v>3449</v>
      </c>
      <c r="B64" s="232" t="s">
        <v>3324</v>
      </c>
      <c r="C64" s="232" t="s">
        <v>3450</v>
      </c>
      <c r="D64" s="232">
        <v>0.28835150599479675</v>
      </c>
      <c r="E64" s="232">
        <v>3.24717750549316</v>
      </c>
      <c r="F64" s="233">
        <v>0.76731663942337036</v>
      </c>
      <c r="G64" s="38" t="s">
        <v>3307</v>
      </c>
      <c r="H64" s="328">
        <v>3.6732999999999998</v>
      </c>
      <c r="I64">
        <f t="shared" si="0"/>
        <v>11.261177548875901</v>
      </c>
      <c r="W64" s="148"/>
    </row>
    <row r="65" spans="1:24">
      <c r="A65" s="315" t="s">
        <v>3451</v>
      </c>
      <c r="B65" s="316" t="s">
        <v>3324</v>
      </c>
      <c r="C65" s="316" t="s">
        <v>3452</v>
      </c>
      <c r="D65" s="232"/>
      <c r="E65" s="232"/>
      <c r="F65" s="233"/>
      <c r="H65" s="324"/>
      <c r="W65" s="148"/>
    </row>
    <row r="66" spans="1:24">
      <c r="A66" s="231" t="s">
        <v>3453</v>
      </c>
      <c r="B66" s="232" t="s">
        <v>3324</v>
      </c>
      <c r="C66" s="232" t="s">
        <v>3454</v>
      </c>
      <c r="D66" s="232">
        <v>0.28253743052482605</v>
      </c>
      <c r="E66" s="232">
        <v>3.2185087203979492</v>
      </c>
      <c r="F66" s="233">
        <v>0.73793047666549683</v>
      </c>
      <c r="G66" s="38" t="s">
        <v>3307</v>
      </c>
      <c r="H66" s="329">
        <v>3.9211999999999998</v>
      </c>
      <c r="I66">
        <f t="shared" si="0"/>
        <v>11.391441885839422</v>
      </c>
      <c r="W66" s="148"/>
    </row>
    <row r="67" spans="1:24">
      <c r="A67" s="231" t="s">
        <v>3455</v>
      </c>
      <c r="B67" s="232" t="s">
        <v>3324</v>
      </c>
      <c r="C67" s="232" t="s">
        <v>3456</v>
      </c>
      <c r="D67" s="232">
        <v>0.78940832614898682</v>
      </c>
      <c r="E67" s="232">
        <v>12.947148323059082</v>
      </c>
      <c r="F67" s="233">
        <v>0.83196556568145752</v>
      </c>
      <c r="G67" t="s">
        <v>3457</v>
      </c>
      <c r="H67" s="323">
        <v>2.6515</v>
      </c>
      <c r="I67">
        <f t="shared" si="0"/>
        <v>16.401079003333869</v>
      </c>
      <c r="W67" s="148"/>
      <c r="X67" s="148"/>
    </row>
    <row r="68" spans="1:24" s="263" customFormat="1">
      <c r="A68" s="260" t="s">
        <v>3458</v>
      </c>
      <c r="B68" s="261" t="s">
        <v>3324</v>
      </c>
      <c r="C68" s="261" t="s">
        <v>3459</v>
      </c>
      <c r="D68" s="261">
        <v>1.0370098352432251</v>
      </c>
      <c r="E68" s="261">
        <v>13.322731971740723</v>
      </c>
      <c r="F68" s="262">
        <v>1.1796056032180786</v>
      </c>
      <c r="G68" s="263" t="s">
        <v>3460</v>
      </c>
      <c r="H68" s="323">
        <v>2.8424</v>
      </c>
      <c r="I68" s="263">
        <f t="shared" si="0"/>
        <v>12.847257103030222</v>
      </c>
      <c r="W68" s="384"/>
      <c r="X68" s="148"/>
    </row>
    <row r="69" spans="1:24" s="267" customFormat="1">
      <c r="A69" s="380" t="s">
        <v>3461</v>
      </c>
      <c r="B69" s="381" t="s">
        <v>3324</v>
      </c>
      <c r="C69" s="381" t="s">
        <v>3462</v>
      </c>
      <c r="D69" s="381">
        <v>0.75</v>
      </c>
      <c r="E69" s="381">
        <v>13.64</v>
      </c>
      <c r="F69" s="382">
        <v>0.76</v>
      </c>
      <c r="G69" s="267" t="s">
        <v>3463</v>
      </c>
      <c r="H69" s="370">
        <v>2.8144999999999998</v>
      </c>
      <c r="I69" s="267">
        <f t="shared" ref="I69" si="1">E69/D69</f>
        <v>18.186666666666667</v>
      </c>
      <c r="J69" s="379" t="s">
        <v>3464</v>
      </c>
      <c r="M69" s="268">
        <f>((D69-D71)/AVERAGE(D69,D71))*100</f>
        <v>-3.3915852791251986</v>
      </c>
      <c r="N69" s="268">
        <f>((E69-E71)/AVERAGE(E69,E71))*100</f>
        <v>4.225054313610558E-2</v>
      </c>
      <c r="W69" s="491"/>
      <c r="X69" s="148"/>
    </row>
    <row r="70" spans="1:24">
      <c r="A70" s="231" t="s">
        <v>3465</v>
      </c>
      <c r="B70" s="232" t="s">
        <v>3324</v>
      </c>
      <c r="C70" s="232" t="s">
        <v>3466</v>
      </c>
      <c r="D70" s="232">
        <v>0.59488427639007568</v>
      </c>
      <c r="E70" s="232">
        <v>12.892898559570313</v>
      </c>
      <c r="F70" s="233">
        <v>0.70162451267242432</v>
      </c>
      <c r="G70" t="s">
        <v>3467</v>
      </c>
      <c r="H70" s="323">
        <v>2.6408999999999998</v>
      </c>
      <c r="I70">
        <f t="shared" si="0"/>
        <v>21.672952322438292</v>
      </c>
      <c r="W70" s="148"/>
      <c r="X70" s="148"/>
    </row>
    <row r="71" spans="1:24" s="267" customFormat="1">
      <c r="A71" s="264" t="s">
        <v>3468</v>
      </c>
      <c r="B71" s="265" t="s">
        <v>3324</v>
      </c>
      <c r="C71" s="265" t="s">
        <v>3469</v>
      </c>
      <c r="D71" s="265">
        <v>0.77587568759918213</v>
      </c>
      <c r="E71" s="265">
        <v>13.634238243103027</v>
      </c>
      <c r="F71" s="266">
        <v>0.78748488426208496</v>
      </c>
      <c r="G71" s="267" t="s">
        <v>3470</v>
      </c>
      <c r="H71" s="323">
        <v>2.6686999999999999</v>
      </c>
      <c r="I71" s="267">
        <f t="shared" si="0"/>
        <v>17.572709727884249</v>
      </c>
      <c r="W71" s="491"/>
      <c r="X71" s="148"/>
    </row>
    <row r="72" spans="1:24">
      <c r="A72" s="231" t="s">
        <v>3471</v>
      </c>
      <c r="B72" s="232" t="s">
        <v>3324</v>
      </c>
      <c r="C72" s="232" t="s">
        <v>3472</v>
      </c>
      <c r="D72" s="232">
        <v>0.64429038763046265</v>
      </c>
      <c r="E72" s="232">
        <v>12.664948463439941</v>
      </c>
      <c r="F72" s="233">
        <v>0.71935164928436279</v>
      </c>
      <c r="G72" t="s">
        <v>3473</v>
      </c>
      <c r="H72" s="323">
        <v>2.7075999999999998</v>
      </c>
      <c r="I72">
        <f t="shared" ref="I72:I76" si="2">E72/D72</f>
        <v>19.657205363591444</v>
      </c>
      <c r="W72" s="148"/>
      <c r="X72" s="384"/>
    </row>
    <row r="73" spans="1:24">
      <c r="A73" s="231" t="s">
        <v>3474</v>
      </c>
      <c r="B73" s="232" t="s">
        <v>3324</v>
      </c>
      <c r="C73" s="232" t="s">
        <v>3475</v>
      </c>
      <c r="D73" s="232">
        <v>0.57904958724975586</v>
      </c>
      <c r="E73" s="232">
        <v>12.459025382995605</v>
      </c>
      <c r="F73" s="233">
        <v>0.66033798456192017</v>
      </c>
      <c r="G73" t="s">
        <v>3476</v>
      </c>
      <c r="H73" s="323">
        <v>2.5792999999999999</v>
      </c>
      <c r="I73">
        <f t="shared" si="2"/>
        <v>21.516335832602493</v>
      </c>
      <c r="W73" s="148"/>
      <c r="X73" s="148"/>
    </row>
    <row r="74" spans="1:24">
      <c r="A74" s="231" t="s">
        <v>3477</v>
      </c>
      <c r="B74" s="232" t="s">
        <v>3324</v>
      </c>
      <c r="C74" s="232" t="s">
        <v>3478</v>
      </c>
      <c r="D74" s="232">
        <v>0.97274410724639893</v>
      </c>
      <c r="E74" s="232">
        <v>13.983448028564453</v>
      </c>
      <c r="F74" s="233">
        <v>0.90682899951934814</v>
      </c>
      <c r="G74" t="s">
        <v>3479</v>
      </c>
      <c r="H74" s="323">
        <v>2.7948</v>
      </c>
      <c r="I74">
        <f t="shared" si="2"/>
        <v>14.375258533457664</v>
      </c>
      <c r="W74" s="148"/>
      <c r="X74" s="148"/>
    </row>
    <row r="75" spans="1:24">
      <c r="A75" s="231" t="s">
        <v>3480</v>
      </c>
      <c r="B75" s="232" t="s">
        <v>3324</v>
      </c>
      <c r="C75" s="232" t="s">
        <v>3481</v>
      </c>
      <c r="D75" s="232">
        <v>10.306266403198199</v>
      </c>
      <c r="E75" s="232">
        <v>71.009834289550781</v>
      </c>
      <c r="F75" s="233">
        <v>6.6842618942260703</v>
      </c>
      <c r="G75" t="s">
        <v>3431</v>
      </c>
      <c r="H75" s="323">
        <v>0.48520000000000002</v>
      </c>
      <c r="I75">
        <f t="shared" si="2"/>
        <v>6.8899668911639322</v>
      </c>
      <c r="W75" s="148"/>
    </row>
    <row r="76" spans="1:24">
      <c r="A76" s="231" t="s">
        <v>3482</v>
      </c>
      <c r="B76" s="232" t="s">
        <v>3324</v>
      </c>
      <c r="C76" s="232" t="s">
        <v>3483</v>
      </c>
      <c r="D76" s="232">
        <v>10.3705736160278</v>
      </c>
      <c r="E76" s="232">
        <v>70.998611450195313</v>
      </c>
      <c r="F76" s="233">
        <v>6.6180753707885742</v>
      </c>
      <c r="G76" t="s">
        <v>3431</v>
      </c>
      <c r="H76" s="323">
        <v>0.53120000000000001</v>
      </c>
      <c r="I76">
        <f t="shared" si="2"/>
        <v>6.8461604997882111</v>
      </c>
      <c r="W76" s="148"/>
    </row>
    <row r="77" spans="1:24">
      <c r="W77" s="148"/>
    </row>
    <row r="78" spans="1:24">
      <c r="A78" t="s">
        <v>3484</v>
      </c>
      <c r="W78" s="148"/>
    </row>
    <row r="79" spans="1:24">
      <c r="A79" t="s">
        <v>3485</v>
      </c>
      <c r="W79" s="148"/>
    </row>
    <row r="80" spans="1:24">
      <c r="W80" s="148"/>
    </row>
    <row r="81" spans="1:24">
      <c r="A81" t="s">
        <v>3486</v>
      </c>
      <c r="W81" s="148"/>
    </row>
    <row r="82" spans="1:24">
      <c r="A82" t="s">
        <v>395</v>
      </c>
      <c r="B82" t="s">
        <v>3115</v>
      </c>
      <c r="C82" t="s">
        <v>3236</v>
      </c>
      <c r="D82" t="s">
        <v>3237</v>
      </c>
      <c r="E82" t="s">
        <v>3238</v>
      </c>
      <c r="F82" t="s">
        <v>3239</v>
      </c>
      <c r="K82" t="s">
        <v>3240</v>
      </c>
      <c r="W82" s="148"/>
    </row>
    <row r="83" spans="1:24">
      <c r="A83" t="s">
        <v>3243</v>
      </c>
      <c r="B83" t="s">
        <v>3487</v>
      </c>
      <c r="C83" t="s">
        <v>3396</v>
      </c>
      <c r="D83" t="s">
        <v>3246</v>
      </c>
      <c r="E83" t="s">
        <v>3246</v>
      </c>
      <c r="F83" t="s">
        <v>3246</v>
      </c>
      <c r="J83" s="364"/>
      <c r="W83" s="148"/>
    </row>
    <row r="84" spans="1:24" s="247" customFormat="1">
      <c r="A84" s="247" t="s">
        <v>3248</v>
      </c>
      <c r="B84" s="247" t="s">
        <v>3487</v>
      </c>
      <c r="C84" s="247" t="s">
        <v>3401</v>
      </c>
      <c r="D84" s="247">
        <v>0.73464572429656982</v>
      </c>
      <c r="E84" s="247">
        <v>13.745884895324707</v>
      </c>
      <c r="F84" s="247">
        <v>0.77719330787658691</v>
      </c>
      <c r="G84" s="247">
        <v>2022</v>
      </c>
      <c r="H84" s="247">
        <v>3800</v>
      </c>
      <c r="I84" s="247">
        <v>17</v>
      </c>
      <c r="J84" s="371">
        <v>3.157</v>
      </c>
      <c r="K84" s="500">
        <f>E84/D84</f>
        <v>18.710903011770089</v>
      </c>
      <c r="M84" s="335">
        <f>((D84-D85)/AVERAGE(D84,D85))*100</f>
        <v>1.2358509345986464</v>
      </c>
      <c r="N84" s="335">
        <f>((E84-E85)/AVERAGE(E84,E85))*100</f>
        <v>-2.0575663499244681E-2</v>
      </c>
      <c r="W84" s="383"/>
      <c r="X84" s="148"/>
    </row>
    <row r="85" spans="1:24" s="247" customFormat="1">
      <c r="A85" s="247" t="s">
        <v>3253</v>
      </c>
      <c r="B85" s="247" t="s">
        <v>3487</v>
      </c>
      <c r="C85" s="247" t="s">
        <v>3406</v>
      </c>
      <c r="D85" s="247">
        <v>0.72562235593795776</v>
      </c>
      <c r="E85" s="247">
        <v>13.748713493347168</v>
      </c>
      <c r="F85" s="247">
        <v>0.76136785745620728</v>
      </c>
      <c r="G85" s="247">
        <v>2022</v>
      </c>
      <c r="H85" s="247">
        <v>3800</v>
      </c>
      <c r="I85" s="247">
        <v>17</v>
      </c>
      <c r="J85" s="370">
        <v>2.5773000000000001</v>
      </c>
      <c r="K85" s="500">
        <f t="shared" ref="K85:K125" si="3">E85/D85</f>
        <v>18.94747781795564</v>
      </c>
      <c r="M85" s="335"/>
      <c r="N85" s="335"/>
      <c r="W85" s="383"/>
      <c r="X85" s="148"/>
    </row>
    <row r="86" spans="1:24">
      <c r="A86" t="s">
        <v>3256</v>
      </c>
      <c r="B86" t="s">
        <v>3487</v>
      </c>
      <c r="C86" t="s">
        <v>3410</v>
      </c>
      <c r="D86">
        <v>0.56842035055160522</v>
      </c>
      <c r="E86">
        <v>13.072277069091797</v>
      </c>
      <c r="F86">
        <v>0.57020580768585205</v>
      </c>
      <c r="G86">
        <v>2022</v>
      </c>
      <c r="H86">
        <v>2000</v>
      </c>
      <c r="I86">
        <v>12</v>
      </c>
      <c r="J86" s="370">
        <v>2.9275000000000002</v>
      </c>
      <c r="K86" s="500">
        <f t="shared" si="3"/>
        <v>22.997552878615672</v>
      </c>
      <c r="M86" s="44">
        <f>((D86-D38)/AVERAGE(D86,D38))*100</f>
        <v>-0.73902928478891905</v>
      </c>
      <c r="N86" s="44">
        <f>((E86-E38)/AVERAGE(E86,E38))*100</f>
        <v>1.5705480874748861</v>
      </c>
      <c r="W86" s="148"/>
      <c r="X86" s="148"/>
    </row>
    <row r="87" spans="1:24">
      <c r="A87" t="s">
        <v>3259</v>
      </c>
      <c r="B87" t="s">
        <v>3487</v>
      </c>
      <c r="C87" t="s">
        <v>3415</v>
      </c>
      <c r="D87">
        <v>0.9995693564414978</v>
      </c>
      <c r="E87">
        <v>13.344185829162598</v>
      </c>
      <c r="F87">
        <v>1.1623265743255615</v>
      </c>
      <c r="G87">
        <v>2022</v>
      </c>
      <c r="H87">
        <v>3800</v>
      </c>
      <c r="I87">
        <v>15</v>
      </c>
      <c r="J87" s="370">
        <v>2.9470000000000001</v>
      </c>
      <c r="K87" s="500">
        <f t="shared" si="3"/>
        <v>13.349934892630532</v>
      </c>
      <c r="M87" s="44">
        <f>((D87-D68)/AVERAGE(D87,D68))*100</f>
        <v>-3.6768006817113106</v>
      </c>
      <c r="N87" s="44">
        <f>((E87-E63)/AVERAGE(E87,E63))*100</f>
        <v>0.42536912551239658</v>
      </c>
      <c r="W87" s="148"/>
      <c r="X87" s="148"/>
    </row>
    <row r="88" spans="1:24">
      <c r="A88" t="s">
        <v>3263</v>
      </c>
      <c r="B88" t="s">
        <v>3487</v>
      </c>
      <c r="C88" t="s">
        <v>3420</v>
      </c>
      <c r="D88">
        <v>0.26668828725814819</v>
      </c>
      <c r="E88">
        <v>3.177544116973877</v>
      </c>
      <c r="F88">
        <v>0.73835277557373047</v>
      </c>
      <c r="G88">
        <v>2022</v>
      </c>
      <c r="H88" t="s">
        <v>3488</v>
      </c>
      <c r="I88">
        <v>1</v>
      </c>
      <c r="J88" s="370">
        <v>3.6880000000000002</v>
      </c>
      <c r="K88" s="500">
        <f t="shared" si="3"/>
        <v>11.914824417834618</v>
      </c>
      <c r="M88" s="44">
        <f>((D87-D63)/AVERAGE(D87,D63))*100</f>
        <v>-2.1553691708173113</v>
      </c>
      <c r="N88" s="44">
        <f>((E87-E63)/AVERAGE(E87,E63))*100</f>
        <v>0.42536912551239658</v>
      </c>
      <c r="W88" s="148"/>
    </row>
    <row r="89" spans="1:24">
      <c r="A89" t="s">
        <v>3489</v>
      </c>
      <c r="B89" t="s">
        <v>3487</v>
      </c>
      <c r="C89" t="s">
        <v>3490</v>
      </c>
      <c r="J89" s="364"/>
      <c r="K89" s="500"/>
      <c r="M89" s="44"/>
      <c r="N89" s="44"/>
      <c r="W89" s="148"/>
    </row>
    <row r="90" spans="1:24">
      <c r="A90" t="s">
        <v>3267</v>
      </c>
      <c r="B90" t="s">
        <v>3487</v>
      </c>
      <c r="C90" t="s">
        <v>3491</v>
      </c>
      <c r="D90">
        <v>10.471560859680199</v>
      </c>
      <c r="E90">
        <v>70.948966979980469</v>
      </c>
      <c r="F90">
        <v>6.5418376922607422</v>
      </c>
      <c r="G90">
        <v>2022</v>
      </c>
      <c r="H90" t="s">
        <v>3370</v>
      </c>
      <c r="I90">
        <v>1</v>
      </c>
      <c r="J90" s="370">
        <v>0.68700000000000006</v>
      </c>
      <c r="K90" s="500">
        <f t="shared" si="3"/>
        <v>6.7753955623906146</v>
      </c>
      <c r="M90" s="44"/>
      <c r="N90" s="44"/>
      <c r="W90" s="148"/>
    </row>
    <row r="91" spans="1:24">
      <c r="A91" t="s">
        <v>3270</v>
      </c>
      <c r="B91" t="s">
        <v>3487</v>
      </c>
      <c r="C91" t="s">
        <v>3492</v>
      </c>
      <c r="D91">
        <v>5.1203826904296896</v>
      </c>
      <c r="E91">
        <v>31.072349548339801</v>
      </c>
      <c r="F91">
        <v>4.1640233993530273</v>
      </c>
      <c r="G91">
        <v>2022</v>
      </c>
      <c r="H91">
        <v>1000</v>
      </c>
      <c r="I91">
        <v>4</v>
      </c>
      <c r="J91" s="370">
        <v>2.9815999999999998</v>
      </c>
      <c r="K91" s="500">
        <f t="shared" si="3"/>
        <v>6.0683646959466397</v>
      </c>
      <c r="M91" s="44">
        <f>((D91-D6)/AVERAGE(D91,D6))*100</f>
        <v>1.6819076304587701</v>
      </c>
      <c r="N91" s="44">
        <f>((E91-E6)/AVERAGE(E91,E6))*100</f>
        <v>0.83525302303342697</v>
      </c>
      <c r="W91" s="148"/>
      <c r="X91" s="148"/>
    </row>
    <row r="92" spans="1:24">
      <c r="A92" t="s">
        <v>3273</v>
      </c>
      <c r="B92" t="s">
        <v>3487</v>
      </c>
      <c r="C92" t="s">
        <v>3493</v>
      </c>
      <c r="D92">
        <v>0.77766084671020508</v>
      </c>
      <c r="E92">
        <v>13.765274047851563</v>
      </c>
      <c r="F92">
        <v>0.80296355485916138</v>
      </c>
      <c r="G92">
        <v>2022</v>
      </c>
      <c r="H92">
        <v>1000</v>
      </c>
      <c r="I92">
        <v>14</v>
      </c>
      <c r="J92" s="370">
        <v>2.6562000000000001</v>
      </c>
      <c r="K92" s="500">
        <f t="shared" si="3"/>
        <v>17.700870637995724</v>
      </c>
      <c r="M92" s="44">
        <f>((D92-D19)/AVERAGE(D92,D19))*100</f>
        <v>1.5004208934586261</v>
      </c>
      <c r="N92" s="44">
        <f>((E92-E19)/AVERAGE(E92,E19))*100</f>
        <v>1.6337800801872908</v>
      </c>
      <c r="W92" s="148"/>
      <c r="X92" s="487"/>
    </row>
    <row r="93" spans="1:24">
      <c r="A93" t="s">
        <v>3276</v>
      </c>
      <c r="B93" t="s">
        <v>3487</v>
      </c>
      <c r="C93" t="s">
        <v>3438</v>
      </c>
      <c r="D93">
        <v>0.7221674919128418</v>
      </c>
      <c r="E93">
        <v>12.918704032897949</v>
      </c>
      <c r="F93">
        <v>0.76824826002120972</v>
      </c>
      <c r="G93">
        <v>2022</v>
      </c>
      <c r="H93">
        <v>2000</v>
      </c>
      <c r="I93">
        <v>8</v>
      </c>
      <c r="J93" s="370">
        <v>2.8731</v>
      </c>
      <c r="K93" s="500">
        <f t="shared" si="3"/>
        <v>17.888791973562146</v>
      </c>
      <c r="M93" s="44">
        <f>((D93-D34)/AVERAGE(D93,D34))*100</f>
        <v>0.89343654883966284</v>
      </c>
      <c r="N93" s="44">
        <f>((E93-E34)/AVERAGE(E93,E34))*100</f>
        <v>0.11390451660842857</v>
      </c>
      <c r="W93" s="148"/>
      <c r="X93" s="148"/>
    </row>
    <row r="94" spans="1:24">
      <c r="A94" t="s">
        <v>3279</v>
      </c>
      <c r="B94" t="s">
        <v>3487</v>
      </c>
      <c r="C94" t="s">
        <v>3441</v>
      </c>
      <c r="D94">
        <v>0.27272194623947144</v>
      </c>
      <c r="E94">
        <v>3.1984291744232198</v>
      </c>
      <c r="F94">
        <v>0.71617603302001953</v>
      </c>
      <c r="G94">
        <v>2022</v>
      </c>
      <c r="H94" t="s">
        <v>3488</v>
      </c>
      <c r="I94">
        <v>2</v>
      </c>
      <c r="J94" s="370">
        <v>3.7319</v>
      </c>
      <c r="K94" s="500">
        <f t="shared" si="3"/>
        <v>11.727802688877652</v>
      </c>
      <c r="M94" s="44"/>
      <c r="N94" s="44"/>
    </row>
    <row r="95" spans="1:24" ht="15" thickBot="1">
      <c r="A95" t="s">
        <v>3282</v>
      </c>
      <c r="B95" t="s">
        <v>3487</v>
      </c>
      <c r="C95" t="s">
        <v>3444</v>
      </c>
      <c r="D95">
        <v>10.4430173873901</v>
      </c>
      <c r="E95">
        <v>70.962677001953097</v>
      </c>
      <c r="F95">
        <v>6.6520549774169897</v>
      </c>
      <c r="G95">
        <v>2022</v>
      </c>
      <c r="H95" t="s">
        <v>3370</v>
      </c>
      <c r="I95">
        <v>2</v>
      </c>
      <c r="J95" s="372">
        <v>0.68730000000000002</v>
      </c>
      <c r="K95" s="500">
        <f t="shared" si="3"/>
        <v>6.7952273150134017</v>
      </c>
    </row>
    <row r="96" spans="1:24" ht="15" thickTop="1">
      <c r="K96" s="500"/>
    </row>
    <row r="97" spans="1:14">
      <c r="A97" t="s">
        <v>3484</v>
      </c>
      <c r="K97" s="500"/>
    </row>
    <row r="98" spans="1:14">
      <c r="A98" t="s">
        <v>3485</v>
      </c>
      <c r="K98" s="500"/>
    </row>
    <row r="99" spans="1:14">
      <c r="K99" s="500"/>
    </row>
    <row r="100" spans="1:14">
      <c r="A100" s="228" t="s">
        <v>395</v>
      </c>
      <c r="B100" s="229" t="s">
        <v>3115</v>
      </c>
      <c r="C100" s="229" t="s">
        <v>3236</v>
      </c>
      <c r="D100" s="229" t="s">
        <v>3237</v>
      </c>
      <c r="E100" s="229" t="s">
        <v>3238</v>
      </c>
      <c r="F100" s="230" t="s">
        <v>3239</v>
      </c>
      <c r="K100" s="500"/>
    </row>
    <row r="101" spans="1:14">
      <c r="A101" s="231" t="s">
        <v>3494</v>
      </c>
      <c r="B101" s="232" t="s">
        <v>3495</v>
      </c>
      <c r="C101" s="232" t="s">
        <v>3496</v>
      </c>
      <c r="D101" s="232">
        <v>0</v>
      </c>
      <c r="E101" s="232">
        <v>5.5715091308590004E-4</v>
      </c>
      <c r="F101" s="233">
        <v>0</v>
      </c>
      <c r="K101" s="500"/>
    </row>
    <row r="102" spans="1:14">
      <c r="A102" s="231" t="s">
        <v>3497</v>
      </c>
      <c r="B102" s="232" t="s">
        <v>3495</v>
      </c>
      <c r="C102" s="232" t="s">
        <v>3498</v>
      </c>
      <c r="D102" s="232">
        <v>0.90104067325592041</v>
      </c>
      <c r="E102" s="232">
        <v>14.902379035949707</v>
      </c>
      <c r="F102" s="233">
        <v>0.845958411693573</v>
      </c>
      <c r="G102" s="492">
        <v>2022</v>
      </c>
      <c r="H102" s="492">
        <v>1000</v>
      </c>
      <c r="I102" s="493">
        <v>1</v>
      </c>
      <c r="J102" s="499">
        <v>3.0853999999999999</v>
      </c>
      <c r="K102" s="500">
        <f t="shared" si="3"/>
        <v>16.539074736881517</v>
      </c>
    </row>
    <row r="103" spans="1:14">
      <c r="A103" s="231" t="s">
        <v>3499</v>
      </c>
      <c r="B103" s="232" t="s">
        <v>3495</v>
      </c>
      <c r="C103" s="232" t="s">
        <v>3500</v>
      </c>
      <c r="D103" s="232">
        <v>0.85591816902160645</v>
      </c>
      <c r="E103" s="232">
        <v>14.848922729492188</v>
      </c>
      <c r="F103" s="233">
        <v>0.79469203948974609</v>
      </c>
      <c r="G103" s="492">
        <v>2022</v>
      </c>
      <c r="H103" s="492">
        <v>1000</v>
      </c>
      <c r="I103" s="494" t="s">
        <v>3501</v>
      </c>
      <c r="J103" s="323">
        <v>2.8616000000000001</v>
      </c>
      <c r="K103" s="500">
        <f t="shared" si="3"/>
        <v>17.348530813951385</v>
      </c>
      <c r="M103">
        <f>((D103-D110)/AVERAGE(D103,D110))*100</f>
        <v>-3.1285857503962982</v>
      </c>
      <c r="N103">
        <f>((E103-E110)/AVERAGE(E103,E110))*100</f>
        <v>-0.43469875413508063</v>
      </c>
    </row>
    <row r="104" spans="1:14">
      <c r="A104" s="231" t="s">
        <v>3502</v>
      </c>
      <c r="B104" s="232" t="s">
        <v>3495</v>
      </c>
      <c r="C104" s="232" t="s">
        <v>3503</v>
      </c>
      <c r="D104" s="232">
        <v>1.1210634708404541</v>
      </c>
      <c r="E104" s="232">
        <v>15.738003730773926</v>
      </c>
      <c r="F104" s="233">
        <v>1.0761508941650391</v>
      </c>
      <c r="G104" s="492">
        <v>2022</v>
      </c>
      <c r="H104" s="492">
        <v>1000</v>
      </c>
      <c r="I104" s="494">
        <v>3</v>
      </c>
      <c r="J104" s="323">
        <v>2.9182000000000001</v>
      </c>
      <c r="K104" s="500">
        <f t="shared" si="3"/>
        <v>14.038459141814018</v>
      </c>
    </row>
    <row r="105" spans="1:14">
      <c r="A105" s="231" t="s">
        <v>3504</v>
      </c>
      <c r="B105" s="232" t="s">
        <v>3495</v>
      </c>
      <c r="C105" s="232" t="s">
        <v>3505</v>
      </c>
      <c r="D105" s="232">
        <v>5.1731257438659668</v>
      </c>
      <c r="E105" s="232">
        <v>32.558025360107422</v>
      </c>
      <c r="F105" s="233">
        <v>4.2740774154663086</v>
      </c>
      <c r="G105" s="492">
        <v>2022</v>
      </c>
      <c r="H105" s="492">
        <v>1000</v>
      </c>
      <c r="I105" s="494">
        <v>4</v>
      </c>
      <c r="J105" s="323">
        <v>2.7864</v>
      </c>
      <c r="K105" s="500">
        <f t="shared" si="3"/>
        <v>6.2936852827737848</v>
      </c>
    </row>
    <row r="106" spans="1:14">
      <c r="A106" s="231" t="s">
        <v>3506</v>
      </c>
      <c r="B106" s="232" t="s">
        <v>3495</v>
      </c>
      <c r="C106" s="232" t="s">
        <v>3507</v>
      </c>
      <c r="D106" s="232">
        <v>2.7678661346435547</v>
      </c>
      <c r="E106" s="232">
        <v>21.180381774902344</v>
      </c>
      <c r="F106" s="233">
        <v>2.2363741397857666</v>
      </c>
      <c r="G106" s="492">
        <v>2022</v>
      </c>
      <c r="H106" s="492">
        <v>1000</v>
      </c>
      <c r="I106" s="494">
        <v>5</v>
      </c>
      <c r="J106" s="323">
        <v>3.0089000000000001</v>
      </c>
      <c r="K106" s="500">
        <f t="shared" si="3"/>
        <v>7.6522421044144711</v>
      </c>
    </row>
    <row r="107" spans="1:14">
      <c r="A107" s="231" t="s">
        <v>3508</v>
      </c>
      <c r="B107" s="232" t="s">
        <v>3495</v>
      </c>
      <c r="C107" s="232" t="s">
        <v>3509</v>
      </c>
      <c r="D107" s="232"/>
      <c r="E107" s="232"/>
      <c r="F107" s="233"/>
      <c r="K107" s="500"/>
    </row>
    <row r="108" spans="1:14">
      <c r="A108" s="231" t="s">
        <v>3510</v>
      </c>
      <c r="B108" s="232" t="s">
        <v>3495</v>
      </c>
      <c r="C108" s="232" t="s">
        <v>3511</v>
      </c>
      <c r="D108" s="232">
        <v>0.25100025534629822</v>
      </c>
      <c r="E108" s="232">
        <v>3.4168965816497803</v>
      </c>
      <c r="F108" s="233">
        <v>0.69724452495574951</v>
      </c>
      <c r="G108" s="492"/>
      <c r="H108" s="492" t="s">
        <v>3488</v>
      </c>
      <c r="I108" s="494">
        <v>1</v>
      </c>
      <c r="J108" s="323">
        <v>3.7258</v>
      </c>
      <c r="K108" s="500">
        <f t="shared" si="3"/>
        <v>13.613119942589625</v>
      </c>
    </row>
    <row r="109" spans="1:14">
      <c r="A109" s="231" t="s">
        <v>3512</v>
      </c>
      <c r="B109" s="232" t="s">
        <v>3495</v>
      </c>
      <c r="C109" s="232" t="s">
        <v>3513</v>
      </c>
      <c r="D109" s="232">
        <v>10.3827235412598</v>
      </c>
      <c r="E109" s="232">
        <v>71.031150817871094</v>
      </c>
      <c r="F109" s="233">
        <v>6.75006103515625</v>
      </c>
      <c r="G109" s="492"/>
      <c r="H109" s="495" t="s">
        <v>3370</v>
      </c>
      <c r="I109" s="494">
        <v>1</v>
      </c>
      <c r="J109" s="323">
        <v>0.81830000000000003</v>
      </c>
      <c r="K109" s="500">
        <f t="shared" si="3"/>
        <v>6.8412830733286043</v>
      </c>
    </row>
    <row r="110" spans="1:14">
      <c r="A110" s="231" t="s">
        <v>3514</v>
      </c>
      <c r="B110" s="232" t="s">
        <v>3495</v>
      </c>
      <c r="C110" s="232" t="s">
        <v>3515</v>
      </c>
      <c r="D110" s="232">
        <v>0.88312184810638428</v>
      </c>
      <c r="E110" s="232">
        <v>14.91361141204834</v>
      </c>
      <c r="F110" s="233">
        <v>0.83500820398330688</v>
      </c>
      <c r="G110" s="492">
        <v>2022</v>
      </c>
      <c r="H110" s="492">
        <v>1000</v>
      </c>
      <c r="I110" s="323" t="s">
        <v>3516</v>
      </c>
      <c r="J110" s="323">
        <v>2.6995</v>
      </c>
      <c r="K110" s="500">
        <f t="shared" si="3"/>
        <v>16.887376803129197</v>
      </c>
    </row>
    <row r="111" spans="1:14">
      <c r="A111" s="231" t="s">
        <v>3517</v>
      </c>
      <c r="B111" s="232" t="s">
        <v>3495</v>
      </c>
      <c r="C111" s="232" t="s">
        <v>3518</v>
      </c>
      <c r="D111" s="232">
        <v>1.4365586042404175</v>
      </c>
      <c r="E111" s="232">
        <v>15.073125839233398</v>
      </c>
      <c r="F111" s="233">
        <v>1.179364800453186</v>
      </c>
      <c r="G111" s="492">
        <v>2022</v>
      </c>
      <c r="H111" s="492">
        <v>1000</v>
      </c>
      <c r="I111" s="494" t="s">
        <v>3519</v>
      </c>
      <c r="J111" s="323">
        <v>2.7298</v>
      </c>
      <c r="K111" s="500">
        <f t="shared" si="3"/>
        <v>10.492524143979031</v>
      </c>
      <c r="M111">
        <f>((D111-D118)/AVERAGE(D111,D118))*100</f>
        <v>-2.4725907299914449</v>
      </c>
      <c r="N111">
        <f>((E111-E118)/AVERAGE(E111,E118))*100</f>
        <v>0.17165276242563013</v>
      </c>
    </row>
    <row r="112" spans="1:14">
      <c r="A112" s="231" t="s">
        <v>3520</v>
      </c>
      <c r="B112" s="232" t="s">
        <v>3495</v>
      </c>
      <c r="C112" s="232" t="s">
        <v>3521</v>
      </c>
      <c r="D112" s="232">
        <v>1.1620010137557983</v>
      </c>
      <c r="E112" s="232">
        <v>14.974660873413086</v>
      </c>
      <c r="F112" s="233">
        <v>1.0663160085678101</v>
      </c>
      <c r="G112" s="492">
        <v>2022</v>
      </c>
      <c r="H112" s="492">
        <v>1000</v>
      </c>
      <c r="I112" s="494">
        <v>7</v>
      </c>
      <c r="J112" s="323">
        <v>2.6253000000000002</v>
      </c>
      <c r="K112" s="500">
        <f t="shared" si="3"/>
        <v>12.886960248866101</v>
      </c>
    </row>
    <row r="113" spans="1:20">
      <c r="A113" s="231" t="s">
        <v>3522</v>
      </c>
      <c r="B113" s="232" t="s">
        <v>3495</v>
      </c>
      <c r="C113" s="232" t="s">
        <v>3523</v>
      </c>
      <c r="D113" s="232">
        <v>1.3534483909606934</v>
      </c>
      <c r="E113" s="232">
        <v>15.46688175201416</v>
      </c>
      <c r="F113" s="233">
        <v>1.1465585231781006</v>
      </c>
      <c r="G113" s="496">
        <v>2022</v>
      </c>
      <c r="H113" s="496">
        <v>1000</v>
      </c>
      <c r="I113" s="497">
        <v>8</v>
      </c>
      <c r="J113" s="324">
        <v>3.1091000000000002</v>
      </c>
      <c r="K113" s="500"/>
    </row>
    <row r="114" spans="1:20">
      <c r="A114" s="231" t="s">
        <v>3524</v>
      </c>
      <c r="B114" s="232" t="s">
        <v>3495</v>
      </c>
      <c r="C114" s="232" t="s">
        <v>3525</v>
      </c>
      <c r="D114" s="232"/>
      <c r="E114" s="232"/>
      <c r="F114" s="233"/>
      <c r="K114" s="500"/>
    </row>
    <row r="115" spans="1:20">
      <c r="A115" s="231" t="s">
        <v>3526</v>
      </c>
      <c r="B115" s="232" t="s">
        <v>3495</v>
      </c>
      <c r="C115" s="232" t="s">
        <v>3527</v>
      </c>
      <c r="D115" s="232">
        <v>0.83412986993789673</v>
      </c>
      <c r="E115" s="232">
        <v>13.881094932556152</v>
      </c>
      <c r="F115" s="233">
        <v>0.82190054655075073</v>
      </c>
      <c r="G115" s="326">
        <v>2022</v>
      </c>
      <c r="H115" s="326">
        <v>1000</v>
      </c>
      <c r="I115" s="498">
        <v>9</v>
      </c>
      <c r="J115" s="325">
        <v>3.1006</v>
      </c>
      <c r="K115" s="500">
        <f t="shared" si="3"/>
        <v>16.641407330958714</v>
      </c>
    </row>
    <row r="116" spans="1:20">
      <c r="A116" s="231" t="s">
        <v>3528</v>
      </c>
      <c r="B116" s="232" t="s">
        <v>3495</v>
      </c>
      <c r="C116" s="232" t="s">
        <v>3529</v>
      </c>
      <c r="D116" s="232">
        <v>0.25559177994728088</v>
      </c>
      <c r="E116" s="232">
        <v>3.4451503753662109</v>
      </c>
      <c r="F116" s="233">
        <v>0.72894489765167236</v>
      </c>
      <c r="G116" s="492"/>
      <c r="H116" s="492" t="s">
        <v>3488</v>
      </c>
      <c r="I116" s="494">
        <v>2</v>
      </c>
      <c r="J116" s="323">
        <v>3.5491999999999999</v>
      </c>
      <c r="K116" s="500">
        <f t="shared" si="3"/>
        <v>13.479112575830168</v>
      </c>
    </row>
    <row r="117" spans="1:20">
      <c r="A117" s="231" t="s">
        <v>3530</v>
      </c>
      <c r="B117" s="232" t="s">
        <v>3495</v>
      </c>
      <c r="C117" s="232" t="s">
        <v>3531</v>
      </c>
      <c r="D117" s="232">
        <v>10.345909118652344</v>
      </c>
      <c r="E117" s="232">
        <v>71.130964660644494</v>
      </c>
      <c r="F117" s="233">
        <v>6.7666740417480469</v>
      </c>
      <c r="G117" s="492"/>
      <c r="H117" s="495" t="s">
        <v>3370</v>
      </c>
      <c r="I117" s="494">
        <v>2</v>
      </c>
      <c r="J117" s="323">
        <v>0.65800000000000003</v>
      </c>
      <c r="K117" s="500">
        <f t="shared" si="3"/>
        <v>6.8752744533976733</v>
      </c>
    </row>
    <row r="118" spans="1:20">
      <c r="A118" s="231" t="s">
        <v>3532</v>
      </c>
      <c r="B118" s="232" t="s">
        <v>3495</v>
      </c>
      <c r="C118" s="232" t="s">
        <v>3533</v>
      </c>
      <c r="D118" s="232">
        <v>1.4725234508514404</v>
      </c>
      <c r="E118" s="232">
        <v>15.047274589538574</v>
      </c>
      <c r="F118" s="233">
        <v>1.2246569395065308</v>
      </c>
      <c r="G118" s="492">
        <v>2022</v>
      </c>
      <c r="H118" s="492">
        <v>1000</v>
      </c>
      <c r="I118" s="323" t="s">
        <v>3534</v>
      </c>
      <c r="J118" s="323">
        <v>2.6747000000000001</v>
      </c>
      <c r="K118" s="500">
        <f t="shared" si="3"/>
        <v>10.218699458292472</v>
      </c>
    </row>
    <row r="119" spans="1:20">
      <c r="A119" s="231" t="s">
        <v>3535</v>
      </c>
      <c r="B119" s="232" t="s">
        <v>3495</v>
      </c>
      <c r="C119" s="232" t="s">
        <v>3536</v>
      </c>
      <c r="D119" s="232">
        <v>0.68007773160934448</v>
      </c>
      <c r="E119" s="232">
        <v>13.525103569030762</v>
      </c>
      <c r="F119" s="233">
        <v>0.68520277738571167</v>
      </c>
      <c r="G119" s="492">
        <v>2022</v>
      </c>
      <c r="H119" s="492">
        <v>1000</v>
      </c>
      <c r="I119" s="494">
        <v>10</v>
      </c>
      <c r="J119" s="323">
        <v>2.7277</v>
      </c>
      <c r="K119" s="500">
        <f t="shared" si="3"/>
        <v>19.887584816260322</v>
      </c>
      <c r="M119" t="s">
        <v>3537</v>
      </c>
    </row>
    <row r="120" spans="1:20">
      <c r="A120" s="231" t="s">
        <v>3538</v>
      </c>
      <c r="B120" s="232" t="s">
        <v>3495</v>
      </c>
      <c r="C120" s="232" t="s">
        <v>3539</v>
      </c>
      <c r="D120" s="232">
        <v>0.61902719736099243</v>
      </c>
      <c r="E120" s="232">
        <v>13.522268295288086</v>
      </c>
      <c r="F120" s="233">
        <v>0.67188370227813721</v>
      </c>
      <c r="G120" s="492">
        <v>2022</v>
      </c>
      <c r="H120" s="492">
        <v>1000</v>
      </c>
      <c r="I120" s="494">
        <v>11</v>
      </c>
      <c r="J120" s="323">
        <v>2.7458999999999998</v>
      </c>
      <c r="K120" s="500">
        <f t="shared" si="3"/>
        <v>21.84438479106505</v>
      </c>
      <c r="M120" t="s">
        <v>3540</v>
      </c>
      <c r="P120" t="s">
        <v>3541</v>
      </c>
      <c r="S120" t="s">
        <v>3542</v>
      </c>
    </row>
    <row r="121" spans="1:20">
      <c r="A121" s="231" t="s">
        <v>3543</v>
      </c>
      <c r="B121" s="232" t="s">
        <v>3495</v>
      </c>
      <c r="C121" s="232" t="s">
        <v>3544</v>
      </c>
      <c r="D121" s="232"/>
      <c r="E121" s="232"/>
      <c r="F121" s="233"/>
      <c r="K121" s="500"/>
      <c r="M121">
        <v>2.0910000000000002</v>
      </c>
      <c r="N121">
        <v>2.8090999999999999</v>
      </c>
    </row>
    <row r="122" spans="1:20">
      <c r="A122" s="231" t="s">
        <v>3545</v>
      </c>
      <c r="B122" s="232" t="s">
        <v>3495</v>
      </c>
      <c r="C122" s="232" t="s">
        <v>3546</v>
      </c>
      <c r="D122" s="232">
        <v>0.66877591609954834</v>
      </c>
      <c r="E122" s="232">
        <v>13.635256767272949</v>
      </c>
      <c r="F122" s="233">
        <v>0.69038259983062744</v>
      </c>
      <c r="G122" s="492">
        <v>2022</v>
      </c>
      <c r="H122" s="492">
        <v>1000</v>
      </c>
      <c r="I122" s="494">
        <v>12</v>
      </c>
      <c r="J122" s="370">
        <v>2.8090999999999999</v>
      </c>
      <c r="K122" s="500">
        <f t="shared" si="3"/>
        <v>20.388378886005398</v>
      </c>
      <c r="M122">
        <f>D122/100</f>
        <v>6.6877591609954832E-3</v>
      </c>
      <c r="P122">
        <f>E122/100</f>
        <v>0.13635256767272949</v>
      </c>
      <c r="S122">
        <f>F122/100</f>
        <v>6.9038259983062742E-3</v>
      </c>
    </row>
    <row r="123" spans="1:20">
      <c r="A123" s="231" t="s">
        <v>3547</v>
      </c>
      <c r="B123" s="232" t="s">
        <v>3495</v>
      </c>
      <c r="C123" s="232" t="s">
        <v>3548</v>
      </c>
      <c r="D123" s="232">
        <v>0.70274358987808228</v>
      </c>
      <c r="E123" s="232">
        <v>13.721451759338379</v>
      </c>
      <c r="F123" s="233">
        <v>0.7594224214553833</v>
      </c>
      <c r="G123" s="492">
        <v>2022</v>
      </c>
      <c r="H123" s="492">
        <v>1000</v>
      </c>
      <c r="I123" s="494">
        <v>13</v>
      </c>
      <c r="J123" s="323">
        <v>2.9359000000000002</v>
      </c>
      <c r="K123" s="500">
        <f t="shared" si="3"/>
        <v>19.525545244345651</v>
      </c>
      <c r="M123">
        <f>M122*M121</f>
        <v>1.3984104405641556E-2</v>
      </c>
      <c r="N123">
        <f>(M123/N121)*100</f>
        <v>0.49781440339046512</v>
      </c>
      <c r="P123">
        <f>P122*M121</f>
        <v>0.28511321900367737</v>
      </c>
      <c r="Q123">
        <f>(P123/N121)*100</f>
        <v>10.149628671235533</v>
      </c>
      <c r="S123">
        <f>S122*M121</f>
        <v>1.443590016245842E-2</v>
      </c>
      <c r="T123">
        <f>(S123/N121)*100</f>
        <v>0.51389769543478059</v>
      </c>
    </row>
    <row r="124" spans="1:20">
      <c r="A124" s="231" t="s">
        <v>3549</v>
      </c>
      <c r="B124" s="232" t="s">
        <v>3495</v>
      </c>
      <c r="C124" s="232" t="s">
        <v>3550</v>
      </c>
      <c r="D124" s="232">
        <v>0.25433012843132019</v>
      </c>
      <c r="E124" s="232">
        <v>3.4492816925048828</v>
      </c>
      <c r="F124" s="233">
        <v>0.73540419340133667</v>
      </c>
      <c r="G124" s="492"/>
      <c r="H124" s="492" t="s">
        <v>3488</v>
      </c>
      <c r="I124" s="494">
        <v>3</v>
      </c>
      <c r="J124" s="323">
        <v>3.48</v>
      </c>
      <c r="K124" s="500">
        <f t="shared" si="3"/>
        <v>13.562222115718916</v>
      </c>
    </row>
    <row r="125" spans="1:20">
      <c r="A125" s="231" t="s">
        <v>3551</v>
      </c>
      <c r="B125" s="232" t="s">
        <v>3495</v>
      </c>
      <c r="C125" s="232" t="s">
        <v>3552</v>
      </c>
      <c r="D125" s="232">
        <v>10.374753952026367</v>
      </c>
      <c r="E125" s="232">
        <v>70.970748901367188</v>
      </c>
      <c r="F125" s="233">
        <v>6.7724208831787109</v>
      </c>
      <c r="G125" s="492"/>
      <c r="H125" s="495" t="s">
        <v>3370</v>
      </c>
      <c r="I125" s="494">
        <v>3</v>
      </c>
      <c r="J125" s="323">
        <v>0.8115</v>
      </c>
      <c r="K125" s="500">
        <f t="shared" si="3"/>
        <v>6.8407163417601229</v>
      </c>
    </row>
    <row r="127" spans="1:20">
      <c r="A127" t="s">
        <v>3553</v>
      </c>
    </row>
    <row r="128" spans="1:20">
      <c r="A128" t="s">
        <v>3485</v>
      </c>
    </row>
  </sheetData>
  <phoneticPr fontId="15"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22183-D4CC-4501-8F48-03E344CE7D9E}">
  <dimension ref="A1:AB160"/>
  <sheetViews>
    <sheetView topLeftCell="C1" zoomScale="70" zoomScaleNormal="70" workbookViewId="0">
      <selection activeCell="AE20" sqref="AE20"/>
    </sheetView>
  </sheetViews>
  <sheetFormatPr defaultRowHeight="14.5"/>
  <cols>
    <col min="3" max="3" width="13.81640625" customWidth="1"/>
    <col min="6" max="6" width="25" bestFit="1" customWidth="1"/>
    <col min="7" max="7" width="16.81640625" bestFit="1" customWidth="1"/>
    <col min="8" max="8" width="16.81640625" customWidth="1"/>
    <col min="9" max="9" width="28.453125" bestFit="1" customWidth="1"/>
    <col min="10" max="10" width="10.1796875" customWidth="1"/>
    <col min="15" max="16" width="9.1796875" style="283"/>
    <col min="17" max="17" width="10.1796875" customWidth="1"/>
    <col min="24" max="24" width="12" customWidth="1"/>
  </cols>
  <sheetData>
    <row r="1" spans="1:18">
      <c r="I1" s="38" t="s">
        <v>3554</v>
      </c>
      <c r="J1" s="38">
        <f>AVERAGE(F14,F43,F72,F54)</f>
        <v>0.35</v>
      </c>
      <c r="O1" s="521"/>
      <c r="P1" s="521"/>
    </row>
    <row r="3" spans="1:18" ht="78.5">
      <c r="A3" s="501" t="s">
        <v>3555</v>
      </c>
      <c r="B3" s="501" t="s">
        <v>3556</v>
      </c>
      <c r="C3" s="501" t="s">
        <v>3557</v>
      </c>
      <c r="D3" s="501" t="s">
        <v>3558</v>
      </c>
      <c r="E3" s="501" t="s">
        <v>3559</v>
      </c>
      <c r="F3" s="501" t="s">
        <v>3560</v>
      </c>
      <c r="G3" s="501" t="s">
        <v>3561</v>
      </c>
      <c r="H3" s="501" t="s">
        <v>3562</v>
      </c>
      <c r="I3" s="501"/>
      <c r="J3" s="502" t="s">
        <v>3563</v>
      </c>
      <c r="K3" s="502" t="s">
        <v>3564</v>
      </c>
      <c r="L3" s="502" t="s">
        <v>3565</v>
      </c>
      <c r="M3" s="502" t="s">
        <v>3566</v>
      </c>
      <c r="N3" s="502" t="s">
        <v>3567</v>
      </c>
      <c r="O3" s="523" t="s">
        <v>3568</v>
      </c>
      <c r="P3" s="523" t="s">
        <v>3569</v>
      </c>
      <c r="Q3" s="502" t="s">
        <v>3570</v>
      </c>
      <c r="R3" s="502" t="s">
        <v>3571</v>
      </c>
    </row>
    <row r="4" spans="1:18">
      <c r="A4" s="278">
        <v>26327</v>
      </c>
      <c r="B4" s="278" t="s">
        <v>46</v>
      </c>
      <c r="C4" s="279">
        <v>1</v>
      </c>
      <c r="D4" s="278">
        <v>1</v>
      </c>
      <c r="E4" s="278" t="s">
        <v>3572</v>
      </c>
      <c r="F4" s="278">
        <v>143.1</v>
      </c>
      <c r="G4" s="279">
        <v>2.5402999999999998</v>
      </c>
      <c r="H4" s="44">
        <f>G4*1000</f>
        <v>2540.2999999999997</v>
      </c>
      <c r="J4">
        <f>F4-$J$1</f>
        <v>142.75</v>
      </c>
      <c r="K4">
        <f>(J4/1000)*10</f>
        <v>1.4274999999999998</v>
      </c>
      <c r="L4">
        <f>K4*(5/4)</f>
        <v>1.7843749999999998</v>
      </c>
      <c r="M4">
        <f>L4*28.09</f>
        <v>50.123093749999995</v>
      </c>
      <c r="N4">
        <f>L4*(28.09+2*16)</f>
        <v>107.22309374999999</v>
      </c>
      <c r="O4" s="521">
        <f>(M4/H4)*100</f>
        <v>1.9731171023107508</v>
      </c>
      <c r="P4" s="521">
        <f>(N4/H4)*100</f>
        <v>4.2208831141991103</v>
      </c>
    </row>
    <row r="5" spans="1:18">
      <c r="A5" s="278">
        <v>26328</v>
      </c>
      <c r="B5" s="278" t="s">
        <v>46</v>
      </c>
      <c r="C5" s="279">
        <v>2</v>
      </c>
      <c r="D5" s="278">
        <v>2</v>
      </c>
      <c r="E5" s="278" t="s">
        <v>3572</v>
      </c>
      <c r="F5" s="278">
        <v>113.3</v>
      </c>
      <c r="G5" s="279">
        <v>2.3191000000000002</v>
      </c>
      <c r="H5" s="44">
        <f t="shared" ref="H5:H68" si="0">G5*1000</f>
        <v>2319.1000000000004</v>
      </c>
      <c r="J5">
        <f>F5-$J$1</f>
        <v>112.95</v>
      </c>
      <c r="K5">
        <f t="shared" ref="K5:K68" si="1">(J5/1000)*10</f>
        <v>1.1295000000000002</v>
      </c>
      <c r="L5">
        <f t="shared" ref="L5:L68" si="2">K5*(5/4)</f>
        <v>1.4118750000000002</v>
      </c>
      <c r="M5">
        <f t="shared" ref="M5:M68" si="3">L5*28.09</f>
        <v>39.659568750000005</v>
      </c>
      <c r="N5">
        <f t="shared" ref="N5:N13" si="4">L5*(28.09+2*16)</f>
        <v>84.839568750000012</v>
      </c>
      <c r="O5" s="521">
        <f t="shared" ref="O5:O68" si="5">(M5/H5)*100</f>
        <v>1.7101275818205339</v>
      </c>
      <c r="P5" s="521">
        <f t="shared" ref="P5:P68" si="6">(N5/H5)*100</f>
        <v>3.6582971303522922</v>
      </c>
    </row>
    <row r="6" spans="1:18" s="287" customFormat="1">
      <c r="A6" s="284">
        <v>26329</v>
      </c>
      <c r="B6" s="284" t="s">
        <v>46</v>
      </c>
      <c r="C6" s="285" t="s">
        <v>3573</v>
      </c>
      <c r="D6" s="284">
        <v>3</v>
      </c>
      <c r="E6" s="284" t="s">
        <v>3572</v>
      </c>
      <c r="F6" s="284">
        <v>220.7</v>
      </c>
      <c r="G6" s="285">
        <v>2.4556</v>
      </c>
      <c r="H6" s="286">
        <f t="shared" si="0"/>
        <v>2455.6</v>
      </c>
      <c r="J6" s="287">
        <f t="shared" ref="J6:J13" si="7">F6-$J$1</f>
        <v>220.35</v>
      </c>
      <c r="K6" s="287">
        <f t="shared" si="1"/>
        <v>2.2035</v>
      </c>
      <c r="L6" s="287">
        <f t="shared" si="2"/>
        <v>2.754375</v>
      </c>
      <c r="M6" s="287">
        <f t="shared" si="3"/>
        <v>77.370393750000005</v>
      </c>
      <c r="N6">
        <f t="shared" si="4"/>
        <v>165.51039375000002</v>
      </c>
      <c r="O6" s="287">
        <f t="shared" si="5"/>
        <v>3.1507734871314552</v>
      </c>
      <c r="P6" s="287">
        <f t="shared" si="6"/>
        <v>6.7401202862844123</v>
      </c>
      <c r="Q6" s="287">
        <f>((O6-O7)/AVERAGE(O6:O7))*100</f>
        <v>2.6559494406208399</v>
      </c>
    </row>
    <row r="7" spans="1:18" s="287" customFormat="1">
      <c r="A7" s="284">
        <v>26330</v>
      </c>
      <c r="B7" s="284" t="s">
        <v>46</v>
      </c>
      <c r="C7" s="288" t="s">
        <v>3574</v>
      </c>
      <c r="D7" s="284">
        <v>4</v>
      </c>
      <c r="E7" s="284" t="s">
        <v>3572</v>
      </c>
      <c r="F7" s="284">
        <v>242.1</v>
      </c>
      <c r="G7" s="285">
        <v>2.7665999999999999</v>
      </c>
      <c r="H7" s="286">
        <f t="shared" si="0"/>
        <v>2766.6</v>
      </c>
      <c r="J7" s="287">
        <f t="shared" si="7"/>
        <v>241.75</v>
      </c>
      <c r="K7" s="287">
        <f t="shared" si="1"/>
        <v>2.4175</v>
      </c>
      <c r="L7" s="287">
        <f t="shared" si="2"/>
        <v>3.0218750000000001</v>
      </c>
      <c r="M7" s="287">
        <f t="shared" si="3"/>
        <v>84.884468749999996</v>
      </c>
      <c r="N7">
        <f t="shared" si="4"/>
        <v>181.58446875000001</v>
      </c>
      <c r="O7" s="287">
        <f t="shared" si="5"/>
        <v>3.0681872605363982</v>
      </c>
      <c r="P7" s="287">
        <f t="shared" si="6"/>
        <v>6.5634522066796794</v>
      </c>
    </row>
    <row r="8" spans="1:18">
      <c r="A8" s="278">
        <v>26331</v>
      </c>
      <c r="B8" s="278" t="s">
        <v>46</v>
      </c>
      <c r="C8" s="279">
        <v>4</v>
      </c>
      <c r="D8" s="278">
        <v>5</v>
      </c>
      <c r="E8" s="278" t="s">
        <v>3572</v>
      </c>
      <c r="F8" s="278">
        <v>123.3</v>
      </c>
      <c r="G8" s="279">
        <v>2.0253999999999999</v>
      </c>
      <c r="H8" s="44">
        <f t="shared" si="0"/>
        <v>2025.3999999999999</v>
      </c>
      <c r="J8">
        <f t="shared" si="7"/>
        <v>122.95</v>
      </c>
      <c r="K8">
        <f t="shared" si="1"/>
        <v>1.2295</v>
      </c>
      <c r="L8">
        <f t="shared" si="2"/>
        <v>1.536875</v>
      </c>
      <c r="M8">
        <f t="shared" si="3"/>
        <v>43.170818750000002</v>
      </c>
      <c r="N8">
        <f t="shared" si="4"/>
        <v>92.350818750000002</v>
      </c>
      <c r="O8" s="521">
        <f t="shared" si="5"/>
        <v>2.1314712525920809</v>
      </c>
      <c r="P8" s="521">
        <f t="shared" si="6"/>
        <v>4.5596335908956256</v>
      </c>
    </row>
    <row r="9" spans="1:18">
      <c r="A9" s="278">
        <v>26332</v>
      </c>
      <c r="B9" s="278" t="s">
        <v>46</v>
      </c>
      <c r="C9" s="279">
        <v>5</v>
      </c>
      <c r="D9" s="278">
        <v>6</v>
      </c>
      <c r="E9" s="278" t="s">
        <v>3572</v>
      </c>
      <c r="F9" s="278">
        <v>119.4</v>
      </c>
      <c r="G9" s="279">
        <v>2.4249999999999998</v>
      </c>
      <c r="H9" s="44">
        <f t="shared" si="0"/>
        <v>2425</v>
      </c>
      <c r="J9">
        <f t="shared" si="7"/>
        <v>119.05000000000001</v>
      </c>
      <c r="K9">
        <f t="shared" si="1"/>
        <v>1.1905000000000001</v>
      </c>
      <c r="L9">
        <f t="shared" si="2"/>
        <v>1.4881250000000001</v>
      </c>
      <c r="M9">
        <f t="shared" si="3"/>
        <v>41.80143125</v>
      </c>
      <c r="N9">
        <f t="shared" si="4"/>
        <v>89.421431250000012</v>
      </c>
      <c r="O9" s="521">
        <f t="shared" si="5"/>
        <v>1.7237703608247421</v>
      </c>
      <c r="P9" s="521">
        <f t="shared" si="6"/>
        <v>3.6874817010309284</v>
      </c>
    </row>
    <row r="10" spans="1:18">
      <c r="A10" s="278">
        <v>26333</v>
      </c>
      <c r="B10" s="278" t="s">
        <v>46</v>
      </c>
      <c r="C10" s="279">
        <v>6</v>
      </c>
      <c r="D10" s="278">
        <v>7</v>
      </c>
      <c r="E10" s="278" t="s">
        <v>3572</v>
      </c>
      <c r="F10" s="278">
        <v>249.7</v>
      </c>
      <c r="G10" s="279">
        <v>2.9011999999999998</v>
      </c>
      <c r="H10" s="44">
        <f t="shared" si="0"/>
        <v>2901.2</v>
      </c>
      <c r="J10">
        <f t="shared" si="7"/>
        <v>249.35</v>
      </c>
      <c r="K10">
        <f t="shared" si="1"/>
        <v>2.4935</v>
      </c>
      <c r="L10">
        <f t="shared" si="2"/>
        <v>3.1168750000000003</v>
      </c>
      <c r="M10">
        <f t="shared" si="3"/>
        <v>87.553018750000007</v>
      </c>
      <c r="N10">
        <f t="shared" si="4"/>
        <v>187.29301875000002</v>
      </c>
      <c r="O10" s="521">
        <f t="shared" si="5"/>
        <v>3.0178208586102309</v>
      </c>
      <c r="P10" s="521">
        <f t="shared" si="6"/>
        <v>6.4557086291879227</v>
      </c>
    </row>
    <row r="11" spans="1:18">
      <c r="A11" s="278">
        <v>26334</v>
      </c>
      <c r="B11" s="278" t="s">
        <v>46</v>
      </c>
      <c r="C11" s="279">
        <v>7</v>
      </c>
      <c r="D11" s="278">
        <v>8</v>
      </c>
      <c r="E11" s="278" t="s">
        <v>3572</v>
      </c>
      <c r="F11" s="278">
        <v>322</v>
      </c>
      <c r="G11" s="279">
        <v>2.0714999999999999</v>
      </c>
      <c r="H11" s="44">
        <f t="shared" si="0"/>
        <v>2071.5</v>
      </c>
      <c r="J11">
        <f t="shared" si="7"/>
        <v>321.64999999999998</v>
      </c>
      <c r="K11">
        <f t="shared" si="1"/>
        <v>3.2164999999999999</v>
      </c>
      <c r="L11">
        <f t="shared" si="2"/>
        <v>4.0206249999999999</v>
      </c>
      <c r="M11">
        <f t="shared" si="3"/>
        <v>112.93935625</v>
      </c>
      <c r="N11">
        <f t="shared" si="4"/>
        <v>241.59935625</v>
      </c>
      <c r="O11" s="521">
        <f t="shared" si="5"/>
        <v>5.4520567825247408</v>
      </c>
      <c r="P11" s="521">
        <f t="shared" si="6"/>
        <v>11.663015025343954</v>
      </c>
    </row>
    <row r="12" spans="1:18">
      <c r="A12" s="278">
        <v>26335</v>
      </c>
      <c r="B12" s="278" t="s">
        <v>46</v>
      </c>
      <c r="C12" s="279">
        <v>8</v>
      </c>
      <c r="D12" s="278">
        <v>9</v>
      </c>
      <c r="E12" s="278" t="s">
        <v>3572</v>
      </c>
      <c r="F12" s="278">
        <v>452.2</v>
      </c>
      <c r="G12" s="279">
        <v>2.8563999999999998</v>
      </c>
      <c r="H12" s="44">
        <f t="shared" si="0"/>
        <v>2856.3999999999996</v>
      </c>
      <c r="J12">
        <f t="shared" si="7"/>
        <v>451.84999999999997</v>
      </c>
      <c r="K12">
        <f t="shared" si="1"/>
        <v>4.5184999999999995</v>
      </c>
      <c r="L12">
        <f t="shared" si="2"/>
        <v>5.6481249999999994</v>
      </c>
      <c r="M12">
        <f t="shared" si="3"/>
        <v>158.65583124999998</v>
      </c>
      <c r="N12">
        <f t="shared" si="4"/>
        <v>339.39583124999996</v>
      </c>
      <c r="O12" s="521">
        <f t="shared" si="5"/>
        <v>5.5543982372916956</v>
      </c>
      <c r="P12" s="521">
        <f t="shared" si="6"/>
        <v>11.88194339903375</v>
      </c>
    </row>
    <row r="13" spans="1:18">
      <c r="A13" s="278">
        <v>26336</v>
      </c>
      <c r="B13" s="278" t="s">
        <v>46</v>
      </c>
      <c r="C13" s="279">
        <v>9</v>
      </c>
      <c r="D13" s="278">
        <v>10</v>
      </c>
      <c r="E13" s="278" t="s">
        <v>3572</v>
      </c>
      <c r="F13" s="278">
        <v>389</v>
      </c>
      <c r="G13" s="279">
        <v>2.6440000000000001</v>
      </c>
      <c r="H13" s="44">
        <f t="shared" si="0"/>
        <v>2644</v>
      </c>
      <c r="J13">
        <f t="shared" si="7"/>
        <v>388.65</v>
      </c>
      <c r="K13">
        <f t="shared" si="1"/>
        <v>3.8864999999999998</v>
      </c>
      <c r="L13">
        <f t="shared" si="2"/>
        <v>4.8581249999999994</v>
      </c>
      <c r="M13">
        <f t="shared" si="3"/>
        <v>136.46473124999997</v>
      </c>
      <c r="N13">
        <f t="shared" si="4"/>
        <v>291.92473124999998</v>
      </c>
      <c r="O13" s="521">
        <f t="shared" si="5"/>
        <v>5.1612984587745832</v>
      </c>
      <c r="P13" s="521">
        <f t="shared" si="6"/>
        <v>11.041026144099849</v>
      </c>
    </row>
    <row r="14" spans="1:18">
      <c r="A14" s="278">
        <v>26337</v>
      </c>
      <c r="B14" s="278" t="s">
        <v>45</v>
      </c>
      <c r="C14" s="282"/>
      <c r="D14" s="278">
        <v>11</v>
      </c>
      <c r="E14" s="278" t="s">
        <v>3572</v>
      </c>
      <c r="F14" s="278">
        <v>0.4</v>
      </c>
      <c r="G14" s="279"/>
      <c r="H14" s="44"/>
      <c r="O14" s="521"/>
      <c r="P14" s="521"/>
    </row>
    <row r="15" spans="1:18" s="277" customFormat="1" ht="15" thickBot="1">
      <c r="A15" s="308">
        <v>26338</v>
      </c>
      <c r="B15" s="308" t="s">
        <v>3307</v>
      </c>
      <c r="C15" s="309" t="s">
        <v>339</v>
      </c>
      <c r="D15" s="308">
        <v>12</v>
      </c>
      <c r="E15" s="308" t="s">
        <v>3572</v>
      </c>
      <c r="F15" s="308">
        <v>250</v>
      </c>
      <c r="G15" s="309">
        <v>2.1404000000000001</v>
      </c>
      <c r="H15" s="30">
        <f t="shared" si="0"/>
        <v>2140.4</v>
      </c>
      <c r="J15" s="277">
        <f t="shared" ref="J15:J42" si="8">F15-$J$1</f>
        <v>249.65</v>
      </c>
      <c r="K15" s="277">
        <f t="shared" si="1"/>
        <v>2.4965000000000002</v>
      </c>
      <c r="L15" s="277">
        <f t="shared" si="2"/>
        <v>3.1206250000000004</v>
      </c>
      <c r="M15" s="277">
        <f t="shared" si="3"/>
        <v>87.658356250000011</v>
      </c>
      <c r="N15" s="277">
        <f>L15*(28.09+2*16)</f>
        <v>187.51835625000004</v>
      </c>
      <c r="O15" s="277">
        <f t="shared" si="5"/>
        <v>4.0954193725471875</v>
      </c>
      <c r="P15" s="277">
        <f>(N15/H15)*100</f>
        <v>8.7609024598205956</v>
      </c>
      <c r="R15" s="277">
        <f>((O15-AVERAGE(O15,O44,O55,O73,O74))/AVERAGE(O15,O44,O55,O73,O74)) *100</f>
        <v>-1.6142628547278555</v>
      </c>
    </row>
    <row r="16" spans="1:18" ht="15" thickTop="1">
      <c r="A16" s="278">
        <v>26339</v>
      </c>
      <c r="B16" s="278" t="s">
        <v>46</v>
      </c>
      <c r="C16" s="281">
        <v>10</v>
      </c>
      <c r="D16" s="278">
        <v>13</v>
      </c>
      <c r="E16" s="278" t="s">
        <v>3572</v>
      </c>
      <c r="F16" s="278">
        <v>297.7</v>
      </c>
      <c r="G16" s="281">
        <v>2.4594999999999998</v>
      </c>
      <c r="H16" s="44">
        <f t="shared" si="0"/>
        <v>2459.5</v>
      </c>
      <c r="J16">
        <f t="shared" si="8"/>
        <v>297.34999999999997</v>
      </c>
      <c r="K16">
        <f t="shared" si="1"/>
        <v>2.9734999999999996</v>
      </c>
      <c r="L16">
        <f t="shared" si="2"/>
        <v>3.7168749999999995</v>
      </c>
      <c r="M16">
        <f t="shared" si="3"/>
        <v>104.40701874999999</v>
      </c>
      <c r="N16">
        <f t="shared" ref="N16:N44" si="9">L16*(28.09+2*16)</f>
        <v>223.34701874999999</v>
      </c>
      <c r="O16" s="521">
        <f t="shared" si="5"/>
        <v>4.2450505692213865</v>
      </c>
      <c r="P16" s="521">
        <f t="shared" si="6"/>
        <v>9.0809928339093311</v>
      </c>
    </row>
    <row r="17" spans="1:28" s="287" customFormat="1">
      <c r="A17" s="284">
        <v>26340</v>
      </c>
      <c r="B17" s="284" t="s">
        <v>46</v>
      </c>
      <c r="C17" s="288" t="s">
        <v>3575</v>
      </c>
      <c r="D17" s="284">
        <v>14</v>
      </c>
      <c r="E17" s="284" t="s">
        <v>3572</v>
      </c>
      <c r="F17" s="284">
        <v>334.1</v>
      </c>
      <c r="G17" s="285">
        <v>2.7454999999999998</v>
      </c>
      <c r="H17" s="286">
        <f t="shared" si="0"/>
        <v>2745.5</v>
      </c>
      <c r="J17" s="287">
        <f t="shared" si="8"/>
        <v>333.75</v>
      </c>
      <c r="K17" s="287">
        <f t="shared" si="1"/>
        <v>3.3374999999999999</v>
      </c>
      <c r="L17" s="287">
        <f t="shared" si="2"/>
        <v>4.171875</v>
      </c>
      <c r="M17" s="287">
        <f t="shared" si="3"/>
        <v>117.18796875</v>
      </c>
      <c r="N17">
        <f t="shared" si="9"/>
        <v>250.68796875000001</v>
      </c>
      <c r="O17" s="287">
        <f t="shared" si="5"/>
        <v>4.2683652795483518</v>
      </c>
      <c r="P17" s="287">
        <f t="shared" si="6"/>
        <v>9.1308675560007284</v>
      </c>
      <c r="Q17" s="287">
        <f>((O17-O18)/AVERAGE(O17:O18))*100</f>
        <v>-0.79125608544532966</v>
      </c>
    </row>
    <row r="18" spans="1:28" s="287" customFormat="1">
      <c r="A18" s="284">
        <v>26341</v>
      </c>
      <c r="B18" s="284" t="s">
        <v>46</v>
      </c>
      <c r="C18" s="285" t="s">
        <v>3576</v>
      </c>
      <c r="D18" s="284">
        <v>15</v>
      </c>
      <c r="E18" s="284" t="s">
        <v>3572</v>
      </c>
      <c r="F18" s="284">
        <v>364.7</v>
      </c>
      <c r="G18" s="285">
        <v>2.9735999999999998</v>
      </c>
      <c r="H18" s="286">
        <f t="shared" si="0"/>
        <v>2973.6</v>
      </c>
      <c r="J18" s="287">
        <f t="shared" si="8"/>
        <v>364.34999999999997</v>
      </c>
      <c r="K18" s="287">
        <f t="shared" si="1"/>
        <v>3.6434999999999995</v>
      </c>
      <c r="L18" s="287">
        <f t="shared" si="2"/>
        <v>4.5543749999999994</v>
      </c>
      <c r="M18" s="287">
        <f t="shared" si="3"/>
        <v>127.93239374999999</v>
      </c>
      <c r="N18">
        <f t="shared" si="9"/>
        <v>273.67239374999997</v>
      </c>
      <c r="O18" s="287">
        <f t="shared" si="5"/>
        <v>4.3022731285310734</v>
      </c>
      <c r="P18" s="287">
        <f t="shared" si="6"/>
        <v>9.2034030720338968</v>
      </c>
    </row>
    <row r="19" spans="1:28">
      <c r="A19" s="278">
        <v>26342</v>
      </c>
      <c r="B19" s="278" t="s">
        <v>46</v>
      </c>
      <c r="C19" s="279">
        <v>12</v>
      </c>
      <c r="D19" s="278">
        <v>16</v>
      </c>
      <c r="E19" s="278" t="s">
        <v>3572</v>
      </c>
      <c r="F19" s="278">
        <v>254</v>
      </c>
      <c r="G19" s="279">
        <v>2.0747</v>
      </c>
      <c r="H19" s="44">
        <f t="shared" si="0"/>
        <v>2074.6999999999998</v>
      </c>
      <c r="J19">
        <f t="shared" si="8"/>
        <v>253.65</v>
      </c>
      <c r="K19">
        <f t="shared" si="1"/>
        <v>2.5364999999999998</v>
      </c>
      <c r="L19">
        <f t="shared" si="2"/>
        <v>3.1706249999999998</v>
      </c>
      <c r="M19">
        <f t="shared" si="3"/>
        <v>89.062856249999996</v>
      </c>
      <c r="N19">
        <f t="shared" si="9"/>
        <v>190.52285624999999</v>
      </c>
      <c r="O19" s="521">
        <f t="shared" si="5"/>
        <v>4.2928064900949536</v>
      </c>
      <c r="P19" s="521">
        <f t="shared" si="6"/>
        <v>9.1831520822287551</v>
      </c>
    </row>
    <row r="20" spans="1:28">
      <c r="A20" s="278">
        <v>26343</v>
      </c>
      <c r="B20" s="278" t="s">
        <v>46</v>
      </c>
      <c r="C20" s="279">
        <v>13</v>
      </c>
      <c r="D20" s="278">
        <v>17</v>
      </c>
      <c r="E20" s="278" t="s">
        <v>3572</v>
      </c>
      <c r="F20" s="278">
        <v>397.7</v>
      </c>
      <c r="G20" s="279">
        <v>2.9714999999999998</v>
      </c>
      <c r="H20" s="44">
        <f t="shared" si="0"/>
        <v>2971.5</v>
      </c>
      <c r="J20">
        <f t="shared" si="8"/>
        <v>397.34999999999997</v>
      </c>
      <c r="K20">
        <f t="shared" si="1"/>
        <v>3.9734999999999996</v>
      </c>
      <c r="L20">
        <f t="shared" si="2"/>
        <v>4.9668749999999999</v>
      </c>
      <c r="M20">
        <f t="shared" si="3"/>
        <v>139.51951875</v>
      </c>
      <c r="N20">
        <f t="shared" si="9"/>
        <v>298.45951875000003</v>
      </c>
      <c r="O20" s="521">
        <f t="shared" si="5"/>
        <v>4.6952555527511359</v>
      </c>
      <c r="P20" s="521">
        <f t="shared" si="6"/>
        <v>10.044069283190309</v>
      </c>
      <c r="W20" s="38" t="s">
        <v>3577</v>
      </c>
      <c r="Z20" t="s">
        <v>3578</v>
      </c>
    </row>
    <row r="21" spans="1:28">
      <c r="A21" s="278">
        <v>26344</v>
      </c>
      <c r="B21" s="278" t="s">
        <v>46</v>
      </c>
      <c r="C21" s="279">
        <v>14</v>
      </c>
      <c r="D21" s="278">
        <v>18</v>
      </c>
      <c r="E21" s="278" t="s">
        <v>3572</v>
      </c>
      <c r="F21" s="278">
        <v>308.60000000000002</v>
      </c>
      <c r="G21" s="279">
        <v>2.1793</v>
      </c>
      <c r="H21" s="44">
        <f t="shared" si="0"/>
        <v>2179.3000000000002</v>
      </c>
      <c r="J21">
        <f t="shared" si="8"/>
        <v>308.25</v>
      </c>
      <c r="K21">
        <f t="shared" si="1"/>
        <v>3.0825000000000005</v>
      </c>
      <c r="L21">
        <f t="shared" si="2"/>
        <v>3.8531250000000004</v>
      </c>
      <c r="M21">
        <f t="shared" si="3"/>
        <v>108.23428125000001</v>
      </c>
      <c r="N21">
        <f t="shared" si="9"/>
        <v>231.53428125000002</v>
      </c>
      <c r="O21" s="521">
        <f t="shared" si="5"/>
        <v>4.9664700247785989</v>
      </c>
      <c r="P21" s="521">
        <f t="shared" si="6"/>
        <v>10.624250045886294</v>
      </c>
      <c r="W21" t="str">
        <f>O3</f>
        <v>Bsi %</v>
      </c>
      <c r="X21" s="407" t="s">
        <v>3579</v>
      </c>
      <c r="Z21" t="str">
        <f>R3</f>
        <v>% difference between average PACS</v>
      </c>
    </row>
    <row r="22" spans="1:28">
      <c r="A22" s="278">
        <v>26345</v>
      </c>
      <c r="B22" s="278" t="s">
        <v>46</v>
      </c>
      <c r="C22" s="279">
        <v>15</v>
      </c>
      <c r="D22" s="278">
        <v>19</v>
      </c>
      <c r="E22" s="278" t="s">
        <v>3572</v>
      </c>
      <c r="F22" s="278">
        <v>310</v>
      </c>
      <c r="G22" s="279">
        <v>2.1299000000000001</v>
      </c>
      <c r="H22" s="44">
        <f t="shared" si="0"/>
        <v>2129.9</v>
      </c>
      <c r="J22">
        <f t="shared" si="8"/>
        <v>309.64999999999998</v>
      </c>
      <c r="K22">
        <f t="shared" si="1"/>
        <v>3.0964999999999998</v>
      </c>
      <c r="L22">
        <f t="shared" si="2"/>
        <v>3.8706249999999995</v>
      </c>
      <c r="M22">
        <f t="shared" si="3"/>
        <v>108.72585624999999</v>
      </c>
      <c r="N22">
        <f t="shared" si="9"/>
        <v>232.58585624999998</v>
      </c>
      <c r="O22" s="521">
        <f t="shared" si="5"/>
        <v>5.1047399525799326</v>
      </c>
      <c r="P22" s="521">
        <f t="shared" si="6"/>
        <v>10.92003644537302</v>
      </c>
      <c r="T22">
        <v>2022</v>
      </c>
      <c r="U22" t="s">
        <v>46</v>
      </c>
      <c r="V22">
        <v>1</v>
      </c>
      <c r="W22">
        <f>O78</f>
        <v>1.8543522121202669</v>
      </c>
      <c r="X22">
        <f>P78</f>
        <v>3.9668218022893145</v>
      </c>
      <c r="Z22" s="28">
        <f>((O4-O78)/AVERAGE(O4,O78))*100</f>
        <v>6.2059225265475009</v>
      </c>
    </row>
    <row r="23" spans="1:28">
      <c r="A23" s="278">
        <v>26346</v>
      </c>
      <c r="B23" s="278" t="s">
        <v>46</v>
      </c>
      <c r="C23" s="279">
        <v>18</v>
      </c>
      <c r="D23" s="278">
        <v>20</v>
      </c>
      <c r="E23" s="278" t="s">
        <v>3572</v>
      </c>
      <c r="F23" s="278">
        <v>275.89999999999998</v>
      </c>
      <c r="G23" s="279">
        <v>2.2894000000000001</v>
      </c>
      <c r="H23" s="44">
        <f t="shared" si="0"/>
        <v>2289.4</v>
      </c>
      <c r="J23">
        <f t="shared" si="8"/>
        <v>275.54999999999995</v>
      </c>
      <c r="K23">
        <f t="shared" si="1"/>
        <v>2.7554999999999996</v>
      </c>
      <c r="L23">
        <f t="shared" si="2"/>
        <v>3.4443749999999995</v>
      </c>
      <c r="M23">
        <f t="shared" si="3"/>
        <v>96.752493749999985</v>
      </c>
      <c r="N23">
        <f t="shared" si="9"/>
        <v>206.97249374999998</v>
      </c>
      <c r="O23" s="521">
        <f t="shared" si="5"/>
        <v>4.2261070040185196</v>
      </c>
      <c r="P23" s="521">
        <f t="shared" si="6"/>
        <v>9.0404688455490518</v>
      </c>
      <c r="T23">
        <v>2022</v>
      </c>
      <c r="U23" t="s">
        <v>46</v>
      </c>
      <c r="V23">
        <v>2</v>
      </c>
      <c r="W23">
        <f>O79</f>
        <v>1.7915246792626323</v>
      </c>
      <c r="X23">
        <f>P79</f>
        <v>3.8324214302916193</v>
      </c>
      <c r="Z23">
        <f>((O5-O79)/AVERAGE(O5,O79))*100</f>
        <v>-4.6490680040810082</v>
      </c>
    </row>
    <row r="24" spans="1:28">
      <c r="A24" s="278">
        <v>26347</v>
      </c>
      <c r="B24" s="278" t="s">
        <v>46</v>
      </c>
      <c r="C24" s="279">
        <v>19</v>
      </c>
      <c r="D24" s="278">
        <v>21</v>
      </c>
      <c r="E24" s="278" t="s">
        <v>3572</v>
      </c>
      <c r="F24" s="278">
        <v>318.60000000000002</v>
      </c>
      <c r="G24" s="279">
        <v>2.2021000000000002</v>
      </c>
      <c r="H24" s="44">
        <f t="shared" si="0"/>
        <v>2202.1000000000004</v>
      </c>
      <c r="J24">
        <f t="shared" si="8"/>
        <v>318.25</v>
      </c>
      <c r="K24">
        <f t="shared" si="1"/>
        <v>3.1824999999999997</v>
      </c>
      <c r="L24">
        <f t="shared" si="2"/>
        <v>3.9781249999999995</v>
      </c>
      <c r="M24">
        <f t="shared" si="3"/>
        <v>111.74553124999998</v>
      </c>
      <c r="N24">
        <f t="shared" si="9"/>
        <v>239.04553124999998</v>
      </c>
      <c r="O24" s="521">
        <f t="shared" si="5"/>
        <v>5.0744984900776515</v>
      </c>
      <c r="P24" s="521">
        <f t="shared" si="6"/>
        <v>10.855344046591888</v>
      </c>
      <c r="T24">
        <v>2022</v>
      </c>
      <c r="U24" t="s">
        <v>46</v>
      </c>
      <c r="V24">
        <v>3</v>
      </c>
      <c r="W24">
        <f>AVERAGE(O80:O81)</f>
        <v>3.1310526065667879</v>
      </c>
      <c r="X24">
        <f>AVERAGE(P80:P81)</f>
        <v>6.6979334684442264</v>
      </c>
      <c r="Z24">
        <f>((O6-O80)/AVERAGE(O6,O80))*100</f>
        <v>0.61833821636791209</v>
      </c>
      <c r="AA24">
        <f>((O7-O81)/AVERAGE(O7,O81))*100</f>
        <v>-2.0186302865751822</v>
      </c>
      <c r="AB24" s="38" t="s">
        <v>3580</v>
      </c>
    </row>
    <row r="25" spans="1:28">
      <c r="A25" s="278">
        <v>26348</v>
      </c>
      <c r="B25" s="278" t="s">
        <v>46</v>
      </c>
      <c r="C25" s="279">
        <v>20</v>
      </c>
      <c r="D25" s="278">
        <v>22</v>
      </c>
      <c r="E25" s="278" t="s">
        <v>3572</v>
      </c>
      <c r="F25" s="278">
        <v>330</v>
      </c>
      <c r="G25" s="279">
        <v>2.0417000000000001</v>
      </c>
      <c r="H25" s="44">
        <f t="shared" si="0"/>
        <v>2041.7</v>
      </c>
      <c r="J25">
        <f t="shared" si="8"/>
        <v>329.65</v>
      </c>
      <c r="K25">
        <f t="shared" si="1"/>
        <v>3.2965</v>
      </c>
      <c r="L25">
        <f t="shared" si="2"/>
        <v>4.1206250000000004</v>
      </c>
      <c r="M25">
        <f t="shared" si="3"/>
        <v>115.74835625000001</v>
      </c>
      <c r="N25">
        <f t="shared" si="9"/>
        <v>247.60835625000004</v>
      </c>
      <c r="O25" s="521">
        <f t="shared" si="5"/>
        <v>5.6692146862908368</v>
      </c>
      <c r="P25" s="521">
        <f t="shared" si="6"/>
        <v>12.127558223539209</v>
      </c>
      <c r="T25">
        <v>2022</v>
      </c>
      <c r="U25" t="s">
        <v>46</v>
      </c>
      <c r="V25">
        <v>4</v>
      </c>
      <c r="W25">
        <f>O82</f>
        <v>1.934019153225806</v>
      </c>
      <c r="X25">
        <f>P82</f>
        <v>4.1372449596774192</v>
      </c>
      <c r="Z25" s="28">
        <f>((O8-O82)/AVERAGE(O8,O82))*100</f>
        <v>9.7135685812325505</v>
      </c>
    </row>
    <row r="26" spans="1:28">
      <c r="A26" s="278">
        <v>26349</v>
      </c>
      <c r="B26" s="278" t="s">
        <v>46</v>
      </c>
      <c r="C26" s="279">
        <v>21</v>
      </c>
      <c r="D26" s="278">
        <v>23</v>
      </c>
      <c r="E26" s="278" t="s">
        <v>3572</v>
      </c>
      <c r="F26" s="278">
        <v>408.6</v>
      </c>
      <c r="G26" s="279">
        <v>2.5251999999999999</v>
      </c>
      <c r="H26" s="44">
        <f t="shared" si="0"/>
        <v>2525.1999999999998</v>
      </c>
      <c r="J26">
        <f t="shared" si="8"/>
        <v>408.25</v>
      </c>
      <c r="K26">
        <f t="shared" si="1"/>
        <v>4.0824999999999996</v>
      </c>
      <c r="L26">
        <f t="shared" si="2"/>
        <v>5.1031249999999995</v>
      </c>
      <c r="M26">
        <f t="shared" si="3"/>
        <v>143.34678124999999</v>
      </c>
      <c r="N26">
        <f t="shared" si="9"/>
        <v>306.64678125</v>
      </c>
      <c r="O26" s="521">
        <f t="shared" si="5"/>
        <v>5.6766506118327262</v>
      </c>
      <c r="P26" s="521">
        <f t="shared" si="6"/>
        <v>12.143465121574531</v>
      </c>
      <c r="T26">
        <v>2022</v>
      </c>
      <c r="U26" t="s">
        <v>46</v>
      </c>
      <c r="V26">
        <v>5</v>
      </c>
      <c r="W26">
        <f t="shared" ref="W26:X30" si="10">O83</f>
        <v>1.8483369850271214</v>
      </c>
      <c r="X26">
        <f t="shared" si="10"/>
        <v>3.9539540559017357</v>
      </c>
      <c r="Z26" s="28">
        <f t="shared" ref="Z26:Z30" si="11">((O9-O83)/AVERAGE(O9,O83))*100</f>
        <v>-6.9744054218881875</v>
      </c>
    </row>
    <row r="27" spans="1:28" ht="15" thickBot="1">
      <c r="A27" s="278">
        <v>26350</v>
      </c>
      <c r="B27" s="278" t="s">
        <v>76</v>
      </c>
      <c r="C27" s="280">
        <v>1</v>
      </c>
      <c r="D27" s="278">
        <v>24</v>
      </c>
      <c r="E27" s="278" t="s">
        <v>3572</v>
      </c>
      <c r="F27" s="278">
        <v>229.5</v>
      </c>
      <c r="G27" s="280">
        <v>2.3712</v>
      </c>
      <c r="H27" s="44">
        <f t="shared" si="0"/>
        <v>2371.1999999999998</v>
      </c>
      <c r="J27">
        <f t="shared" si="8"/>
        <v>229.15</v>
      </c>
      <c r="K27">
        <f t="shared" si="1"/>
        <v>2.2915000000000001</v>
      </c>
      <c r="L27">
        <f t="shared" si="2"/>
        <v>2.8643749999999999</v>
      </c>
      <c r="M27">
        <f t="shared" si="3"/>
        <v>80.460293749999991</v>
      </c>
      <c r="N27">
        <f t="shared" si="9"/>
        <v>172.12029375</v>
      </c>
      <c r="O27" s="521">
        <f t="shared" si="5"/>
        <v>3.3932310117240219</v>
      </c>
      <c r="P27" s="521">
        <f t="shared" si="6"/>
        <v>7.2587843180668017</v>
      </c>
      <c r="T27">
        <v>2022</v>
      </c>
      <c r="U27" t="s">
        <v>46</v>
      </c>
      <c r="V27">
        <v>6</v>
      </c>
      <c r="W27">
        <f t="shared" si="10"/>
        <v>3.0757947641172265</v>
      </c>
      <c r="X27">
        <f t="shared" si="10"/>
        <v>6.5797261436740531</v>
      </c>
      <c r="Z27">
        <f t="shared" si="11"/>
        <v>-1.9027752682912735</v>
      </c>
    </row>
    <row r="28" spans="1:28" ht="15" thickTop="1">
      <c r="A28" s="278">
        <v>26351</v>
      </c>
      <c r="B28" s="278" t="s">
        <v>76</v>
      </c>
      <c r="C28" s="281">
        <v>2</v>
      </c>
      <c r="D28" s="278">
        <v>25</v>
      </c>
      <c r="E28" s="278" t="s">
        <v>3572</v>
      </c>
      <c r="F28" s="278">
        <v>246.1</v>
      </c>
      <c r="G28" s="281">
        <v>2.6958000000000002</v>
      </c>
      <c r="H28" s="44">
        <f t="shared" si="0"/>
        <v>2695.8</v>
      </c>
      <c r="J28">
        <f t="shared" si="8"/>
        <v>245.75</v>
      </c>
      <c r="K28">
        <f t="shared" si="1"/>
        <v>2.4575</v>
      </c>
      <c r="L28">
        <f t="shared" si="2"/>
        <v>3.0718749999999999</v>
      </c>
      <c r="M28">
        <f t="shared" si="3"/>
        <v>86.288968749999995</v>
      </c>
      <c r="N28">
        <f t="shared" si="9"/>
        <v>184.58896874999999</v>
      </c>
      <c r="O28" s="521">
        <f t="shared" si="5"/>
        <v>3.2008668577045771</v>
      </c>
      <c r="P28" s="521">
        <f t="shared" si="6"/>
        <v>6.847279796349877</v>
      </c>
      <c r="T28">
        <v>2022</v>
      </c>
      <c r="U28" t="s">
        <v>46</v>
      </c>
      <c r="V28">
        <v>7</v>
      </c>
      <c r="W28">
        <f t="shared" si="10"/>
        <v>5.3487334403046445</v>
      </c>
      <c r="X28">
        <f t="shared" si="10"/>
        <v>11.44198620248865</v>
      </c>
      <c r="Z28">
        <f t="shared" si="11"/>
        <v>1.9132552357456978</v>
      </c>
    </row>
    <row r="29" spans="1:28">
      <c r="A29" s="278">
        <v>26352</v>
      </c>
      <c r="B29" s="278" t="s">
        <v>76</v>
      </c>
      <c r="C29" s="279">
        <v>3</v>
      </c>
      <c r="D29" s="278">
        <v>26</v>
      </c>
      <c r="E29" s="278" t="s">
        <v>3572</v>
      </c>
      <c r="F29" s="278">
        <v>240.5</v>
      </c>
      <c r="G29" s="279">
        <v>2.5710999999999999</v>
      </c>
      <c r="H29" s="44">
        <f t="shared" si="0"/>
        <v>2571.1</v>
      </c>
      <c r="J29">
        <f t="shared" si="8"/>
        <v>240.15</v>
      </c>
      <c r="K29">
        <f t="shared" si="1"/>
        <v>2.4015</v>
      </c>
      <c r="L29">
        <f t="shared" si="2"/>
        <v>3.0018750000000001</v>
      </c>
      <c r="M29">
        <f t="shared" si="3"/>
        <v>84.322668750000005</v>
      </c>
      <c r="N29">
        <f t="shared" si="9"/>
        <v>180.38266875000002</v>
      </c>
      <c r="O29" s="521">
        <f t="shared" si="5"/>
        <v>3.2796339601726889</v>
      </c>
      <c r="P29" s="521">
        <f t="shared" si="6"/>
        <v>7.015778023025165</v>
      </c>
      <c r="T29">
        <v>2022</v>
      </c>
      <c r="U29" t="s">
        <v>46</v>
      </c>
      <c r="V29">
        <v>8</v>
      </c>
      <c r="W29">
        <f t="shared" si="10"/>
        <v>5.3750628333004151</v>
      </c>
      <c r="X29">
        <f t="shared" si="10"/>
        <v>11.498309920007904</v>
      </c>
      <c r="Z29">
        <f t="shared" si="11"/>
        <v>3.2816879594149069</v>
      </c>
    </row>
    <row r="30" spans="1:28">
      <c r="A30" s="278">
        <v>26353</v>
      </c>
      <c r="B30" s="278" t="s">
        <v>76</v>
      </c>
      <c r="C30" s="279">
        <v>4</v>
      </c>
      <c r="D30" s="278">
        <v>27</v>
      </c>
      <c r="E30" s="278" t="s">
        <v>3572</v>
      </c>
      <c r="F30" s="278">
        <v>292.89999999999998</v>
      </c>
      <c r="G30" s="279">
        <v>2.6738</v>
      </c>
      <c r="H30" s="44">
        <f t="shared" si="0"/>
        <v>2673.8</v>
      </c>
      <c r="J30">
        <f t="shared" si="8"/>
        <v>292.54999999999995</v>
      </c>
      <c r="K30">
        <f t="shared" si="1"/>
        <v>2.9254999999999995</v>
      </c>
      <c r="L30">
        <f t="shared" si="2"/>
        <v>3.6568749999999994</v>
      </c>
      <c r="M30">
        <f t="shared" si="3"/>
        <v>102.72161874999999</v>
      </c>
      <c r="N30">
        <f t="shared" si="9"/>
        <v>219.74161874999999</v>
      </c>
      <c r="O30" s="521">
        <f t="shared" si="5"/>
        <v>3.8417839311092821</v>
      </c>
      <c r="P30" s="521">
        <f t="shared" si="6"/>
        <v>8.2183266792579843</v>
      </c>
      <c r="T30">
        <v>2022</v>
      </c>
      <c r="U30" t="s">
        <v>46</v>
      </c>
      <c r="V30">
        <v>9</v>
      </c>
      <c r="W30">
        <f t="shared" si="10"/>
        <v>5.1767490087646078</v>
      </c>
      <c r="X30">
        <f t="shared" si="10"/>
        <v>11.074077890233722</v>
      </c>
      <c r="Z30">
        <f t="shared" si="11"/>
        <v>-0.29890653991555638</v>
      </c>
    </row>
    <row r="31" spans="1:28">
      <c r="A31" s="278">
        <v>26354</v>
      </c>
      <c r="B31" s="278" t="s">
        <v>76</v>
      </c>
      <c r="C31" s="279">
        <v>5</v>
      </c>
      <c r="D31" s="278">
        <v>28</v>
      </c>
      <c r="E31" s="278" t="s">
        <v>3572</v>
      </c>
      <c r="F31" s="278">
        <v>288.7</v>
      </c>
      <c r="G31" s="279">
        <v>2.4112</v>
      </c>
      <c r="H31" s="44">
        <f t="shared" si="0"/>
        <v>2411.1999999999998</v>
      </c>
      <c r="J31">
        <f t="shared" si="8"/>
        <v>288.34999999999997</v>
      </c>
      <c r="K31">
        <f t="shared" si="1"/>
        <v>2.8834999999999993</v>
      </c>
      <c r="L31">
        <f t="shared" si="2"/>
        <v>3.6043749999999992</v>
      </c>
      <c r="M31">
        <f t="shared" si="3"/>
        <v>101.24689374999998</v>
      </c>
      <c r="N31">
        <f t="shared" si="9"/>
        <v>216.58689374999997</v>
      </c>
      <c r="O31" s="521">
        <f t="shared" si="5"/>
        <v>4.19902512234572</v>
      </c>
      <c r="P31" s="521">
        <f t="shared" si="6"/>
        <v>8.9825354076808228</v>
      </c>
      <c r="T31">
        <v>2022</v>
      </c>
      <c r="U31" t="s">
        <v>46</v>
      </c>
      <c r="V31">
        <v>10</v>
      </c>
      <c r="W31">
        <f>O90</f>
        <v>4.3175467618466623</v>
      </c>
      <c r="X31">
        <f>P90</f>
        <v>9.2360763588239934</v>
      </c>
      <c r="Z31">
        <f>((O16-O90)/AVERAGE(O16,O90))*100</f>
        <v>-1.693322477333711</v>
      </c>
    </row>
    <row r="32" spans="1:28" s="287" customFormat="1">
      <c r="A32" s="284">
        <v>26355</v>
      </c>
      <c r="B32" s="284" t="s">
        <v>76</v>
      </c>
      <c r="C32" s="285" t="s">
        <v>3581</v>
      </c>
      <c r="D32" s="284">
        <v>29</v>
      </c>
      <c r="E32" s="284" t="s">
        <v>3572</v>
      </c>
      <c r="F32" s="284">
        <v>414.7</v>
      </c>
      <c r="G32" s="285">
        <v>2.7273999999999998</v>
      </c>
      <c r="H32" s="286">
        <f t="shared" si="0"/>
        <v>2727.3999999999996</v>
      </c>
      <c r="J32" s="287">
        <f t="shared" si="8"/>
        <v>414.34999999999997</v>
      </c>
      <c r="K32" s="287">
        <f t="shared" si="1"/>
        <v>4.1434999999999995</v>
      </c>
      <c r="L32" s="287">
        <f t="shared" si="2"/>
        <v>5.1793749999999994</v>
      </c>
      <c r="M32" s="287">
        <f t="shared" si="3"/>
        <v>145.48864374999999</v>
      </c>
      <c r="N32">
        <f t="shared" si="9"/>
        <v>311.22864375</v>
      </c>
      <c r="O32" s="287">
        <f t="shared" si="5"/>
        <v>5.3343346685488013</v>
      </c>
      <c r="P32" s="287">
        <f t="shared" si="6"/>
        <v>11.411184415560609</v>
      </c>
      <c r="Q32" s="287">
        <f>((O32-O33)/AVERAGE(O32:O33))*100</f>
        <v>0.60971308287317738</v>
      </c>
      <c r="T32">
        <v>2022</v>
      </c>
      <c r="U32" t="s">
        <v>46</v>
      </c>
      <c r="V32">
        <v>11</v>
      </c>
      <c r="W32">
        <f>AVERAGE(O91:O92)</f>
        <v>4.2591301201049454</v>
      </c>
      <c r="X32">
        <f>AVERAGE(P91:P92)</f>
        <v>9.1111117450020025</v>
      </c>
      <c r="Z32">
        <f>((O17-O91)/AVERAGE(O17,O91))*100</f>
        <v>-0.17345709117109881</v>
      </c>
      <c r="AA32">
        <f>((O18-O92)/AVERAGE(O18,O92))*100</f>
        <v>1.3994165248203116</v>
      </c>
      <c r="AB32" s="38" t="s">
        <v>3580</v>
      </c>
    </row>
    <row r="33" spans="1:28" s="287" customFormat="1">
      <c r="A33" s="284">
        <v>26356</v>
      </c>
      <c r="B33" s="284" t="s">
        <v>76</v>
      </c>
      <c r="C33" s="288" t="s">
        <v>3582</v>
      </c>
      <c r="D33" s="284">
        <v>30</v>
      </c>
      <c r="E33" s="284" t="s">
        <v>3572</v>
      </c>
      <c r="F33" s="284">
        <v>448.3</v>
      </c>
      <c r="G33" s="285">
        <v>2.9666000000000001</v>
      </c>
      <c r="H33" s="286">
        <f t="shared" si="0"/>
        <v>2966.6</v>
      </c>
      <c r="J33" s="287">
        <f t="shared" si="8"/>
        <v>447.95</v>
      </c>
      <c r="K33" s="287">
        <f t="shared" si="1"/>
        <v>4.4794999999999998</v>
      </c>
      <c r="L33" s="287">
        <f t="shared" si="2"/>
        <v>5.5993750000000002</v>
      </c>
      <c r="M33" s="287">
        <f t="shared" si="3"/>
        <v>157.28644375000002</v>
      </c>
      <c r="N33">
        <f t="shared" si="9"/>
        <v>336.46644375000005</v>
      </c>
      <c r="O33" s="287">
        <f t="shared" si="5"/>
        <v>5.3019093827951194</v>
      </c>
      <c r="P33" s="287">
        <f t="shared" si="6"/>
        <v>11.341820392031284</v>
      </c>
      <c r="T33">
        <v>2022</v>
      </c>
      <c r="U33" t="s">
        <v>46</v>
      </c>
      <c r="V33">
        <v>12</v>
      </c>
      <c r="W33">
        <f>O93</f>
        <v>4.2868025379068051</v>
      </c>
      <c r="X33">
        <f>P93</f>
        <v>9.1703084550665697</v>
      </c>
      <c r="Z33">
        <f>((O19-O93)/AVERAGE(O19,O93))*100</f>
        <v>0.13995864306993688</v>
      </c>
    </row>
    <row r="34" spans="1:28">
      <c r="A34" s="278">
        <v>26357</v>
      </c>
      <c r="B34" s="278" t="s">
        <v>76</v>
      </c>
      <c r="C34" s="279">
        <v>7</v>
      </c>
      <c r="D34" s="278">
        <v>31</v>
      </c>
      <c r="E34" s="278" t="s">
        <v>3572</v>
      </c>
      <c r="F34" s="278">
        <v>334.5</v>
      </c>
      <c r="G34" s="279">
        <v>2.085</v>
      </c>
      <c r="H34" s="44">
        <f t="shared" si="0"/>
        <v>2085</v>
      </c>
      <c r="J34">
        <f t="shared" si="8"/>
        <v>334.15</v>
      </c>
      <c r="K34">
        <f t="shared" si="1"/>
        <v>3.3414999999999999</v>
      </c>
      <c r="L34">
        <f t="shared" si="2"/>
        <v>4.1768749999999999</v>
      </c>
      <c r="M34">
        <f t="shared" si="3"/>
        <v>117.32841875</v>
      </c>
      <c r="N34">
        <f t="shared" si="9"/>
        <v>250.98841874999999</v>
      </c>
      <c r="O34" s="521">
        <f t="shared" si="5"/>
        <v>5.6272622901678657</v>
      </c>
      <c r="P34" s="521">
        <f t="shared" si="6"/>
        <v>12.037813848920862</v>
      </c>
      <c r="T34">
        <v>2022</v>
      </c>
      <c r="U34" t="s">
        <v>46</v>
      </c>
      <c r="V34">
        <v>13</v>
      </c>
      <c r="W34">
        <f t="shared" ref="W34:X36" si="12">O94</f>
        <v>4.7014176811045587</v>
      </c>
      <c r="X34">
        <f t="shared" si="12"/>
        <v>10.057251280084476</v>
      </c>
      <c r="Z34">
        <f t="shared" ref="Z34:Z35" si="13">((O20-O94)/AVERAGE(O20,O94))*100</f>
        <v>-0.13115553132615004</v>
      </c>
    </row>
    <row r="35" spans="1:28">
      <c r="A35" s="278">
        <v>26358</v>
      </c>
      <c r="B35" s="278" t="s">
        <v>76</v>
      </c>
      <c r="C35" s="279">
        <v>8</v>
      </c>
      <c r="D35" s="278">
        <v>32</v>
      </c>
      <c r="E35" s="278" t="s">
        <v>3572</v>
      </c>
      <c r="F35" s="278">
        <v>479.8</v>
      </c>
      <c r="G35" s="279">
        <v>2.7656000000000001</v>
      </c>
      <c r="H35" s="44">
        <f t="shared" si="0"/>
        <v>2765.6</v>
      </c>
      <c r="J35">
        <f t="shared" si="8"/>
        <v>479.45</v>
      </c>
      <c r="K35">
        <f t="shared" si="1"/>
        <v>4.7945000000000002</v>
      </c>
      <c r="L35">
        <f t="shared" si="2"/>
        <v>5.993125</v>
      </c>
      <c r="M35">
        <f t="shared" si="3"/>
        <v>168.34688125</v>
      </c>
      <c r="N35">
        <f t="shared" si="9"/>
        <v>360.12688125</v>
      </c>
      <c r="O35" s="521">
        <f t="shared" si="5"/>
        <v>6.0871738953572461</v>
      </c>
      <c r="P35" s="521">
        <f t="shared" si="6"/>
        <v>13.021654659025167</v>
      </c>
      <c r="T35">
        <v>2022</v>
      </c>
      <c r="U35" t="s">
        <v>46</v>
      </c>
      <c r="V35">
        <v>14</v>
      </c>
      <c r="W35">
        <f t="shared" si="12"/>
        <v>4.973403262402373</v>
      </c>
      <c r="X35">
        <f t="shared" si="12"/>
        <v>10.639081596217821</v>
      </c>
      <c r="Z35">
        <f t="shared" si="13"/>
        <v>-0.13950354141265697</v>
      </c>
    </row>
    <row r="36" spans="1:28">
      <c r="A36" s="278">
        <v>26359</v>
      </c>
      <c r="B36" s="278" t="s">
        <v>76</v>
      </c>
      <c r="C36" s="279">
        <v>9</v>
      </c>
      <c r="D36" s="278">
        <v>33</v>
      </c>
      <c r="E36" s="278" t="s">
        <v>3572</v>
      </c>
      <c r="F36" s="278">
        <v>470.8</v>
      </c>
      <c r="G36" s="279">
        <v>2.9125999999999999</v>
      </c>
      <c r="H36" s="44">
        <f t="shared" si="0"/>
        <v>2912.6</v>
      </c>
      <c r="J36">
        <f t="shared" si="8"/>
        <v>470.45</v>
      </c>
      <c r="K36">
        <f t="shared" si="1"/>
        <v>4.7044999999999995</v>
      </c>
      <c r="L36">
        <f t="shared" si="2"/>
        <v>5.8806249999999993</v>
      </c>
      <c r="M36">
        <f t="shared" si="3"/>
        <v>165.18675624999997</v>
      </c>
      <c r="N36">
        <f t="shared" si="9"/>
        <v>353.36675624999998</v>
      </c>
      <c r="O36" s="521">
        <f t="shared" si="5"/>
        <v>5.6714535552427376</v>
      </c>
      <c r="P36" s="521">
        <f t="shared" si="6"/>
        <v>12.132347601799079</v>
      </c>
      <c r="T36">
        <v>2022</v>
      </c>
      <c r="U36" t="s">
        <v>46</v>
      </c>
      <c r="V36">
        <v>15</v>
      </c>
      <c r="W36">
        <f t="shared" si="12"/>
        <v>4.977959752796111</v>
      </c>
      <c r="X36">
        <f t="shared" si="12"/>
        <v>10.648828819705173</v>
      </c>
      <c r="Z36">
        <f>((O22-O96)/AVERAGE(O22,O96))*100</f>
        <v>2.5148066190292875</v>
      </c>
    </row>
    <row r="37" spans="1:28">
      <c r="A37" s="278">
        <v>26360</v>
      </c>
      <c r="B37" s="278" t="s">
        <v>76</v>
      </c>
      <c r="C37" s="279">
        <v>10</v>
      </c>
      <c r="D37" s="278">
        <v>34</v>
      </c>
      <c r="E37" s="278" t="s">
        <v>3572</v>
      </c>
      <c r="F37" s="278">
        <v>291.3</v>
      </c>
      <c r="G37" s="279">
        <v>2.3220000000000001</v>
      </c>
      <c r="H37" s="44">
        <f t="shared" si="0"/>
        <v>2322</v>
      </c>
      <c r="J37">
        <f t="shared" si="8"/>
        <v>290.95</v>
      </c>
      <c r="K37">
        <f t="shared" si="1"/>
        <v>2.9095</v>
      </c>
      <c r="L37">
        <f t="shared" si="2"/>
        <v>3.6368749999999999</v>
      </c>
      <c r="M37">
        <f t="shared" si="3"/>
        <v>102.15981875</v>
      </c>
      <c r="N37">
        <f t="shared" si="9"/>
        <v>218.53981874999999</v>
      </c>
      <c r="O37" s="521">
        <f t="shared" si="5"/>
        <v>4.3996476636520239</v>
      </c>
      <c r="P37" s="521">
        <f t="shared" si="6"/>
        <v>9.4117062338501292</v>
      </c>
      <c r="T37">
        <v>2022</v>
      </c>
      <c r="U37" t="s">
        <v>46</v>
      </c>
      <c r="V37">
        <v>16</v>
      </c>
    </row>
    <row r="38" spans="1:28">
      <c r="A38" s="278">
        <v>26361</v>
      </c>
      <c r="B38" s="278" t="s">
        <v>76</v>
      </c>
      <c r="C38" s="279">
        <v>11</v>
      </c>
      <c r="D38" s="278">
        <v>35</v>
      </c>
      <c r="E38" s="278" t="s">
        <v>3572</v>
      </c>
      <c r="F38" s="278">
        <v>272.10000000000002</v>
      </c>
      <c r="G38" s="279">
        <v>2.5011999999999999</v>
      </c>
      <c r="H38" s="44">
        <f t="shared" si="0"/>
        <v>2501.1999999999998</v>
      </c>
      <c r="J38">
        <f t="shared" si="8"/>
        <v>271.75</v>
      </c>
      <c r="K38">
        <f t="shared" si="1"/>
        <v>2.7174999999999998</v>
      </c>
      <c r="L38">
        <f t="shared" si="2"/>
        <v>3.3968749999999996</v>
      </c>
      <c r="M38">
        <f t="shared" si="3"/>
        <v>95.418218749999994</v>
      </c>
      <c r="N38">
        <f t="shared" si="9"/>
        <v>204.11821874999998</v>
      </c>
      <c r="O38" s="521">
        <f t="shared" si="5"/>
        <v>3.8148975991524066</v>
      </c>
      <c r="P38" s="521">
        <f t="shared" si="6"/>
        <v>8.1608115604509841</v>
      </c>
      <c r="T38">
        <v>2022</v>
      </c>
      <c r="U38" t="s">
        <v>46</v>
      </c>
      <c r="V38">
        <v>17</v>
      </c>
    </row>
    <row r="39" spans="1:28" s="287" customFormat="1" ht="15" thickBot="1">
      <c r="A39" s="284">
        <v>26362</v>
      </c>
      <c r="B39" s="284" t="s">
        <v>76</v>
      </c>
      <c r="C39" s="289" t="s">
        <v>3583</v>
      </c>
      <c r="D39" s="284">
        <v>36</v>
      </c>
      <c r="E39" s="284" t="s">
        <v>3572</v>
      </c>
      <c r="F39" s="284">
        <v>309.2</v>
      </c>
      <c r="G39" s="361">
        <v>2.7279</v>
      </c>
      <c r="H39" s="286">
        <f t="shared" si="0"/>
        <v>2727.9</v>
      </c>
      <c r="J39" s="287">
        <f t="shared" si="8"/>
        <v>308.84999999999997</v>
      </c>
      <c r="K39" s="287">
        <f t="shared" si="1"/>
        <v>3.0884999999999998</v>
      </c>
      <c r="L39" s="287">
        <f t="shared" si="2"/>
        <v>3.8606249999999998</v>
      </c>
      <c r="M39" s="287">
        <f t="shared" si="3"/>
        <v>108.44495624999999</v>
      </c>
      <c r="N39">
        <f t="shared" si="9"/>
        <v>231.98495625000001</v>
      </c>
      <c r="O39" s="287">
        <f t="shared" si="5"/>
        <v>3.9754007203343225</v>
      </c>
      <c r="P39" s="287">
        <f t="shared" si="6"/>
        <v>8.5041591059056412</v>
      </c>
      <c r="Q39" s="305">
        <f>((O39-O40)/AVERAGE(O39:O40))*100</f>
        <v>4.1701883053715416E-2</v>
      </c>
      <c r="T39">
        <v>2022</v>
      </c>
      <c r="U39" t="s">
        <v>46</v>
      </c>
      <c r="V39">
        <v>18</v>
      </c>
      <c r="W39">
        <f>O97</f>
        <v>4.2674737577164423</v>
      </c>
      <c r="X39">
        <f>P97</f>
        <v>9.1289604165603784</v>
      </c>
      <c r="Z39">
        <f>((O23-O97)/AVERAGE(O23,O97))*100</f>
        <v>-0.97407100393480872</v>
      </c>
    </row>
    <row r="40" spans="1:28" s="287" customFormat="1" ht="15" thickTop="1">
      <c r="A40" s="284">
        <v>26363</v>
      </c>
      <c r="B40" s="284" t="s">
        <v>76</v>
      </c>
      <c r="C40" s="290" t="s">
        <v>3584</v>
      </c>
      <c r="D40" s="284">
        <v>37</v>
      </c>
      <c r="E40" s="284" t="s">
        <v>3572</v>
      </c>
      <c r="F40" s="284">
        <v>253.9</v>
      </c>
      <c r="G40" s="291">
        <v>2.2404000000000002</v>
      </c>
      <c r="H40" s="286">
        <f t="shared" si="0"/>
        <v>2240.4</v>
      </c>
      <c r="J40" s="287">
        <f t="shared" si="8"/>
        <v>253.55</v>
      </c>
      <c r="K40" s="287">
        <f t="shared" si="1"/>
        <v>2.5354999999999999</v>
      </c>
      <c r="L40" s="287">
        <f t="shared" si="2"/>
        <v>3.1693749999999996</v>
      </c>
      <c r="M40" s="287">
        <f t="shared" si="3"/>
        <v>89.027743749999985</v>
      </c>
      <c r="N40">
        <f t="shared" si="9"/>
        <v>190.44774375</v>
      </c>
      <c r="O40" s="287">
        <f t="shared" si="5"/>
        <v>3.9737432489733964</v>
      </c>
      <c r="P40" s="287">
        <f t="shared" si="6"/>
        <v>8.5006134507230851</v>
      </c>
      <c r="T40">
        <v>2022</v>
      </c>
      <c r="U40" t="s">
        <v>46</v>
      </c>
      <c r="V40">
        <v>19</v>
      </c>
      <c r="W40">
        <f t="shared" ref="W40:X41" si="14">O98</f>
        <v>5.1010525235217781</v>
      </c>
      <c r="X40">
        <f t="shared" si="14"/>
        <v>10.912148313934626</v>
      </c>
      <c r="Z40">
        <f t="shared" ref="Z40:Z41" si="15">((O24-O98)/AVERAGE(O24,O98))*100</f>
        <v>-0.52191833953046052</v>
      </c>
    </row>
    <row r="41" spans="1:28">
      <c r="A41" s="278">
        <v>26364</v>
      </c>
      <c r="B41" s="278" t="s">
        <v>76</v>
      </c>
      <c r="C41" s="279">
        <v>13</v>
      </c>
      <c r="D41" s="278">
        <v>38</v>
      </c>
      <c r="E41" s="278" t="s">
        <v>3572</v>
      </c>
      <c r="F41" s="278">
        <v>261</v>
      </c>
      <c r="G41" s="279">
        <v>2.3014999999999999</v>
      </c>
      <c r="H41" s="44">
        <f t="shared" si="0"/>
        <v>2301.5</v>
      </c>
      <c r="J41">
        <f t="shared" si="8"/>
        <v>260.64999999999998</v>
      </c>
      <c r="K41">
        <f t="shared" si="1"/>
        <v>2.6065</v>
      </c>
      <c r="L41">
        <f t="shared" si="2"/>
        <v>3.2581250000000002</v>
      </c>
      <c r="M41">
        <f t="shared" si="3"/>
        <v>91.520731249999997</v>
      </c>
      <c r="N41">
        <f t="shared" si="9"/>
        <v>195.78073125000003</v>
      </c>
      <c r="O41" s="521">
        <f t="shared" si="5"/>
        <v>3.9765688138170758</v>
      </c>
      <c r="P41" s="521">
        <f t="shared" si="6"/>
        <v>8.5066578861612001</v>
      </c>
      <c r="T41">
        <v>2022</v>
      </c>
      <c r="U41" t="s">
        <v>46</v>
      </c>
      <c r="V41">
        <v>20</v>
      </c>
      <c r="W41">
        <f t="shared" si="14"/>
        <v>5.4600241216327543</v>
      </c>
      <c r="X41">
        <f t="shared" si="14"/>
        <v>11.680058720858391</v>
      </c>
      <c r="Z41">
        <f t="shared" si="15"/>
        <v>3.7592968983493611</v>
      </c>
    </row>
    <row r="42" spans="1:28" ht="15" thickBot="1">
      <c r="A42" s="278">
        <v>26365</v>
      </c>
      <c r="B42" s="278" t="s">
        <v>76</v>
      </c>
      <c r="C42" s="279">
        <v>16</v>
      </c>
      <c r="D42" s="278">
        <v>39</v>
      </c>
      <c r="E42" s="278" t="s">
        <v>3572</v>
      </c>
      <c r="F42" s="278">
        <v>390.6</v>
      </c>
      <c r="G42" s="279">
        <v>2.7877999999999998</v>
      </c>
      <c r="H42" s="44">
        <f t="shared" si="0"/>
        <v>2787.7999999999997</v>
      </c>
      <c r="J42">
        <f t="shared" si="8"/>
        <v>390.25</v>
      </c>
      <c r="K42">
        <f t="shared" si="1"/>
        <v>3.9024999999999999</v>
      </c>
      <c r="L42">
        <f t="shared" si="2"/>
        <v>4.8781249999999998</v>
      </c>
      <c r="M42">
        <f t="shared" si="3"/>
        <v>137.02653125000001</v>
      </c>
      <c r="N42">
        <f t="shared" si="9"/>
        <v>293.12653125000003</v>
      </c>
      <c r="O42" s="521">
        <f t="shared" si="5"/>
        <v>4.9152210076045639</v>
      </c>
      <c r="P42" s="521">
        <f t="shared" si="6"/>
        <v>10.514618381878185</v>
      </c>
      <c r="T42" s="195">
        <v>2022</v>
      </c>
      <c r="U42" s="195" t="s">
        <v>46</v>
      </c>
      <c r="V42" s="195">
        <v>21</v>
      </c>
      <c r="W42">
        <f>O26</f>
        <v>5.6766506118327262</v>
      </c>
      <c r="X42">
        <f>P26</f>
        <v>12.143465121574531</v>
      </c>
      <c r="Y42" s="38" t="s">
        <v>3585</v>
      </c>
    </row>
    <row r="43" spans="1:28">
      <c r="A43" s="278">
        <v>26366</v>
      </c>
      <c r="B43" s="278" t="s">
        <v>49</v>
      </c>
      <c r="C43" s="279" t="s">
        <v>343</v>
      </c>
      <c r="D43" s="278">
        <v>40</v>
      </c>
      <c r="E43" s="278" t="s">
        <v>3572</v>
      </c>
      <c r="F43" s="278">
        <v>0.6</v>
      </c>
      <c r="H43" s="44"/>
      <c r="O43" s="521"/>
      <c r="P43" s="521"/>
      <c r="T43">
        <v>2022</v>
      </c>
      <c r="U43" t="s">
        <v>76</v>
      </c>
      <c r="V43">
        <v>1</v>
      </c>
      <c r="W43">
        <f>O100</f>
        <v>3.3140649126838242</v>
      </c>
      <c r="X43">
        <f>P100</f>
        <v>7.0894325597426491</v>
      </c>
      <c r="Z43">
        <f>((O27-O100)/AVERAGE(O27,O100))*100</f>
        <v>2.360596578186219</v>
      </c>
    </row>
    <row r="44" spans="1:28" s="277" customFormat="1">
      <c r="A44" s="308">
        <v>26367</v>
      </c>
      <c r="B44" s="308" t="s">
        <v>3307</v>
      </c>
      <c r="C44" s="310" t="s">
        <v>343</v>
      </c>
      <c r="D44" s="308">
        <v>41</v>
      </c>
      <c r="E44" s="308" t="s">
        <v>3572</v>
      </c>
      <c r="F44" s="308">
        <v>275.60000000000002</v>
      </c>
      <c r="G44" s="279">
        <v>2.2339000000000002</v>
      </c>
      <c r="H44" s="44">
        <f>G44*1000</f>
        <v>2233.9</v>
      </c>
      <c r="J44">
        <f>F44-$J$1</f>
        <v>275.25</v>
      </c>
      <c r="K44">
        <f t="shared" si="1"/>
        <v>2.7524999999999999</v>
      </c>
      <c r="L44">
        <f t="shared" si="2"/>
        <v>3.4406249999999998</v>
      </c>
      <c r="M44">
        <f t="shared" si="3"/>
        <v>96.647156249999995</v>
      </c>
      <c r="N44">
        <f t="shared" si="9"/>
        <v>206.74715624999999</v>
      </c>
      <c r="O44" s="521">
        <f t="shared" si="5"/>
        <v>4.3263868682573072</v>
      </c>
      <c r="P44" s="521">
        <f t="shared" si="6"/>
        <v>9.2549870741752081</v>
      </c>
      <c r="R44" s="277">
        <f>((O44-AVERAGE(O15,O44,O55,O73,O74))/AVERAGE(O15,O44,O55,O73,O74)) *100</f>
        <v>3.9343526239121873</v>
      </c>
      <c r="T44">
        <v>2022</v>
      </c>
      <c r="U44" t="s">
        <v>76</v>
      </c>
      <c r="V44">
        <v>2</v>
      </c>
      <c r="W44">
        <f t="shared" ref="W44:X47" si="16">O101</f>
        <v>3.2412076763807076</v>
      </c>
      <c r="X44">
        <f t="shared" si="16"/>
        <v>6.9335766918375477</v>
      </c>
      <c r="Z44">
        <f t="shared" ref="Z44:Z47" si="17">((O28-O101)/AVERAGE(O28,O101))*100</f>
        <v>-1.2524170114048054</v>
      </c>
    </row>
    <row r="45" spans="1:28">
      <c r="A45" s="278">
        <v>26368</v>
      </c>
      <c r="B45" s="278" t="s">
        <v>76</v>
      </c>
      <c r="C45" s="279">
        <v>20</v>
      </c>
      <c r="D45" s="278">
        <v>42</v>
      </c>
      <c r="E45" s="278" t="s">
        <v>3572</v>
      </c>
      <c r="F45" s="278">
        <v>612</v>
      </c>
      <c r="G45" s="279">
        <v>2.5691999999999999</v>
      </c>
      <c r="H45" s="44">
        <f t="shared" si="0"/>
        <v>2569.1999999999998</v>
      </c>
      <c r="J45">
        <f t="shared" ref="J45:J53" si="18">F45-$J$1</f>
        <v>611.65</v>
      </c>
      <c r="K45">
        <f t="shared" si="1"/>
        <v>6.1165000000000003</v>
      </c>
      <c r="L45">
        <f t="shared" si="2"/>
        <v>7.6456250000000008</v>
      </c>
      <c r="M45">
        <f t="shared" si="3"/>
        <v>214.76560625000002</v>
      </c>
      <c r="N45">
        <f>L45*(28.09+2*16)</f>
        <v>459.4256062500001</v>
      </c>
      <c r="O45" s="521">
        <f t="shared" si="5"/>
        <v>8.3592404736883097</v>
      </c>
      <c r="P45" s="521">
        <f t="shared" si="6"/>
        <v>17.882049130079409</v>
      </c>
      <c r="T45">
        <v>2022</v>
      </c>
      <c r="U45" t="s">
        <v>76</v>
      </c>
      <c r="V45">
        <v>3</v>
      </c>
      <c r="W45">
        <f t="shared" si="16"/>
        <v>3.26793294016983</v>
      </c>
      <c r="X45">
        <f t="shared" si="16"/>
        <v>6.9907472543540434</v>
      </c>
      <c r="Z45">
        <f t="shared" si="17"/>
        <v>0.35741582120365284</v>
      </c>
    </row>
    <row r="46" spans="1:28">
      <c r="A46" s="278">
        <v>26369</v>
      </c>
      <c r="B46" s="278" t="s">
        <v>76</v>
      </c>
      <c r="C46" s="279">
        <v>21</v>
      </c>
      <c r="D46" s="278">
        <v>43</v>
      </c>
      <c r="E46" s="278" t="s">
        <v>3572</v>
      </c>
      <c r="F46" s="278">
        <v>491</v>
      </c>
      <c r="G46" s="279">
        <v>2.3315999999999999</v>
      </c>
      <c r="H46" s="44">
        <f t="shared" si="0"/>
        <v>2331.6</v>
      </c>
      <c r="J46">
        <f t="shared" si="18"/>
        <v>490.65</v>
      </c>
      <c r="K46">
        <f t="shared" si="1"/>
        <v>4.9064999999999994</v>
      </c>
      <c r="L46">
        <f t="shared" si="2"/>
        <v>6.1331249999999997</v>
      </c>
      <c r="M46">
        <f t="shared" si="3"/>
        <v>172.27948125</v>
      </c>
      <c r="N46">
        <f t="shared" ref="N46:N53" si="19">L46*(28.09+2*16)</f>
        <v>368.53948124999999</v>
      </c>
      <c r="O46" s="521">
        <f t="shared" si="5"/>
        <v>7.3888952328872879</v>
      </c>
      <c r="P46" s="521">
        <f t="shared" si="6"/>
        <v>15.806291012609366</v>
      </c>
      <c r="T46">
        <v>2022</v>
      </c>
      <c r="U46" t="s">
        <v>76</v>
      </c>
      <c r="V46">
        <v>4</v>
      </c>
      <c r="W46">
        <f t="shared" si="16"/>
        <v>3.793839700254102</v>
      </c>
      <c r="X46">
        <f t="shared" si="16"/>
        <v>8.1157645990839811</v>
      </c>
      <c r="Z46">
        <f t="shared" si="17"/>
        <v>1.2558039308865032</v>
      </c>
    </row>
    <row r="47" spans="1:28">
      <c r="A47" s="278">
        <v>26370</v>
      </c>
      <c r="B47" s="278" t="s">
        <v>93</v>
      </c>
      <c r="C47" s="279">
        <v>1</v>
      </c>
      <c r="D47" s="278">
        <v>44</v>
      </c>
      <c r="E47" s="278" t="s">
        <v>3572</v>
      </c>
      <c r="F47" s="278">
        <v>256</v>
      </c>
      <c r="G47" s="279">
        <v>2.9885000000000002</v>
      </c>
      <c r="H47" s="44">
        <f t="shared" si="0"/>
        <v>2988.5</v>
      </c>
      <c r="J47">
        <f t="shared" si="18"/>
        <v>255.65</v>
      </c>
      <c r="K47">
        <f t="shared" si="1"/>
        <v>2.5564999999999998</v>
      </c>
      <c r="L47">
        <f t="shared" si="2"/>
        <v>3.1956249999999997</v>
      </c>
      <c r="M47">
        <f t="shared" si="3"/>
        <v>89.765106249999988</v>
      </c>
      <c r="N47">
        <f t="shared" si="19"/>
        <v>192.02510624999999</v>
      </c>
      <c r="O47" s="521">
        <f t="shared" si="5"/>
        <v>3.0036843316044832</v>
      </c>
      <c r="P47" s="521">
        <f t="shared" si="6"/>
        <v>6.4254678350342971</v>
      </c>
      <c r="T47">
        <v>2022</v>
      </c>
      <c r="U47" t="s">
        <v>76</v>
      </c>
      <c r="V47">
        <v>5</v>
      </c>
      <c r="W47">
        <f t="shared" si="16"/>
        <v>4.1620038469748124</v>
      </c>
      <c r="X47">
        <f t="shared" si="16"/>
        <v>8.9033396641052516</v>
      </c>
      <c r="Z47">
        <f t="shared" si="17"/>
        <v>0.88556744646505325</v>
      </c>
    </row>
    <row r="48" spans="1:28">
      <c r="A48" s="278">
        <v>26371</v>
      </c>
      <c r="B48" s="278" t="s">
        <v>93</v>
      </c>
      <c r="C48" s="279">
        <v>2</v>
      </c>
      <c r="D48" s="278">
        <v>45</v>
      </c>
      <c r="E48" s="278" t="s">
        <v>3572</v>
      </c>
      <c r="F48" s="278">
        <v>275.39999999999998</v>
      </c>
      <c r="G48" s="279">
        <v>3.0030999999999999</v>
      </c>
      <c r="H48" s="44">
        <f t="shared" si="0"/>
        <v>3003.1</v>
      </c>
      <c r="J48">
        <f t="shared" si="18"/>
        <v>275.04999999999995</v>
      </c>
      <c r="K48">
        <f t="shared" si="1"/>
        <v>2.7504999999999997</v>
      </c>
      <c r="L48">
        <f t="shared" si="2"/>
        <v>3.4381249999999994</v>
      </c>
      <c r="M48">
        <f t="shared" si="3"/>
        <v>96.576931249999987</v>
      </c>
      <c r="N48">
        <f t="shared" si="19"/>
        <v>206.59693124999998</v>
      </c>
      <c r="O48" s="521">
        <f t="shared" si="5"/>
        <v>3.2159079367986414</v>
      </c>
      <c r="P48" s="521">
        <f t="shared" si="6"/>
        <v>6.8794556042089834</v>
      </c>
      <c r="T48">
        <v>2022</v>
      </c>
      <c r="U48" t="s">
        <v>76</v>
      </c>
      <c r="V48">
        <v>6</v>
      </c>
      <c r="W48">
        <f>AVERAGE(O105:O106)</f>
        <v>5.2782304471750763</v>
      </c>
      <c r="X48">
        <f>AVERAGE(P105:P106)</f>
        <v>11.291166520852631</v>
      </c>
      <c r="Z48">
        <f>((O32-O105)/AVERAGE(O32,O105))*100</f>
        <v>1.3137265882514162</v>
      </c>
      <c r="AA48">
        <f>((O33-O106)/AVERAGE(O33,O106))*100</f>
        <v>0.19184877808027748</v>
      </c>
      <c r="AB48" s="38" t="s">
        <v>3580</v>
      </c>
    </row>
    <row r="49" spans="1:28">
      <c r="A49" s="278">
        <v>26372</v>
      </c>
      <c r="B49" s="278" t="s">
        <v>93</v>
      </c>
      <c r="C49" s="279">
        <v>3</v>
      </c>
      <c r="D49" s="278">
        <v>46</v>
      </c>
      <c r="E49" s="278" t="s">
        <v>3572</v>
      </c>
      <c r="F49" s="278">
        <v>209.9</v>
      </c>
      <c r="G49" s="279">
        <v>2.5</v>
      </c>
      <c r="H49" s="44">
        <f t="shared" si="0"/>
        <v>2500</v>
      </c>
      <c r="J49">
        <f t="shared" si="18"/>
        <v>209.55</v>
      </c>
      <c r="K49">
        <f t="shared" si="1"/>
        <v>2.0955000000000004</v>
      </c>
      <c r="L49">
        <f t="shared" si="2"/>
        <v>2.6193750000000007</v>
      </c>
      <c r="M49">
        <f t="shared" si="3"/>
        <v>73.578243750000013</v>
      </c>
      <c r="N49">
        <f t="shared" si="19"/>
        <v>157.39824375000006</v>
      </c>
      <c r="O49" s="521">
        <f t="shared" si="5"/>
        <v>2.9431297500000007</v>
      </c>
      <c r="P49" s="521">
        <f t="shared" si="6"/>
        <v>6.2959297500000027</v>
      </c>
      <c r="T49">
        <v>2022</v>
      </c>
      <c r="U49" t="s">
        <v>76</v>
      </c>
      <c r="V49">
        <v>7</v>
      </c>
      <c r="W49">
        <f>O107</f>
        <v>5.5786419239799363</v>
      </c>
      <c r="X49">
        <f>P107</f>
        <v>11.933805383124044</v>
      </c>
      <c r="Z49">
        <f>((O34-O107)/AVERAGE(O34,O107))*100</f>
        <v>0.86776337292879413</v>
      </c>
    </row>
    <row r="50" spans="1:28">
      <c r="A50" s="278">
        <v>26373</v>
      </c>
      <c r="B50" s="278" t="s">
        <v>93</v>
      </c>
      <c r="C50" s="279">
        <v>4</v>
      </c>
      <c r="D50" s="278">
        <v>47</v>
      </c>
      <c r="E50" s="278" t="s">
        <v>3572</v>
      </c>
      <c r="F50" s="278">
        <v>215.1</v>
      </c>
      <c r="G50" s="279">
        <v>2.3603000000000001</v>
      </c>
      <c r="H50" s="44">
        <f t="shared" si="0"/>
        <v>2360.3000000000002</v>
      </c>
      <c r="J50">
        <f t="shared" si="18"/>
        <v>214.75</v>
      </c>
      <c r="K50">
        <f t="shared" si="1"/>
        <v>2.1475</v>
      </c>
      <c r="L50">
        <f t="shared" si="2"/>
        <v>2.6843750000000002</v>
      </c>
      <c r="M50">
        <f t="shared" si="3"/>
        <v>75.404093750000001</v>
      </c>
      <c r="N50">
        <f t="shared" si="19"/>
        <v>161.30409375000002</v>
      </c>
      <c r="O50" s="521">
        <f t="shared" si="5"/>
        <v>3.1946826144981566</v>
      </c>
      <c r="P50" s="521">
        <f t="shared" si="6"/>
        <v>6.834050491462949</v>
      </c>
      <c r="T50">
        <v>2022</v>
      </c>
      <c r="U50" t="s">
        <v>76</v>
      </c>
      <c r="V50">
        <v>8</v>
      </c>
      <c r="W50">
        <f t="shared" ref="W50:X53" si="20">O108</f>
        <v>6.1372690011809432</v>
      </c>
      <c r="X50">
        <f t="shared" si="20"/>
        <v>13.128817881130752</v>
      </c>
      <c r="Z50">
        <f t="shared" ref="Z50:Z53" si="21">((O35-O108)/AVERAGE(O35,O108))*100</f>
        <v>-0.81958918288020222</v>
      </c>
    </row>
    <row r="51" spans="1:28" ht="15" thickBot="1">
      <c r="A51" s="278">
        <v>26374</v>
      </c>
      <c r="B51" s="278" t="s">
        <v>93</v>
      </c>
      <c r="C51" s="280">
        <v>5</v>
      </c>
      <c r="D51" s="278">
        <v>48</v>
      </c>
      <c r="E51" s="278" t="s">
        <v>3572</v>
      </c>
      <c r="F51" s="278">
        <v>283.60000000000002</v>
      </c>
      <c r="G51" s="280">
        <v>2.7812000000000001</v>
      </c>
      <c r="H51" s="44">
        <f t="shared" si="0"/>
        <v>2781.2000000000003</v>
      </c>
      <c r="J51">
        <f t="shared" si="18"/>
        <v>283.25</v>
      </c>
      <c r="K51">
        <f t="shared" si="1"/>
        <v>2.8325</v>
      </c>
      <c r="L51">
        <f t="shared" si="2"/>
        <v>3.5406249999999999</v>
      </c>
      <c r="M51">
        <f t="shared" si="3"/>
        <v>99.456156249999992</v>
      </c>
      <c r="N51">
        <f t="shared" si="19"/>
        <v>212.75615625</v>
      </c>
      <c r="O51" s="521">
        <f t="shared" si="5"/>
        <v>3.5760159733208683</v>
      </c>
      <c r="P51" s="521">
        <f t="shared" si="6"/>
        <v>7.6497970750035948</v>
      </c>
      <c r="T51">
        <v>2022</v>
      </c>
      <c r="U51" t="s">
        <v>76</v>
      </c>
      <c r="V51">
        <v>9</v>
      </c>
      <c r="W51">
        <f t="shared" si="20"/>
        <v>5.7415043245843318</v>
      </c>
      <c r="X51">
        <f t="shared" si="20"/>
        <v>12.282199888368549</v>
      </c>
      <c r="Z51">
        <f t="shared" si="21"/>
        <v>-1.2275655457453694</v>
      </c>
    </row>
    <row r="52" spans="1:28" s="287" customFormat="1" ht="15" thickTop="1">
      <c r="A52" s="284">
        <v>26375</v>
      </c>
      <c r="B52" s="284" t="s">
        <v>93</v>
      </c>
      <c r="C52" s="291" t="s">
        <v>3581</v>
      </c>
      <c r="D52" s="284">
        <v>49</v>
      </c>
      <c r="E52" s="284" t="s">
        <v>3572</v>
      </c>
      <c r="F52" s="284">
        <v>348.4</v>
      </c>
      <c r="G52" s="291">
        <v>2.5583999999999998</v>
      </c>
      <c r="H52" s="286">
        <f t="shared" si="0"/>
        <v>2558.3999999999996</v>
      </c>
      <c r="J52" s="287">
        <f t="shared" si="18"/>
        <v>348.04999999999995</v>
      </c>
      <c r="K52" s="287">
        <f t="shared" si="1"/>
        <v>3.4804999999999997</v>
      </c>
      <c r="L52" s="287">
        <f t="shared" si="2"/>
        <v>4.350625</v>
      </c>
      <c r="M52" s="287">
        <f t="shared" si="3"/>
        <v>122.20905625</v>
      </c>
      <c r="N52">
        <f t="shared" si="19"/>
        <v>261.42905625000003</v>
      </c>
      <c r="O52" s="287">
        <f t="shared" si="5"/>
        <v>4.7767767452313956</v>
      </c>
      <c r="P52" s="287">
        <f t="shared" si="6"/>
        <v>10.218459046669796</v>
      </c>
      <c r="Q52" s="287">
        <f>((O52-O53)/AVERAGE(O52:O53))*100</f>
        <v>1.228925489552757E-2</v>
      </c>
      <c r="T52">
        <v>2022</v>
      </c>
      <c r="U52" t="s">
        <v>76</v>
      </c>
      <c r="V52">
        <v>10</v>
      </c>
      <c r="W52">
        <f t="shared" si="20"/>
        <v>4.3357834628471599</v>
      </c>
      <c r="X52">
        <f t="shared" si="20"/>
        <v>9.2750882265035894</v>
      </c>
      <c r="Z52">
        <f t="shared" si="21"/>
        <v>1.4621877244531205</v>
      </c>
    </row>
    <row r="53" spans="1:28" s="287" customFormat="1">
      <c r="A53" s="284">
        <v>26376</v>
      </c>
      <c r="B53" s="284" t="s">
        <v>93</v>
      </c>
      <c r="C53" s="285" t="s">
        <v>3582</v>
      </c>
      <c r="D53" s="284">
        <v>50</v>
      </c>
      <c r="E53" s="284" t="s">
        <v>3572</v>
      </c>
      <c r="F53" s="284">
        <v>307.39999999999998</v>
      </c>
      <c r="G53" s="285">
        <v>2.2572999999999999</v>
      </c>
      <c r="H53" s="286">
        <f t="shared" si="0"/>
        <v>2257.2999999999997</v>
      </c>
      <c r="J53" s="287">
        <f t="shared" si="18"/>
        <v>307.04999999999995</v>
      </c>
      <c r="K53" s="287">
        <f t="shared" si="1"/>
        <v>3.0704999999999991</v>
      </c>
      <c r="L53" s="287">
        <f t="shared" si="2"/>
        <v>3.8381249999999989</v>
      </c>
      <c r="M53" s="287">
        <f t="shared" si="3"/>
        <v>107.81293124999996</v>
      </c>
      <c r="N53">
        <f t="shared" si="19"/>
        <v>230.63293124999996</v>
      </c>
      <c r="O53" s="287">
        <f t="shared" si="5"/>
        <v>4.7761897510299907</v>
      </c>
      <c r="P53" s="287">
        <f t="shared" si="6"/>
        <v>10.217203351348957</v>
      </c>
      <c r="T53">
        <v>2022</v>
      </c>
      <c r="U53" t="s">
        <v>76</v>
      </c>
      <c r="V53">
        <v>11</v>
      </c>
      <c r="W53">
        <f t="shared" si="20"/>
        <v>3.8108573990090702</v>
      </c>
      <c r="X53">
        <f t="shared" si="20"/>
        <v>8.1521687827146696</v>
      </c>
      <c r="Z53">
        <f t="shared" si="21"/>
        <v>0.10596197082939224</v>
      </c>
    </row>
    <row r="54" spans="1:28">
      <c r="A54" s="278">
        <v>26377</v>
      </c>
      <c r="B54" s="278" t="s">
        <v>51</v>
      </c>
      <c r="C54" s="279"/>
      <c r="D54" s="278">
        <v>51</v>
      </c>
      <c r="E54" s="278" t="s">
        <v>3572</v>
      </c>
      <c r="F54" s="278">
        <v>0.2</v>
      </c>
      <c r="G54" s="279"/>
      <c r="H54" s="44"/>
      <c r="O54" s="521"/>
      <c r="P54" s="521"/>
      <c r="T54">
        <v>2022</v>
      </c>
      <c r="U54" t="s">
        <v>76</v>
      </c>
      <c r="V54">
        <v>12</v>
      </c>
      <c r="W54">
        <f>AVERAGE(O112:O113)</f>
        <v>3.8582195390873464</v>
      </c>
      <c r="X54">
        <f>AVERAGE(P112:P113)</f>
        <v>8.253485656951181</v>
      </c>
      <c r="Z54">
        <f>((O39-O112)/AVERAGE(O39,O112))*100</f>
        <v>3.0496366676177278</v>
      </c>
      <c r="AA54">
        <f>((O40-O113)/AVERAGE(O40,O113))*100</f>
        <v>2.8922040159967826</v>
      </c>
      <c r="AB54" s="38" t="s">
        <v>3580</v>
      </c>
    </row>
    <row r="55" spans="1:28" s="277" customFormat="1">
      <c r="A55" s="308">
        <v>26378</v>
      </c>
      <c r="B55" s="308" t="s">
        <v>3307</v>
      </c>
      <c r="C55" s="310" t="s">
        <v>346</v>
      </c>
      <c r="D55" s="308">
        <v>52</v>
      </c>
      <c r="E55" s="308" t="s">
        <v>3572</v>
      </c>
      <c r="F55" s="308">
        <v>305.5</v>
      </c>
      <c r="G55" s="310">
        <v>2.5703999999999998</v>
      </c>
      <c r="H55" s="30">
        <f t="shared" si="0"/>
        <v>2570.3999999999996</v>
      </c>
      <c r="J55" s="277">
        <f t="shared" ref="J55:J71" si="22">F55-$J$1</f>
        <v>305.14999999999998</v>
      </c>
      <c r="K55" s="277">
        <f t="shared" si="1"/>
        <v>3.0514999999999999</v>
      </c>
      <c r="L55" s="277">
        <f t="shared" si="2"/>
        <v>3.8143750000000001</v>
      </c>
      <c r="M55" s="277">
        <f t="shared" si="3"/>
        <v>107.14579375</v>
      </c>
      <c r="N55" s="277">
        <f>L55*(28.09+2*16)</f>
        <v>229.20579375000003</v>
      </c>
      <c r="O55" s="277">
        <f t="shared" si="5"/>
        <v>4.1684482473544975</v>
      </c>
      <c r="P55" s="277">
        <f t="shared" si="6"/>
        <v>8.9171254960317476</v>
      </c>
      <c r="R55" s="277">
        <f>((O55-AVERAGE(O15,O44,O55,O73,O74))/AVERAGE(O15,O44,O55,O73,O74)) *100</f>
        <v>0.14013615236044843</v>
      </c>
      <c r="T55">
        <v>2022</v>
      </c>
      <c r="U55" t="s">
        <v>76</v>
      </c>
      <c r="V55">
        <v>13</v>
      </c>
      <c r="W55">
        <f>O114</f>
        <v>4.0036366194561639</v>
      </c>
      <c r="X55">
        <f>P114</f>
        <v>8.5645612126422535</v>
      </c>
      <c r="Z55">
        <f>((O41-O114)/AVERAGE(O41,O114))*100</f>
        <v>-0.67837365504977143</v>
      </c>
    </row>
    <row r="56" spans="1:28">
      <c r="A56" s="278">
        <v>26379</v>
      </c>
      <c r="B56" s="278" t="s">
        <v>93</v>
      </c>
      <c r="C56" s="282">
        <v>7</v>
      </c>
      <c r="D56" s="278">
        <v>53</v>
      </c>
      <c r="E56" s="278" t="s">
        <v>3572</v>
      </c>
      <c r="F56" s="278">
        <v>367.4</v>
      </c>
      <c r="G56" s="279">
        <v>2.661</v>
      </c>
      <c r="H56" s="44">
        <f t="shared" si="0"/>
        <v>2661</v>
      </c>
      <c r="J56">
        <f t="shared" si="22"/>
        <v>367.04999999999995</v>
      </c>
      <c r="K56">
        <f t="shared" si="1"/>
        <v>3.6704999999999992</v>
      </c>
      <c r="L56">
        <f t="shared" si="2"/>
        <v>4.5881249999999989</v>
      </c>
      <c r="M56">
        <f t="shared" si="3"/>
        <v>128.88043124999996</v>
      </c>
      <c r="N56">
        <f t="shared" ref="N56:N71" si="23">L56*(28.09+2*16)</f>
        <v>275.70043124999995</v>
      </c>
      <c r="O56" s="521">
        <f t="shared" si="5"/>
        <v>4.8433082018038318</v>
      </c>
      <c r="P56" s="521">
        <f t="shared" si="6"/>
        <v>10.360782835400224</v>
      </c>
      <c r="T56">
        <v>2022</v>
      </c>
      <c r="U56" t="s">
        <v>76</v>
      </c>
      <c r="V56">
        <v>14</v>
      </c>
    </row>
    <row r="57" spans="1:28">
      <c r="A57" s="278">
        <v>26380</v>
      </c>
      <c r="B57" s="278" t="s">
        <v>93</v>
      </c>
      <c r="C57" s="279">
        <v>8</v>
      </c>
      <c r="D57" s="278">
        <v>54</v>
      </c>
      <c r="E57" s="278" t="s">
        <v>3572</v>
      </c>
      <c r="F57" s="278">
        <v>370.5</v>
      </c>
      <c r="G57" s="279">
        <v>2.6133000000000002</v>
      </c>
      <c r="H57" s="44">
        <f t="shared" si="0"/>
        <v>2613.3000000000002</v>
      </c>
      <c r="J57">
        <f t="shared" si="22"/>
        <v>370.15</v>
      </c>
      <c r="K57">
        <f t="shared" si="1"/>
        <v>3.7014999999999998</v>
      </c>
      <c r="L57">
        <f t="shared" si="2"/>
        <v>4.6268750000000001</v>
      </c>
      <c r="M57">
        <f t="shared" si="3"/>
        <v>129.96891875</v>
      </c>
      <c r="N57">
        <f t="shared" si="23"/>
        <v>278.02891875</v>
      </c>
      <c r="O57" s="521">
        <f t="shared" si="5"/>
        <v>4.9733638981364559</v>
      </c>
      <c r="P57" s="521">
        <f t="shared" si="6"/>
        <v>10.638997388359545</v>
      </c>
      <c r="T57">
        <v>2022</v>
      </c>
      <c r="U57" t="s">
        <v>76</v>
      </c>
      <c r="V57">
        <v>15</v>
      </c>
    </row>
    <row r="58" spans="1:28">
      <c r="A58" s="278">
        <v>26381</v>
      </c>
      <c r="B58" s="278" t="s">
        <v>93</v>
      </c>
      <c r="C58" s="279">
        <v>9</v>
      </c>
      <c r="D58" s="278">
        <v>55</v>
      </c>
      <c r="E58" s="278" t="s">
        <v>3572</v>
      </c>
      <c r="F58" s="278">
        <v>293.10000000000002</v>
      </c>
      <c r="G58" s="279">
        <v>2.0146999999999999</v>
      </c>
      <c r="H58" s="44">
        <f t="shared" si="0"/>
        <v>2014.7</v>
      </c>
      <c r="J58">
        <f t="shared" si="22"/>
        <v>292.75</v>
      </c>
      <c r="K58">
        <f t="shared" si="1"/>
        <v>2.9275000000000002</v>
      </c>
      <c r="L58">
        <f t="shared" si="2"/>
        <v>3.6593750000000003</v>
      </c>
      <c r="M58">
        <f t="shared" si="3"/>
        <v>102.79184375000001</v>
      </c>
      <c r="N58">
        <f t="shared" si="23"/>
        <v>219.89184375000002</v>
      </c>
      <c r="O58" s="521">
        <f t="shared" si="5"/>
        <v>5.102091812676826</v>
      </c>
      <c r="P58" s="521">
        <f t="shared" si="6"/>
        <v>10.91437155655929</v>
      </c>
      <c r="T58">
        <v>2022</v>
      </c>
      <c r="U58" t="s">
        <v>76</v>
      </c>
      <c r="V58">
        <v>16</v>
      </c>
      <c r="W58">
        <f>O115</f>
        <v>5.1309134890670283</v>
      </c>
      <c r="X58">
        <f>P115</f>
        <v>10.976026755359126</v>
      </c>
      <c r="Z58">
        <f>((O42-O115)/AVERAGE(O42,O115))*100</f>
        <v>-4.2940392950925732</v>
      </c>
    </row>
    <row r="59" spans="1:28">
      <c r="A59" s="278">
        <v>26382</v>
      </c>
      <c r="B59" s="278" t="s">
        <v>93</v>
      </c>
      <c r="C59" s="279">
        <v>10</v>
      </c>
      <c r="D59" s="278">
        <v>56</v>
      </c>
      <c r="E59" s="278" t="s">
        <v>3572</v>
      </c>
      <c r="F59" s="278">
        <v>265.3</v>
      </c>
      <c r="G59" s="279">
        <v>2.0363000000000002</v>
      </c>
      <c r="H59" s="44">
        <f t="shared" si="0"/>
        <v>2036.3000000000002</v>
      </c>
      <c r="J59">
        <f t="shared" si="22"/>
        <v>264.95</v>
      </c>
      <c r="K59">
        <f t="shared" si="1"/>
        <v>2.6494999999999997</v>
      </c>
      <c r="L59">
        <f t="shared" si="2"/>
        <v>3.3118749999999997</v>
      </c>
      <c r="M59">
        <f t="shared" si="3"/>
        <v>93.030568749999986</v>
      </c>
      <c r="N59">
        <f t="shared" si="23"/>
        <v>199.01056875</v>
      </c>
      <c r="O59" s="521">
        <f t="shared" si="5"/>
        <v>4.5686081986937088</v>
      </c>
      <c r="P59" s="521">
        <f t="shared" si="6"/>
        <v>9.7731458404950153</v>
      </c>
      <c r="T59">
        <v>2022</v>
      </c>
      <c r="U59" t="s">
        <v>76</v>
      </c>
      <c r="V59">
        <v>17</v>
      </c>
    </row>
    <row r="60" spans="1:28">
      <c r="A60" s="278">
        <v>26383</v>
      </c>
      <c r="B60" s="278" t="s">
        <v>93</v>
      </c>
      <c r="C60" s="279">
        <v>11</v>
      </c>
      <c r="D60" s="278">
        <v>57</v>
      </c>
      <c r="E60" s="278" t="s">
        <v>3572</v>
      </c>
      <c r="F60" s="278">
        <v>277</v>
      </c>
      <c r="G60" s="279">
        <v>2.2774999999999999</v>
      </c>
      <c r="H60" s="44">
        <f t="shared" si="0"/>
        <v>2277.5</v>
      </c>
      <c r="J60">
        <f t="shared" si="22"/>
        <v>276.64999999999998</v>
      </c>
      <c r="K60">
        <f t="shared" si="1"/>
        <v>2.7664999999999997</v>
      </c>
      <c r="L60">
        <f t="shared" si="2"/>
        <v>3.4581249999999999</v>
      </c>
      <c r="M60">
        <f t="shared" si="3"/>
        <v>97.138731249999992</v>
      </c>
      <c r="N60">
        <f t="shared" si="23"/>
        <v>207.79873125</v>
      </c>
      <c r="O60" s="521">
        <f t="shared" si="5"/>
        <v>4.2651473655323819</v>
      </c>
      <c r="P60" s="521">
        <f t="shared" si="6"/>
        <v>9.1239838090010981</v>
      </c>
      <c r="T60">
        <v>2022</v>
      </c>
      <c r="U60" t="s">
        <v>76</v>
      </c>
      <c r="V60">
        <v>18</v>
      </c>
    </row>
    <row r="61" spans="1:28">
      <c r="A61" s="278">
        <v>26384</v>
      </c>
      <c r="B61" s="278" t="s">
        <v>93</v>
      </c>
      <c r="C61" s="279">
        <v>12</v>
      </c>
      <c r="D61" s="278">
        <v>58</v>
      </c>
      <c r="E61" s="278" t="s">
        <v>3572</v>
      </c>
      <c r="F61" s="278">
        <v>228.3</v>
      </c>
      <c r="G61" s="279">
        <v>2.0287000000000002</v>
      </c>
      <c r="H61" s="44">
        <f t="shared" si="0"/>
        <v>2028.7000000000003</v>
      </c>
      <c r="J61">
        <f t="shared" si="22"/>
        <v>227.95000000000002</v>
      </c>
      <c r="K61">
        <f t="shared" si="1"/>
        <v>2.2795000000000001</v>
      </c>
      <c r="L61">
        <f t="shared" si="2"/>
        <v>2.8493750000000002</v>
      </c>
      <c r="M61">
        <f t="shared" si="3"/>
        <v>80.038943750000001</v>
      </c>
      <c r="N61">
        <f t="shared" si="23"/>
        <v>171.21894375000002</v>
      </c>
      <c r="O61" s="521">
        <f t="shared" si="5"/>
        <v>3.9453316779218213</v>
      </c>
      <c r="P61" s="521">
        <f t="shared" si="6"/>
        <v>8.4398355473948836</v>
      </c>
      <c r="T61">
        <v>2022</v>
      </c>
      <c r="U61" t="s">
        <v>76</v>
      </c>
      <c r="V61">
        <v>19</v>
      </c>
    </row>
    <row r="62" spans="1:28">
      <c r="A62" s="278">
        <v>26385</v>
      </c>
      <c r="B62" s="278" t="s">
        <v>93</v>
      </c>
      <c r="C62" s="279">
        <v>13</v>
      </c>
      <c r="D62" s="278">
        <v>59</v>
      </c>
      <c r="E62" s="278" t="s">
        <v>3572</v>
      </c>
      <c r="F62" s="278">
        <v>531.29999999999995</v>
      </c>
      <c r="G62" s="279">
        <v>2.5139</v>
      </c>
      <c r="H62" s="44">
        <f t="shared" si="0"/>
        <v>2513.9</v>
      </c>
      <c r="J62">
        <f t="shared" si="22"/>
        <v>530.94999999999993</v>
      </c>
      <c r="K62">
        <f t="shared" si="1"/>
        <v>5.309499999999999</v>
      </c>
      <c r="L62">
        <f t="shared" si="2"/>
        <v>6.636874999999999</v>
      </c>
      <c r="M62">
        <f t="shared" si="3"/>
        <v>186.42981874999998</v>
      </c>
      <c r="N62">
        <f t="shared" si="23"/>
        <v>398.80981874999998</v>
      </c>
      <c r="O62" s="521">
        <f t="shared" si="5"/>
        <v>7.4159600123314364</v>
      </c>
      <c r="P62" s="521">
        <f t="shared" si="6"/>
        <v>15.864187865467997</v>
      </c>
      <c r="T62">
        <v>2022</v>
      </c>
      <c r="U62" t="s">
        <v>76</v>
      </c>
      <c r="V62">
        <v>20</v>
      </c>
      <c r="W62">
        <f t="shared" ref="W62:X64" si="24">O118</f>
        <v>8.4289366031335415</v>
      </c>
      <c r="X62">
        <f t="shared" si="24"/>
        <v>18.031142772598596</v>
      </c>
      <c r="Z62">
        <f>((O45-O118)/AVERAGE(O45,O118))*100</f>
        <v>-0.83030014666042495</v>
      </c>
    </row>
    <row r="63" spans="1:28" ht="15" thickBot="1">
      <c r="A63" s="278">
        <v>26386</v>
      </c>
      <c r="B63" s="278" t="s">
        <v>93</v>
      </c>
      <c r="C63" s="280">
        <v>14</v>
      </c>
      <c r="D63" s="278">
        <v>60</v>
      </c>
      <c r="E63" s="278" t="s">
        <v>3572</v>
      </c>
      <c r="F63" s="278">
        <v>759.9</v>
      </c>
      <c r="G63" s="280">
        <v>2.7995999999999999</v>
      </c>
      <c r="H63" s="44">
        <f t="shared" si="0"/>
        <v>2799.6</v>
      </c>
      <c r="J63">
        <f t="shared" si="22"/>
        <v>759.55</v>
      </c>
      <c r="K63">
        <f t="shared" si="1"/>
        <v>7.5954999999999995</v>
      </c>
      <c r="L63">
        <f t="shared" si="2"/>
        <v>9.4943749999999998</v>
      </c>
      <c r="M63">
        <f t="shared" si="3"/>
        <v>266.69699374999999</v>
      </c>
      <c r="N63">
        <f t="shared" si="23"/>
        <v>570.51699374999998</v>
      </c>
      <c r="O63" s="521">
        <f t="shared" si="5"/>
        <v>9.5262535272896134</v>
      </c>
      <c r="P63" s="521">
        <f t="shared" si="6"/>
        <v>20.378518136519503</v>
      </c>
      <c r="T63" s="195">
        <v>2022</v>
      </c>
      <c r="U63" s="195" t="s">
        <v>76</v>
      </c>
      <c r="V63" s="195">
        <v>21</v>
      </c>
      <c r="W63">
        <f t="shared" si="24"/>
        <v>6.8890644374282441</v>
      </c>
      <c r="X63">
        <f t="shared" si="24"/>
        <v>14.737055252583239</v>
      </c>
      <c r="Z63" s="28">
        <f>((O46-O119)/AVERAGE(O46,O119))*100</f>
        <v>7.0014316751182957</v>
      </c>
    </row>
    <row r="64" spans="1:28" s="287" customFormat="1" ht="15" thickTop="1">
      <c r="A64" s="284">
        <v>26387</v>
      </c>
      <c r="B64" s="284" t="s">
        <v>93</v>
      </c>
      <c r="C64" s="291" t="s">
        <v>3586</v>
      </c>
      <c r="D64" s="284">
        <v>61</v>
      </c>
      <c r="E64" s="284" t="s">
        <v>3572</v>
      </c>
      <c r="F64" s="284">
        <v>594.79999999999995</v>
      </c>
      <c r="G64" s="291">
        <v>2.2107999999999999</v>
      </c>
      <c r="H64" s="286">
        <f t="shared" si="0"/>
        <v>2210.7999999999997</v>
      </c>
      <c r="J64" s="287">
        <f t="shared" si="22"/>
        <v>594.44999999999993</v>
      </c>
      <c r="K64" s="287">
        <f t="shared" si="1"/>
        <v>5.9444999999999997</v>
      </c>
      <c r="L64" s="287">
        <f t="shared" si="2"/>
        <v>7.4306249999999991</v>
      </c>
      <c r="M64" s="287">
        <f t="shared" si="3"/>
        <v>208.72625624999998</v>
      </c>
      <c r="N64">
        <f t="shared" si="23"/>
        <v>446.50625624999998</v>
      </c>
      <c r="O64" s="287">
        <f t="shared" si="5"/>
        <v>9.4412093472950964</v>
      </c>
      <c r="P64" s="287">
        <f t="shared" si="6"/>
        <v>20.196592014203006</v>
      </c>
      <c r="Q64" s="287">
        <f>((O64-O65)/AVERAGE(O64:O65))*100</f>
        <v>8.2352471755210183E-2</v>
      </c>
      <c r="T64">
        <v>2022</v>
      </c>
      <c r="U64" t="s">
        <v>93</v>
      </c>
      <c r="V64">
        <v>1</v>
      </c>
      <c r="W64">
        <f t="shared" si="24"/>
        <v>2.9817780428992289</v>
      </c>
      <c r="X64">
        <f t="shared" si="24"/>
        <v>6.3786060020581932</v>
      </c>
      <c r="Z64">
        <f>((O47-O120)/AVERAGE(O47,O120))*100</f>
        <v>0.73198317304837202</v>
      </c>
    </row>
    <row r="65" spans="1:28" s="287" customFormat="1">
      <c r="A65" s="284">
        <v>26388</v>
      </c>
      <c r="B65" s="284" t="s">
        <v>93</v>
      </c>
      <c r="C65" s="288" t="s">
        <v>3587</v>
      </c>
      <c r="D65" s="284">
        <v>62</v>
      </c>
      <c r="E65" s="284" t="s">
        <v>3572</v>
      </c>
      <c r="F65" s="284">
        <v>770.5</v>
      </c>
      <c r="G65" s="285">
        <v>2.8666</v>
      </c>
      <c r="H65" s="286">
        <f t="shared" si="0"/>
        <v>2866.6</v>
      </c>
      <c r="J65" s="287">
        <f t="shared" si="22"/>
        <v>770.15</v>
      </c>
      <c r="K65" s="287">
        <f t="shared" si="1"/>
        <v>7.7015000000000002</v>
      </c>
      <c r="L65" s="287">
        <f t="shared" si="2"/>
        <v>9.6268750000000001</v>
      </c>
      <c r="M65" s="287">
        <f t="shared" si="3"/>
        <v>270.41891874999999</v>
      </c>
      <c r="N65">
        <f t="shared" si="23"/>
        <v>578.47891875000005</v>
      </c>
      <c r="O65" s="287">
        <f t="shared" si="5"/>
        <v>9.4334374781971668</v>
      </c>
      <c r="P65" s="287">
        <f t="shared" si="6"/>
        <v>20.179966467243425</v>
      </c>
      <c r="T65">
        <v>2022</v>
      </c>
      <c r="U65" t="s">
        <v>93</v>
      </c>
      <c r="V65">
        <v>2</v>
      </c>
      <c r="W65">
        <f t="shared" ref="W65:X68" si="25">O121</f>
        <v>3.1893919758275429</v>
      </c>
      <c r="X65">
        <f t="shared" si="25"/>
        <v>6.8227327813270584</v>
      </c>
      <c r="Z65">
        <f t="shared" ref="Z65:Z69" si="26">((O48-O121)/AVERAGE(O48,O121))*100</f>
        <v>0.82793815536506088</v>
      </c>
    </row>
    <row r="66" spans="1:28">
      <c r="A66" s="278">
        <v>26389</v>
      </c>
      <c r="B66" s="278" t="s">
        <v>93</v>
      </c>
      <c r="C66" s="279">
        <v>16</v>
      </c>
      <c r="D66" s="278">
        <v>63</v>
      </c>
      <c r="E66" s="278" t="s">
        <v>3572</v>
      </c>
      <c r="F66" s="278">
        <v>403.4</v>
      </c>
      <c r="G66" s="279">
        <v>2.1667999999999998</v>
      </c>
      <c r="H66" s="44">
        <f t="shared" si="0"/>
        <v>2166.7999999999997</v>
      </c>
      <c r="J66">
        <f t="shared" si="22"/>
        <v>403.04999999999995</v>
      </c>
      <c r="K66">
        <f t="shared" si="1"/>
        <v>4.0305</v>
      </c>
      <c r="L66">
        <f t="shared" si="2"/>
        <v>5.038125</v>
      </c>
      <c r="M66">
        <f t="shared" si="3"/>
        <v>141.52093124999999</v>
      </c>
      <c r="N66">
        <f t="shared" si="23"/>
        <v>302.74093125000002</v>
      </c>
      <c r="O66" s="521">
        <f t="shared" si="5"/>
        <v>6.5313333602547541</v>
      </c>
      <c r="P66" s="521">
        <f t="shared" si="6"/>
        <v>13.971798562396161</v>
      </c>
      <c r="T66">
        <v>2022</v>
      </c>
      <c r="U66" t="s">
        <v>93</v>
      </c>
      <c r="V66">
        <v>3</v>
      </c>
      <c r="W66">
        <f t="shared" si="25"/>
        <v>2.8857565008631845</v>
      </c>
      <c r="X66">
        <f t="shared" si="25"/>
        <v>6.1731971568838997</v>
      </c>
      <c r="Z66">
        <f t="shared" si="26"/>
        <v>1.9685835910186074</v>
      </c>
    </row>
    <row r="67" spans="1:28">
      <c r="A67" s="278">
        <v>26390</v>
      </c>
      <c r="B67" s="278" t="s">
        <v>93</v>
      </c>
      <c r="C67" s="279">
        <v>17</v>
      </c>
      <c r="D67" s="278">
        <v>64</v>
      </c>
      <c r="E67" s="278" t="s">
        <v>3572</v>
      </c>
      <c r="F67" s="278">
        <v>319.7</v>
      </c>
      <c r="G67" s="279">
        <v>2.6867000000000001</v>
      </c>
      <c r="H67" s="44">
        <f t="shared" si="0"/>
        <v>2686.7000000000003</v>
      </c>
      <c r="J67">
        <f t="shared" si="22"/>
        <v>319.34999999999997</v>
      </c>
      <c r="K67">
        <f t="shared" si="1"/>
        <v>3.1934999999999998</v>
      </c>
      <c r="L67">
        <f t="shared" si="2"/>
        <v>3.9918749999999998</v>
      </c>
      <c r="M67">
        <f t="shared" si="3"/>
        <v>112.13176874999999</v>
      </c>
      <c r="N67">
        <f t="shared" si="23"/>
        <v>239.87176875</v>
      </c>
      <c r="O67" s="521">
        <f t="shared" si="5"/>
        <v>4.1735872538802239</v>
      </c>
      <c r="P67" s="521">
        <f t="shared" si="6"/>
        <v>8.9281188353742511</v>
      </c>
      <c r="T67">
        <v>2022</v>
      </c>
      <c r="U67" t="s">
        <v>93</v>
      </c>
      <c r="V67">
        <v>4</v>
      </c>
      <c r="W67">
        <f t="shared" si="25"/>
        <v>3.1093136535900041</v>
      </c>
      <c r="X67">
        <f t="shared" si="25"/>
        <v>6.6514295992959536</v>
      </c>
      <c r="Z67">
        <f t="shared" si="26"/>
        <v>2.7084077235357462</v>
      </c>
    </row>
    <row r="68" spans="1:28">
      <c r="A68" s="278">
        <v>26391</v>
      </c>
      <c r="B68" s="278" t="s">
        <v>93</v>
      </c>
      <c r="C68" s="279">
        <v>18</v>
      </c>
      <c r="D68" s="278">
        <v>65</v>
      </c>
      <c r="E68" s="278" t="s">
        <v>3572</v>
      </c>
      <c r="F68" s="278">
        <v>313.10000000000002</v>
      </c>
      <c r="G68" s="279">
        <v>2.3020999999999998</v>
      </c>
      <c r="H68" s="44">
        <f t="shared" si="0"/>
        <v>2302.1</v>
      </c>
      <c r="J68">
        <f t="shared" si="22"/>
        <v>312.75</v>
      </c>
      <c r="K68">
        <f t="shared" si="1"/>
        <v>3.1274999999999995</v>
      </c>
      <c r="L68">
        <f t="shared" si="2"/>
        <v>3.9093749999999994</v>
      </c>
      <c r="M68">
        <f t="shared" si="3"/>
        <v>109.81434374999998</v>
      </c>
      <c r="N68">
        <f t="shared" si="23"/>
        <v>234.91434374999997</v>
      </c>
      <c r="O68" s="521">
        <f t="shared" si="5"/>
        <v>4.7701813018548274</v>
      </c>
      <c r="P68" s="521">
        <f t="shared" si="6"/>
        <v>10.204350104252638</v>
      </c>
      <c r="T68">
        <v>2022</v>
      </c>
      <c r="U68" t="s">
        <v>93</v>
      </c>
      <c r="V68">
        <v>5</v>
      </c>
      <c r="W68">
        <f t="shared" si="25"/>
        <v>3.5649032282377582</v>
      </c>
      <c r="X68">
        <f t="shared" si="25"/>
        <v>7.6260247413601601</v>
      </c>
      <c r="Z68">
        <f t="shared" si="26"/>
        <v>0.31124130576031628</v>
      </c>
    </row>
    <row r="69" spans="1:28">
      <c r="A69" s="278">
        <v>26392</v>
      </c>
      <c r="B69" s="278" t="s">
        <v>93</v>
      </c>
      <c r="C69" s="279">
        <v>19</v>
      </c>
      <c r="D69" s="278">
        <v>66</v>
      </c>
      <c r="E69" s="278" t="s">
        <v>3572</v>
      </c>
      <c r="F69" s="278">
        <v>315.3</v>
      </c>
      <c r="G69" s="279">
        <v>2.1442000000000001</v>
      </c>
      <c r="H69" s="44">
        <f t="shared" ref="H69:H74" si="27">G69*1000</f>
        <v>2144.2000000000003</v>
      </c>
      <c r="J69">
        <f t="shared" si="22"/>
        <v>314.95</v>
      </c>
      <c r="K69">
        <f t="shared" ref="K69:K132" si="28">(J69/1000)*10</f>
        <v>3.1495000000000002</v>
      </c>
      <c r="L69">
        <f t="shared" ref="L69:L132" si="29">K69*(5/4)</f>
        <v>3.9368750000000001</v>
      </c>
      <c r="M69">
        <f t="shared" ref="M69:M74" si="30">L69*28.09</f>
        <v>110.58681875000001</v>
      </c>
      <c r="N69">
        <f t="shared" si="23"/>
        <v>236.56681875000001</v>
      </c>
      <c r="O69" s="521">
        <f t="shared" ref="O69:O74" si="31">(M69/H69)*100</f>
        <v>5.1574861836582411</v>
      </c>
      <c r="P69" s="521">
        <f t="shared" ref="P69:P74" si="32">(N69/H69)*100</f>
        <v>11.032870942542672</v>
      </c>
      <c r="T69">
        <v>2022</v>
      </c>
      <c r="U69" t="s">
        <v>93</v>
      </c>
      <c r="V69">
        <v>6</v>
      </c>
      <c r="W69">
        <f>AVERAGE(O125:O126)</f>
        <v>4.8161621418845755</v>
      </c>
      <c r="X69">
        <f>AVERAGE(P125:P126)</f>
        <v>10.302712107719621</v>
      </c>
      <c r="Z69">
        <f t="shared" si="26"/>
        <v>-0.85668629741418156</v>
      </c>
      <c r="AA69">
        <f>((O53-O126)/AVERAGE(O53,O126))*100</f>
        <v>-0.79785620210156749</v>
      </c>
      <c r="AB69" s="38" t="s">
        <v>3580</v>
      </c>
    </row>
    <row r="70" spans="1:28">
      <c r="A70" s="278">
        <v>26393</v>
      </c>
      <c r="B70" s="278" t="s">
        <v>93</v>
      </c>
      <c r="C70" s="279">
        <v>20</v>
      </c>
      <c r="D70" s="278">
        <v>67</v>
      </c>
      <c r="E70" s="278" t="s">
        <v>3572</v>
      </c>
      <c r="F70" s="278">
        <v>369.4</v>
      </c>
      <c r="G70" s="279">
        <v>2.6791999999999998</v>
      </c>
      <c r="H70" s="44">
        <f t="shared" si="27"/>
        <v>2679.2</v>
      </c>
      <c r="J70">
        <f t="shared" si="22"/>
        <v>369.04999999999995</v>
      </c>
      <c r="K70">
        <f t="shared" si="28"/>
        <v>3.6904999999999992</v>
      </c>
      <c r="L70">
        <f t="shared" si="29"/>
        <v>4.6131249999999993</v>
      </c>
      <c r="M70">
        <f t="shared" si="30"/>
        <v>129.58268124999998</v>
      </c>
      <c r="N70">
        <f t="shared" si="23"/>
        <v>277.20268124999996</v>
      </c>
      <c r="O70" s="521">
        <f t="shared" si="31"/>
        <v>4.8366184402060313</v>
      </c>
      <c r="P70" s="521">
        <f t="shared" si="32"/>
        <v>10.346472127873991</v>
      </c>
      <c r="T70">
        <v>2022</v>
      </c>
      <c r="U70" t="s">
        <v>93</v>
      </c>
      <c r="V70">
        <v>7</v>
      </c>
      <c r="W70">
        <f>O129</f>
        <v>4.8313627272540316</v>
      </c>
      <c r="X70">
        <f>P129</f>
        <v>10.335229130676211</v>
      </c>
      <c r="Z70">
        <f>((O56-O129)/AVERAGE(O56,O129))*100</f>
        <v>0.24694327357268545</v>
      </c>
    </row>
    <row r="71" spans="1:28">
      <c r="A71" s="278">
        <v>26394</v>
      </c>
      <c r="B71" s="278" t="s">
        <v>93</v>
      </c>
      <c r="C71" s="279">
        <v>21</v>
      </c>
      <c r="D71" s="278">
        <v>68</v>
      </c>
      <c r="E71" s="278" t="s">
        <v>3572</v>
      </c>
      <c r="F71" s="278">
        <v>307.89999999999998</v>
      </c>
      <c r="G71" s="279">
        <v>2.5712999999999999</v>
      </c>
      <c r="H71" s="44">
        <f t="shared" si="27"/>
        <v>2571.2999999999997</v>
      </c>
      <c r="J71">
        <f t="shared" si="22"/>
        <v>307.54999999999995</v>
      </c>
      <c r="K71">
        <f t="shared" si="28"/>
        <v>3.0754999999999995</v>
      </c>
      <c r="L71">
        <f t="shared" si="29"/>
        <v>3.8443749999999994</v>
      </c>
      <c r="M71">
        <f t="shared" si="30"/>
        <v>107.98849374999999</v>
      </c>
      <c r="N71">
        <f t="shared" si="23"/>
        <v>231.00849374999999</v>
      </c>
      <c r="O71" s="521">
        <f t="shared" si="31"/>
        <v>4.1997625228483644</v>
      </c>
      <c r="P71" s="521">
        <f t="shared" si="32"/>
        <v>8.9841128514759081</v>
      </c>
      <c r="T71">
        <v>2022</v>
      </c>
      <c r="U71" t="s">
        <v>93</v>
      </c>
      <c r="V71">
        <v>8</v>
      </c>
      <c r="W71">
        <f t="shared" ref="W71:X77" si="33">O130</f>
        <v>4.9919887118528061</v>
      </c>
      <c r="X71">
        <f t="shared" si="33"/>
        <v>10.678839504992348</v>
      </c>
      <c r="Z71">
        <f>((O57-O130)/AVERAGE(O57,O130))*100</f>
        <v>-0.37379136384357892</v>
      </c>
    </row>
    <row r="72" spans="1:28">
      <c r="A72" s="278">
        <v>26395</v>
      </c>
      <c r="B72" s="278" t="s">
        <v>61</v>
      </c>
      <c r="C72" s="279"/>
      <c r="D72" s="278">
        <v>69</v>
      </c>
      <c r="E72" s="278" t="s">
        <v>3572</v>
      </c>
      <c r="F72" s="278">
        <v>0.2</v>
      </c>
      <c r="G72" s="279"/>
      <c r="H72" s="44"/>
      <c r="O72" s="521"/>
      <c r="P72" s="521"/>
      <c r="T72">
        <v>2022</v>
      </c>
      <c r="U72" t="s">
        <v>93</v>
      </c>
      <c r="V72">
        <v>9</v>
      </c>
      <c r="W72">
        <f t="shared" si="33"/>
        <v>5.1377537829064073</v>
      </c>
      <c r="X72">
        <f t="shared" si="33"/>
        <v>10.990659480770596</v>
      </c>
      <c r="Z72">
        <f t="shared" ref="Z72:Z78" si="34">((O58-O131)/AVERAGE(O58,O131))*100</f>
        <v>-0.69653335876399169</v>
      </c>
    </row>
    <row r="73" spans="1:28" s="277" customFormat="1">
      <c r="A73" s="308">
        <v>26396</v>
      </c>
      <c r="B73" s="308" t="s">
        <v>3307</v>
      </c>
      <c r="C73" s="310" t="s">
        <v>3588</v>
      </c>
      <c r="D73" s="308">
        <v>70</v>
      </c>
      <c r="E73" s="308" t="s">
        <v>3572</v>
      </c>
      <c r="F73" s="308">
        <v>302.89999999999998</v>
      </c>
      <c r="G73" s="310">
        <v>2.5703999999999998</v>
      </c>
      <c r="H73" s="30">
        <f t="shared" si="27"/>
        <v>2570.3999999999996</v>
      </c>
      <c r="J73" s="277">
        <f>F73-$J$1</f>
        <v>302.54999999999995</v>
      </c>
      <c r="K73" s="277">
        <f t="shared" si="28"/>
        <v>3.0254999999999992</v>
      </c>
      <c r="L73" s="277">
        <f t="shared" si="29"/>
        <v>3.781874999999999</v>
      </c>
      <c r="M73" s="277">
        <f t="shared" si="30"/>
        <v>106.23286874999997</v>
      </c>
      <c r="N73" s="277">
        <f>L73*(28.09+2*16)</f>
        <v>227.25286874999995</v>
      </c>
      <c r="O73" s="277">
        <f t="shared" si="31"/>
        <v>4.1329314017273573</v>
      </c>
      <c r="P73" s="277">
        <f t="shared" si="32"/>
        <v>8.8411480217086815</v>
      </c>
      <c r="R73" s="277">
        <f>((O73-AVERAGE(O15,O44,O55,O73,O74))/AVERAGE(O15,O44,O55,O73,O74)) *100</f>
        <v>-0.71309784402211895</v>
      </c>
      <c r="T73">
        <v>2022</v>
      </c>
      <c r="U73" t="s">
        <v>93</v>
      </c>
      <c r="V73">
        <v>10</v>
      </c>
      <c r="W73">
        <f t="shared" si="33"/>
        <v>4.5738479734292179</v>
      </c>
      <c r="X73">
        <f t="shared" si="33"/>
        <v>9.784354742732706</v>
      </c>
      <c r="Z73">
        <f t="shared" si="34"/>
        <v>-0.11462509935756945</v>
      </c>
    </row>
    <row r="74" spans="1:28" s="277" customFormat="1">
      <c r="A74" s="308">
        <v>26397</v>
      </c>
      <c r="B74" s="308" t="s">
        <v>3307</v>
      </c>
      <c r="C74" s="310" t="s">
        <v>3589</v>
      </c>
      <c r="D74" s="308">
        <v>71</v>
      </c>
      <c r="E74" s="308" t="s">
        <v>3572</v>
      </c>
      <c r="F74" s="308">
        <v>346.9</v>
      </c>
      <c r="G74" s="310">
        <v>2.9752000000000001</v>
      </c>
      <c r="H74" s="30">
        <f t="shared" si="27"/>
        <v>2975.2000000000003</v>
      </c>
      <c r="J74" s="277">
        <f>F74-$J$1</f>
        <v>346.54999999999995</v>
      </c>
      <c r="K74" s="277">
        <f t="shared" si="28"/>
        <v>3.4654999999999996</v>
      </c>
      <c r="L74" s="277">
        <f t="shared" si="29"/>
        <v>4.3318749999999993</v>
      </c>
      <c r="M74" s="277">
        <f t="shared" si="30"/>
        <v>121.68236874999998</v>
      </c>
      <c r="N74" s="277">
        <f>L74*(28.09+2*16)</f>
        <v>260.30236874999997</v>
      </c>
      <c r="O74" s="277">
        <f t="shared" si="31"/>
        <v>4.0898887049610106</v>
      </c>
      <c r="P74" s="277">
        <f t="shared" si="32"/>
        <v>8.7490712809222888</v>
      </c>
      <c r="R74" s="277">
        <f>((O74-AVERAGE(O15,O44,O55,O73,O74))/AVERAGE(O15,O44,O55,O73,O74)) *100</f>
        <v>-1.7471280775226181</v>
      </c>
      <c r="T74">
        <v>2022</v>
      </c>
      <c r="U74" t="s">
        <v>93</v>
      </c>
      <c r="V74">
        <v>11</v>
      </c>
      <c r="W74">
        <f t="shared" si="33"/>
        <v>4.3048398969958983</v>
      </c>
      <c r="X74">
        <f t="shared" si="33"/>
        <v>9.208893891437647</v>
      </c>
      <c r="Z74">
        <f t="shared" si="34"/>
        <v>-0.92631482982639712</v>
      </c>
    </row>
    <row r="75" spans="1:28">
      <c r="O75"/>
      <c r="P75"/>
      <c r="T75">
        <v>2022</v>
      </c>
      <c r="U75" t="s">
        <v>93</v>
      </c>
      <c r="V75">
        <v>12</v>
      </c>
      <c r="W75">
        <f t="shared" si="33"/>
        <v>3.847949771234386</v>
      </c>
      <c r="X75">
        <f t="shared" si="33"/>
        <v>8.2315166163572187</v>
      </c>
      <c r="Z75">
        <f t="shared" si="34"/>
        <v>2.4991245939918931</v>
      </c>
    </row>
    <row r="76" spans="1:28">
      <c r="O76"/>
      <c r="P76"/>
      <c r="T76">
        <v>2022</v>
      </c>
      <c r="U76" t="s">
        <v>93</v>
      </c>
      <c r="V76">
        <v>13</v>
      </c>
      <c r="W76">
        <f t="shared" si="33"/>
        <v>7.3716944065287597</v>
      </c>
      <c r="X76">
        <f t="shared" si="33"/>
        <v>15.769495083243617</v>
      </c>
      <c r="Z76">
        <f t="shared" si="34"/>
        <v>0.59868326035831987</v>
      </c>
    </row>
    <row r="77" spans="1:28">
      <c r="A77" t="s">
        <v>3590</v>
      </c>
      <c r="I77" s="38" t="s">
        <v>3591</v>
      </c>
      <c r="J77" s="38">
        <f>AVERAGE(F88,F116,F127,F145)</f>
        <v>1.7750000000000001</v>
      </c>
      <c r="O77"/>
      <c r="P77"/>
      <c r="T77">
        <v>2022</v>
      </c>
      <c r="U77" t="s">
        <v>93</v>
      </c>
      <c r="V77">
        <v>14</v>
      </c>
      <c r="W77">
        <f t="shared" si="33"/>
        <v>9.5316443569085969</v>
      </c>
      <c r="X77">
        <f t="shared" si="33"/>
        <v>20.390050174675601</v>
      </c>
      <c r="Z77">
        <f t="shared" si="34"/>
        <v>-5.6573181908517879E-2</v>
      </c>
    </row>
    <row r="78" spans="1:28">
      <c r="A78">
        <v>27272</v>
      </c>
      <c r="B78" t="s">
        <v>46</v>
      </c>
      <c r="C78" s="279">
        <v>1</v>
      </c>
      <c r="D78">
        <v>1</v>
      </c>
      <c r="E78" t="s">
        <v>3572</v>
      </c>
      <c r="F78">
        <v>171.1</v>
      </c>
      <c r="H78" s="279">
        <v>3206.2</v>
      </c>
      <c r="J78">
        <f>F78-$J$77</f>
        <v>169.32499999999999</v>
      </c>
      <c r="K78">
        <f t="shared" si="28"/>
        <v>1.6932499999999997</v>
      </c>
      <c r="L78">
        <f t="shared" si="29"/>
        <v>2.1165624999999997</v>
      </c>
      <c r="M78">
        <f t="shared" ref="M78:M138" si="35">L78*28.09</f>
        <v>59.45424062499999</v>
      </c>
      <c r="N78">
        <f t="shared" ref="N78:N138" si="36">L78*(28.09+2*16)</f>
        <v>127.18424062499999</v>
      </c>
      <c r="O78" s="521">
        <f t="shared" ref="O78:O138" si="37">(M78/H78)*100</f>
        <v>1.8543522121202669</v>
      </c>
      <c r="P78" s="521">
        <f t="shared" ref="P78:P138" si="38">(N78/H78)*100</f>
        <v>3.9668218022893145</v>
      </c>
      <c r="T78">
        <v>2022</v>
      </c>
      <c r="U78" t="s">
        <v>93</v>
      </c>
      <c r="V78">
        <v>15</v>
      </c>
      <c r="W78">
        <f>AVERAGE(O137:O138)</f>
        <v>9.4117479666618653</v>
      </c>
      <c r="X78">
        <f>AVERAGE(P137:P138)</f>
        <v>20.133568363001476</v>
      </c>
      <c r="Z78">
        <f t="shared" si="34"/>
        <v>0.51299667030009799</v>
      </c>
      <c r="AA78">
        <f>((O65-O138)/AVERAGE(O65,O138))*100</f>
        <v>3.0128390679640127E-2</v>
      </c>
      <c r="AB78" s="38" t="s">
        <v>3580</v>
      </c>
    </row>
    <row r="79" spans="1:28">
      <c r="A79">
        <v>27273</v>
      </c>
      <c r="B79" t="s">
        <v>46</v>
      </c>
      <c r="C79" s="279">
        <v>2</v>
      </c>
      <c r="D79">
        <v>2</v>
      </c>
      <c r="E79" t="s">
        <v>3572</v>
      </c>
      <c r="F79">
        <v>118.3</v>
      </c>
      <c r="H79" s="279">
        <v>2283.8000000000002</v>
      </c>
      <c r="J79">
        <f t="shared" ref="J79:J142" si="39">F79-$J$77</f>
        <v>116.52499999999999</v>
      </c>
      <c r="K79">
        <f t="shared" si="28"/>
        <v>1.1652499999999999</v>
      </c>
      <c r="L79">
        <f t="shared" si="29"/>
        <v>1.4565625</v>
      </c>
      <c r="M79">
        <f t="shared" si="35"/>
        <v>40.914840624999997</v>
      </c>
      <c r="N79">
        <f t="shared" si="36"/>
        <v>87.52484062500001</v>
      </c>
      <c r="O79" s="521">
        <f t="shared" si="37"/>
        <v>1.7915246792626323</v>
      </c>
      <c r="P79" s="521">
        <f t="shared" si="38"/>
        <v>3.8324214302916193</v>
      </c>
      <c r="T79">
        <v>2022</v>
      </c>
      <c r="U79" t="s">
        <v>93</v>
      </c>
      <c r="V79">
        <v>16</v>
      </c>
      <c r="W79">
        <f>O139</f>
        <v>6.4618643680017236</v>
      </c>
      <c r="X79">
        <f>P139</f>
        <v>13.823190810723517</v>
      </c>
      <c r="Z79">
        <f>((O66-O139)/AVERAGE(O66,O139))*100</f>
        <v>1.0693132469146585</v>
      </c>
    </row>
    <row r="80" spans="1:28" s="287" customFormat="1">
      <c r="A80" s="287">
        <v>27274</v>
      </c>
      <c r="B80" s="287" t="s">
        <v>46</v>
      </c>
      <c r="C80" s="285" t="s">
        <v>3573</v>
      </c>
      <c r="D80" s="287">
        <v>3</v>
      </c>
      <c r="E80" s="287" t="s">
        <v>3572</v>
      </c>
      <c r="F80" s="287">
        <v>189.5</v>
      </c>
      <c r="H80" s="285">
        <v>2105</v>
      </c>
      <c r="J80" s="287">
        <f t="shared" si="39"/>
        <v>187.72499999999999</v>
      </c>
      <c r="K80" s="287">
        <f t="shared" si="28"/>
        <v>1.8772500000000001</v>
      </c>
      <c r="L80" s="287">
        <f t="shared" si="29"/>
        <v>2.3465625000000001</v>
      </c>
      <c r="M80" s="287">
        <f t="shared" si="35"/>
        <v>65.914940625</v>
      </c>
      <c r="N80" s="287">
        <f t="shared" si="36"/>
        <v>141.00494062500002</v>
      </c>
      <c r="O80" s="287">
        <f t="shared" si="37"/>
        <v>3.1313510985748221</v>
      </c>
      <c r="P80" s="287">
        <f t="shared" si="38"/>
        <v>6.6985720011876495</v>
      </c>
      <c r="Q80" s="287">
        <f>((O80-O81)/AVERAGE(O80:O81))*100</f>
        <v>1.9066559751068586E-2</v>
      </c>
      <c r="T80">
        <v>2022</v>
      </c>
      <c r="U80" t="s">
        <v>93</v>
      </c>
      <c r="V80">
        <v>17</v>
      </c>
      <c r="W80">
        <f t="shared" ref="W80:X84" si="40">O140</f>
        <v>4.1185132049686688</v>
      </c>
      <c r="X80">
        <f t="shared" si="40"/>
        <v>8.8103046809030729</v>
      </c>
      <c r="Z80">
        <f t="shared" ref="Z80:Z84" si="41">((O67-O140)/AVERAGE(O67,O140))*100</f>
        <v>1.3283497754247049</v>
      </c>
    </row>
    <row r="81" spans="1:26" s="287" customFormat="1">
      <c r="A81" s="287">
        <v>27275</v>
      </c>
      <c r="B81" s="287" t="s">
        <v>46</v>
      </c>
      <c r="C81" s="353" t="s">
        <v>3574</v>
      </c>
      <c r="D81" s="287">
        <v>4</v>
      </c>
      <c r="E81" s="287" t="s">
        <v>3572</v>
      </c>
      <c r="F81" s="287">
        <v>228.5</v>
      </c>
      <c r="H81" s="285">
        <v>2542.8000000000002</v>
      </c>
      <c r="J81" s="287">
        <f t="shared" si="39"/>
        <v>226.72499999999999</v>
      </c>
      <c r="K81" s="287">
        <f t="shared" si="28"/>
        <v>2.2672499999999998</v>
      </c>
      <c r="L81" s="287">
        <f t="shared" si="29"/>
        <v>2.8340624999999999</v>
      </c>
      <c r="M81" s="287">
        <f t="shared" si="35"/>
        <v>79.608815624999991</v>
      </c>
      <c r="N81" s="287">
        <f t="shared" si="36"/>
        <v>170.298815625</v>
      </c>
      <c r="O81" s="287">
        <f t="shared" si="37"/>
        <v>3.1307541145587536</v>
      </c>
      <c r="P81" s="287">
        <f t="shared" si="38"/>
        <v>6.6972949357008025</v>
      </c>
      <c r="T81">
        <v>2022</v>
      </c>
      <c r="U81" t="s">
        <v>93</v>
      </c>
      <c r="V81">
        <v>18</v>
      </c>
      <c r="W81">
        <f t="shared" si="40"/>
        <v>5.387426142924153</v>
      </c>
      <c r="X81">
        <f t="shared" si="40"/>
        <v>11.524757455618101</v>
      </c>
      <c r="Z81" s="28">
        <f t="shared" si="41"/>
        <v>-12.153350962319184</v>
      </c>
    </row>
    <row r="82" spans="1:26">
      <c r="A82">
        <v>27276</v>
      </c>
      <c r="B82" t="s">
        <v>46</v>
      </c>
      <c r="C82" s="279">
        <v>4</v>
      </c>
      <c r="D82">
        <v>5</v>
      </c>
      <c r="E82" t="s">
        <v>3572</v>
      </c>
      <c r="F82">
        <v>121.3</v>
      </c>
      <c r="H82" s="279">
        <v>2170</v>
      </c>
      <c r="J82">
        <f t="shared" si="39"/>
        <v>119.52499999999999</v>
      </c>
      <c r="K82">
        <f t="shared" si="28"/>
        <v>1.1952499999999999</v>
      </c>
      <c r="L82">
        <f t="shared" si="29"/>
        <v>1.4940624999999998</v>
      </c>
      <c r="M82">
        <f t="shared" si="35"/>
        <v>41.968215624999992</v>
      </c>
      <c r="N82">
        <f t="shared" si="36"/>
        <v>89.778215625000001</v>
      </c>
      <c r="O82" s="521">
        <f t="shared" si="37"/>
        <v>1.934019153225806</v>
      </c>
      <c r="P82" s="521">
        <f t="shared" si="38"/>
        <v>4.1372449596774192</v>
      </c>
      <c r="T82">
        <v>2022</v>
      </c>
      <c r="U82" t="s">
        <v>93</v>
      </c>
      <c r="V82">
        <v>19</v>
      </c>
      <c r="W82">
        <f t="shared" si="40"/>
        <v>5.1655244267323752</v>
      </c>
      <c r="X82">
        <f t="shared" si="40"/>
        <v>11.05006631549834</v>
      </c>
      <c r="Z82">
        <f t="shared" si="41"/>
        <v>-0.15573447277179503</v>
      </c>
    </row>
    <row r="83" spans="1:26">
      <c r="A83">
        <v>27277</v>
      </c>
      <c r="B83" t="s">
        <v>46</v>
      </c>
      <c r="C83" s="279">
        <v>5</v>
      </c>
      <c r="D83">
        <v>6</v>
      </c>
      <c r="E83" t="s">
        <v>3572</v>
      </c>
      <c r="F83">
        <v>119.2</v>
      </c>
      <c r="H83" s="279">
        <v>2230.6999999999998</v>
      </c>
      <c r="J83">
        <f t="shared" si="39"/>
        <v>117.425</v>
      </c>
      <c r="K83">
        <f t="shared" si="28"/>
        <v>1.17425</v>
      </c>
      <c r="L83">
        <f t="shared" si="29"/>
        <v>1.4678125</v>
      </c>
      <c r="M83">
        <f t="shared" si="35"/>
        <v>41.230853124999996</v>
      </c>
      <c r="N83">
        <f t="shared" si="36"/>
        <v>88.200853125000009</v>
      </c>
      <c r="O83" s="521">
        <f t="shared" si="37"/>
        <v>1.8483369850271214</v>
      </c>
      <c r="P83" s="521">
        <f t="shared" si="38"/>
        <v>3.9539540559017357</v>
      </c>
      <c r="T83">
        <v>2022</v>
      </c>
      <c r="U83" t="s">
        <v>93</v>
      </c>
      <c r="V83">
        <v>20</v>
      </c>
      <c r="W83">
        <f t="shared" si="40"/>
        <v>4.7855142405063296</v>
      </c>
      <c r="X83">
        <f t="shared" si="40"/>
        <v>10.237150256747078</v>
      </c>
      <c r="Z83">
        <f t="shared" si="41"/>
        <v>1.0622218877139464</v>
      </c>
    </row>
    <row r="84" spans="1:26">
      <c r="A84">
        <v>27278</v>
      </c>
      <c r="B84" t="s">
        <v>46</v>
      </c>
      <c r="C84" s="279">
        <v>6</v>
      </c>
      <c r="D84">
        <v>7</v>
      </c>
      <c r="E84" t="s">
        <v>3572</v>
      </c>
      <c r="F84">
        <v>185.6</v>
      </c>
      <c r="H84" s="279">
        <v>2098.5</v>
      </c>
      <c r="J84">
        <f t="shared" si="39"/>
        <v>183.82499999999999</v>
      </c>
      <c r="K84">
        <f t="shared" si="28"/>
        <v>1.8382499999999999</v>
      </c>
      <c r="L84">
        <f t="shared" si="29"/>
        <v>2.2978125</v>
      </c>
      <c r="M84">
        <f t="shared" si="35"/>
        <v>64.545553124999998</v>
      </c>
      <c r="N84">
        <f t="shared" si="36"/>
        <v>138.075553125</v>
      </c>
      <c r="O84" s="521">
        <f t="shared" si="37"/>
        <v>3.0757947641172265</v>
      </c>
      <c r="P84" s="521">
        <f t="shared" si="38"/>
        <v>6.5797261436740531</v>
      </c>
      <c r="T84">
        <v>2022</v>
      </c>
      <c r="U84" t="s">
        <v>93</v>
      </c>
      <c r="V84">
        <v>21</v>
      </c>
      <c r="W84">
        <f t="shared" si="40"/>
        <v>4.3909189112546629</v>
      </c>
      <c r="X84">
        <f t="shared" si="40"/>
        <v>9.3930337264967161</v>
      </c>
      <c r="Z84">
        <f t="shared" si="41"/>
        <v>-4.4503195671405464</v>
      </c>
    </row>
    <row r="85" spans="1:26">
      <c r="A85">
        <v>27279</v>
      </c>
      <c r="B85" t="s">
        <v>46</v>
      </c>
      <c r="C85" s="279">
        <v>7</v>
      </c>
      <c r="D85">
        <v>8</v>
      </c>
      <c r="E85" t="s">
        <v>3572</v>
      </c>
      <c r="F85">
        <v>427.8</v>
      </c>
      <c r="H85" s="279">
        <v>2796.7</v>
      </c>
      <c r="J85">
        <f t="shared" si="39"/>
        <v>426.02500000000003</v>
      </c>
      <c r="K85">
        <f t="shared" si="28"/>
        <v>4.2602500000000001</v>
      </c>
      <c r="L85">
        <f t="shared" si="29"/>
        <v>5.3253124999999999</v>
      </c>
      <c r="M85">
        <f t="shared" si="35"/>
        <v>149.58802812499999</v>
      </c>
      <c r="N85">
        <f t="shared" si="36"/>
        <v>319.99802812500002</v>
      </c>
      <c r="O85" s="521">
        <f t="shared" si="37"/>
        <v>5.3487334403046445</v>
      </c>
      <c r="P85" s="521">
        <f t="shared" si="38"/>
        <v>11.44198620248865</v>
      </c>
    </row>
    <row r="86" spans="1:26">
      <c r="A86">
        <v>27280</v>
      </c>
      <c r="B86" t="s">
        <v>46</v>
      </c>
      <c r="C86" s="279">
        <v>8</v>
      </c>
      <c r="D86">
        <v>9</v>
      </c>
      <c r="E86" t="s">
        <v>3572</v>
      </c>
      <c r="F86">
        <v>389.3</v>
      </c>
      <c r="H86" s="279">
        <v>2531.5</v>
      </c>
      <c r="J86">
        <f t="shared" si="39"/>
        <v>387.52500000000003</v>
      </c>
      <c r="K86">
        <f t="shared" si="28"/>
        <v>3.8752500000000003</v>
      </c>
      <c r="L86">
        <f t="shared" si="29"/>
        <v>4.8440625000000006</v>
      </c>
      <c r="M86">
        <f t="shared" si="35"/>
        <v>136.06971562500001</v>
      </c>
      <c r="N86">
        <f t="shared" si="36"/>
        <v>291.07971562500006</v>
      </c>
      <c r="O86" s="521">
        <f t="shared" si="37"/>
        <v>5.3750628333004151</v>
      </c>
      <c r="P86" s="521">
        <f t="shared" si="38"/>
        <v>11.498309920007904</v>
      </c>
    </row>
    <row r="87" spans="1:26">
      <c r="A87">
        <v>27281</v>
      </c>
      <c r="B87" t="s">
        <v>46</v>
      </c>
      <c r="C87" s="279">
        <v>9</v>
      </c>
      <c r="D87">
        <v>10</v>
      </c>
      <c r="E87" t="s">
        <v>3572</v>
      </c>
      <c r="F87">
        <v>319.7</v>
      </c>
      <c r="H87" s="279">
        <v>2156.4</v>
      </c>
      <c r="J87">
        <f t="shared" si="39"/>
        <v>317.92500000000001</v>
      </c>
      <c r="K87">
        <f t="shared" si="28"/>
        <v>3.1792500000000001</v>
      </c>
      <c r="L87">
        <f t="shared" si="29"/>
        <v>3.9740625000000001</v>
      </c>
      <c r="M87">
        <f t="shared" si="35"/>
        <v>111.631415625</v>
      </c>
      <c r="N87">
        <f t="shared" si="36"/>
        <v>238.801415625</v>
      </c>
      <c r="O87" s="521">
        <f t="shared" si="37"/>
        <v>5.1767490087646078</v>
      </c>
      <c r="P87" s="521">
        <f t="shared" si="38"/>
        <v>11.074077890233722</v>
      </c>
    </row>
    <row r="88" spans="1:26">
      <c r="A88">
        <v>27282</v>
      </c>
      <c r="B88" t="s">
        <v>3592</v>
      </c>
      <c r="C88" s="282"/>
      <c r="D88">
        <v>11</v>
      </c>
      <c r="E88" t="s">
        <v>3572</v>
      </c>
      <c r="F88">
        <v>1.9</v>
      </c>
      <c r="H88" s="279"/>
      <c r="O88" s="521"/>
      <c r="P88" s="521"/>
    </row>
    <row r="89" spans="1:26" s="277" customFormat="1" ht="15" thickBot="1">
      <c r="A89" s="277">
        <v>27283</v>
      </c>
      <c r="B89" s="277" t="s">
        <v>3307</v>
      </c>
      <c r="C89" s="309" t="s">
        <v>339</v>
      </c>
      <c r="D89" s="277">
        <v>12</v>
      </c>
      <c r="E89" s="277" t="s">
        <v>3572</v>
      </c>
      <c r="F89" s="277">
        <v>328.8</v>
      </c>
      <c r="H89" s="309">
        <v>2725.4</v>
      </c>
      <c r="J89" s="277">
        <f t="shared" si="39"/>
        <v>327.02500000000003</v>
      </c>
      <c r="K89" s="277">
        <f t="shared" si="28"/>
        <v>3.2702499999999999</v>
      </c>
      <c r="L89" s="277">
        <f t="shared" si="29"/>
        <v>4.0878125000000001</v>
      </c>
      <c r="M89" s="277">
        <f t="shared" si="35"/>
        <v>114.82665312500001</v>
      </c>
      <c r="N89" s="277">
        <f t="shared" si="36"/>
        <v>245.63665312500001</v>
      </c>
      <c r="O89" s="277">
        <f t="shared" si="37"/>
        <v>4.2132036811110298</v>
      </c>
      <c r="P89" s="277">
        <f t="shared" si="38"/>
        <v>9.012866115982975</v>
      </c>
      <c r="R89" s="277">
        <f>((O89-AVERAGE(O89,O117,O128,O146,O147))/AVERAGE(O89,O117,O128,O146,O147)*100)</f>
        <v>-0.49987077211644326</v>
      </c>
    </row>
    <row r="90" spans="1:26" ht="15" thickTop="1">
      <c r="A90">
        <v>27284</v>
      </c>
      <c r="B90" t="s">
        <v>46</v>
      </c>
      <c r="C90" s="281">
        <v>10</v>
      </c>
      <c r="D90">
        <v>13</v>
      </c>
      <c r="E90" t="s">
        <v>3572</v>
      </c>
      <c r="F90">
        <v>314.2</v>
      </c>
      <c r="H90" s="281">
        <v>2540.8000000000002</v>
      </c>
      <c r="J90">
        <f t="shared" si="39"/>
        <v>312.42500000000001</v>
      </c>
      <c r="K90">
        <f t="shared" si="28"/>
        <v>3.12425</v>
      </c>
      <c r="L90">
        <f t="shared" si="29"/>
        <v>3.9053125</v>
      </c>
      <c r="M90">
        <f t="shared" si="35"/>
        <v>109.700228125</v>
      </c>
      <c r="N90">
        <f t="shared" si="36"/>
        <v>234.67022812500002</v>
      </c>
      <c r="O90" s="521">
        <f t="shared" si="37"/>
        <v>4.3175467618466623</v>
      </c>
      <c r="P90" s="521">
        <f t="shared" si="38"/>
        <v>9.2360763588239934</v>
      </c>
    </row>
    <row r="91" spans="1:26" s="287" customFormat="1">
      <c r="A91" s="287">
        <v>27285</v>
      </c>
      <c r="B91" s="287" t="s">
        <v>46</v>
      </c>
      <c r="C91" s="285" t="s">
        <v>3575</v>
      </c>
      <c r="D91" s="287">
        <v>14</v>
      </c>
      <c r="E91" s="287" t="s">
        <v>3572</v>
      </c>
      <c r="F91" s="287">
        <v>299</v>
      </c>
      <c r="H91" s="285">
        <v>2440.8000000000002</v>
      </c>
      <c r="J91" s="287">
        <f t="shared" si="39"/>
        <v>297.22500000000002</v>
      </c>
      <c r="K91" s="287">
        <f t="shared" si="28"/>
        <v>2.9722500000000003</v>
      </c>
      <c r="L91" s="287">
        <f t="shared" si="29"/>
        <v>3.7153125000000005</v>
      </c>
      <c r="M91" s="287">
        <f t="shared" si="35"/>
        <v>104.36312812500002</v>
      </c>
      <c r="N91" s="287">
        <f t="shared" si="36"/>
        <v>223.25312812500005</v>
      </c>
      <c r="O91" s="287">
        <f t="shared" si="37"/>
        <v>4.2757754885693222</v>
      </c>
      <c r="P91" s="287">
        <f t="shared" si="38"/>
        <v>9.1467194413716832</v>
      </c>
      <c r="Q91" s="287">
        <f>((O91-O92)/AVERAGE(O91:O92))*100</f>
        <v>0.78163230495368019</v>
      </c>
    </row>
    <row r="92" spans="1:26" s="287" customFormat="1">
      <c r="A92" s="287">
        <v>27286</v>
      </c>
      <c r="B92" s="287" t="s">
        <v>46</v>
      </c>
      <c r="C92" s="353" t="s">
        <v>3576</v>
      </c>
      <c r="D92" s="287">
        <v>15</v>
      </c>
      <c r="E92" s="287" t="s">
        <v>3572</v>
      </c>
      <c r="F92" s="287">
        <v>373.7</v>
      </c>
      <c r="H92" s="285">
        <v>3078.2</v>
      </c>
      <c r="J92" s="287">
        <f t="shared" si="39"/>
        <v>371.92500000000001</v>
      </c>
      <c r="K92" s="287">
        <f t="shared" si="28"/>
        <v>3.7192500000000002</v>
      </c>
      <c r="L92" s="287">
        <f t="shared" si="29"/>
        <v>4.6490625000000003</v>
      </c>
      <c r="M92" s="287">
        <f t="shared" si="35"/>
        <v>130.59216562500001</v>
      </c>
      <c r="N92" s="287">
        <f t="shared" si="36"/>
        <v>279.36216562500005</v>
      </c>
      <c r="O92" s="287">
        <f t="shared" si="37"/>
        <v>4.2424847516405695</v>
      </c>
      <c r="P92" s="287">
        <f t="shared" si="38"/>
        <v>9.07550404863232</v>
      </c>
    </row>
    <row r="93" spans="1:26">
      <c r="A93">
        <v>27287</v>
      </c>
      <c r="B93" t="s">
        <v>46</v>
      </c>
      <c r="C93" s="279">
        <v>12</v>
      </c>
      <c r="D93">
        <v>16</v>
      </c>
      <c r="E93" t="s">
        <v>3572</v>
      </c>
      <c r="F93">
        <v>331.9</v>
      </c>
      <c r="H93" s="279">
        <v>2704</v>
      </c>
      <c r="J93">
        <f t="shared" si="39"/>
        <v>330.125</v>
      </c>
      <c r="K93">
        <f t="shared" si="28"/>
        <v>3.30125</v>
      </c>
      <c r="L93">
        <f t="shared" si="29"/>
        <v>4.1265625000000004</v>
      </c>
      <c r="M93">
        <f t="shared" si="35"/>
        <v>115.91514062500001</v>
      </c>
      <c r="N93">
        <f t="shared" si="36"/>
        <v>247.96514062500003</v>
      </c>
      <c r="O93" s="521">
        <f t="shared" si="37"/>
        <v>4.2868025379068051</v>
      </c>
      <c r="P93" s="521">
        <f t="shared" si="38"/>
        <v>9.1703084550665697</v>
      </c>
    </row>
    <row r="94" spans="1:26">
      <c r="A94">
        <v>27288</v>
      </c>
      <c r="B94" t="s">
        <v>46</v>
      </c>
      <c r="C94" s="279">
        <v>13</v>
      </c>
      <c r="D94">
        <v>17</v>
      </c>
      <c r="E94" t="s">
        <v>3572</v>
      </c>
      <c r="F94">
        <v>337.8</v>
      </c>
      <c r="H94" s="279">
        <v>2509.6</v>
      </c>
      <c r="J94">
        <f t="shared" si="39"/>
        <v>336.02500000000003</v>
      </c>
      <c r="K94">
        <f t="shared" si="28"/>
        <v>3.3602500000000002</v>
      </c>
      <c r="L94">
        <f t="shared" si="29"/>
        <v>4.2003124999999999</v>
      </c>
      <c r="M94">
        <f t="shared" si="35"/>
        <v>117.986778125</v>
      </c>
      <c r="N94">
        <f t="shared" si="36"/>
        <v>252.396778125</v>
      </c>
      <c r="O94" s="521">
        <f t="shared" si="37"/>
        <v>4.7014176811045587</v>
      </c>
      <c r="P94" s="521">
        <f t="shared" si="38"/>
        <v>10.057251280084476</v>
      </c>
    </row>
    <row r="95" spans="1:26">
      <c r="A95">
        <v>27289</v>
      </c>
      <c r="B95" t="s">
        <v>46</v>
      </c>
      <c r="C95" s="279">
        <v>14</v>
      </c>
      <c r="D95">
        <v>18</v>
      </c>
      <c r="E95" t="s">
        <v>3572</v>
      </c>
      <c r="F95">
        <v>393.5</v>
      </c>
      <c r="H95" s="279">
        <v>2765.6</v>
      </c>
      <c r="J95">
        <f t="shared" si="39"/>
        <v>391.72500000000002</v>
      </c>
      <c r="K95">
        <f t="shared" si="28"/>
        <v>3.9172500000000006</v>
      </c>
      <c r="L95">
        <f t="shared" si="29"/>
        <v>4.8965625000000008</v>
      </c>
      <c r="M95">
        <f t="shared" si="35"/>
        <v>137.54444062500002</v>
      </c>
      <c r="N95">
        <f t="shared" si="36"/>
        <v>294.23444062500005</v>
      </c>
      <c r="O95" s="521">
        <f t="shared" si="37"/>
        <v>4.973403262402373</v>
      </c>
      <c r="P95" s="521">
        <f t="shared" si="38"/>
        <v>10.639081596217821</v>
      </c>
    </row>
    <row r="96" spans="1:26">
      <c r="A96">
        <v>27290</v>
      </c>
      <c r="B96" t="s">
        <v>46</v>
      </c>
      <c r="C96" s="279">
        <v>15</v>
      </c>
      <c r="D96">
        <v>19</v>
      </c>
      <c r="E96" t="s">
        <v>3572</v>
      </c>
      <c r="F96">
        <v>360.5</v>
      </c>
      <c r="H96" s="279">
        <v>2530.3000000000002</v>
      </c>
      <c r="J96">
        <f t="shared" si="39"/>
        <v>358.72500000000002</v>
      </c>
      <c r="K96">
        <f t="shared" si="28"/>
        <v>3.58725</v>
      </c>
      <c r="L96">
        <f t="shared" si="29"/>
        <v>4.4840625000000003</v>
      </c>
      <c r="M96">
        <f t="shared" si="35"/>
        <v>125.95731562500001</v>
      </c>
      <c r="N96">
        <f t="shared" si="36"/>
        <v>269.44731562500004</v>
      </c>
      <c r="O96" s="521">
        <f t="shared" si="37"/>
        <v>4.977959752796111</v>
      </c>
      <c r="P96" s="521">
        <f t="shared" si="38"/>
        <v>10.648828819705173</v>
      </c>
    </row>
    <row r="97" spans="1:17">
      <c r="A97">
        <v>27291</v>
      </c>
      <c r="B97" t="s">
        <v>46</v>
      </c>
      <c r="C97" s="279">
        <v>18</v>
      </c>
      <c r="D97">
        <v>20</v>
      </c>
      <c r="E97" t="s">
        <v>3572</v>
      </c>
      <c r="F97">
        <v>240</v>
      </c>
      <c r="H97" s="279">
        <v>1960.1</v>
      </c>
      <c r="J97">
        <f t="shared" si="39"/>
        <v>238.22499999999999</v>
      </c>
      <c r="K97">
        <f t="shared" si="28"/>
        <v>2.38225</v>
      </c>
      <c r="L97">
        <f t="shared" si="29"/>
        <v>2.9778124999999998</v>
      </c>
      <c r="M97">
        <f t="shared" si="35"/>
        <v>83.646753124999989</v>
      </c>
      <c r="N97">
        <f t="shared" si="36"/>
        <v>178.936753125</v>
      </c>
      <c r="O97" s="521">
        <f t="shared" si="37"/>
        <v>4.2674737577164423</v>
      </c>
      <c r="P97" s="521">
        <f t="shared" si="38"/>
        <v>9.1289604165603784</v>
      </c>
    </row>
    <row r="98" spans="1:17">
      <c r="A98">
        <v>27292</v>
      </c>
      <c r="B98" t="s">
        <v>46</v>
      </c>
      <c r="C98" s="279">
        <v>19</v>
      </c>
      <c r="D98">
        <v>21</v>
      </c>
      <c r="E98" t="s">
        <v>3572</v>
      </c>
      <c r="F98">
        <v>360</v>
      </c>
      <c r="H98" s="279">
        <v>2465.8000000000002</v>
      </c>
      <c r="J98">
        <f t="shared" si="39"/>
        <v>358.22500000000002</v>
      </c>
      <c r="K98">
        <f t="shared" si="28"/>
        <v>3.5822500000000002</v>
      </c>
      <c r="L98">
        <f t="shared" si="29"/>
        <v>4.4778125000000006</v>
      </c>
      <c r="M98">
        <f t="shared" si="35"/>
        <v>125.78175312500002</v>
      </c>
      <c r="N98">
        <f t="shared" si="36"/>
        <v>269.07175312500004</v>
      </c>
      <c r="O98" s="521">
        <f t="shared" si="37"/>
        <v>5.1010525235217781</v>
      </c>
      <c r="P98" s="521">
        <f t="shared" si="38"/>
        <v>10.912148313934626</v>
      </c>
    </row>
    <row r="99" spans="1:17">
      <c r="A99">
        <v>27293</v>
      </c>
      <c r="B99" t="s">
        <v>46</v>
      </c>
      <c r="C99" s="279">
        <v>20</v>
      </c>
      <c r="D99">
        <v>22</v>
      </c>
      <c r="E99" t="s">
        <v>3572</v>
      </c>
      <c r="F99">
        <v>379.3</v>
      </c>
      <c r="H99" s="279">
        <v>2427.8000000000002</v>
      </c>
      <c r="J99">
        <f t="shared" si="39"/>
        <v>377.52500000000003</v>
      </c>
      <c r="K99">
        <f t="shared" si="28"/>
        <v>3.7752500000000007</v>
      </c>
      <c r="L99">
        <f t="shared" si="29"/>
        <v>4.7190625000000006</v>
      </c>
      <c r="M99">
        <f t="shared" si="35"/>
        <v>132.55846562500003</v>
      </c>
      <c r="N99">
        <f t="shared" si="36"/>
        <v>283.56846562500004</v>
      </c>
      <c r="O99">
        <f t="shared" si="37"/>
        <v>5.4600241216327543</v>
      </c>
      <c r="P99">
        <f t="shared" si="38"/>
        <v>11.680058720858391</v>
      </c>
    </row>
    <row r="100" spans="1:17">
      <c r="A100">
        <v>27294</v>
      </c>
      <c r="B100" t="s">
        <v>76</v>
      </c>
      <c r="C100" s="279">
        <v>1</v>
      </c>
      <c r="D100">
        <v>23</v>
      </c>
      <c r="E100" t="s">
        <v>3572</v>
      </c>
      <c r="F100">
        <v>258.5</v>
      </c>
      <c r="H100" s="279">
        <v>2720</v>
      </c>
      <c r="J100">
        <f t="shared" si="39"/>
        <v>256.72500000000002</v>
      </c>
      <c r="K100">
        <f t="shared" si="28"/>
        <v>2.5672500000000005</v>
      </c>
      <c r="L100">
        <f t="shared" si="29"/>
        <v>3.2090625000000008</v>
      </c>
      <c r="M100">
        <f t="shared" si="35"/>
        <v>90.142565625000017</v>
      </c>
      <c r="N100">
        <f t="shared" si="36"/>
        <v>192.83256562500006</v>
      </c>
      <c r="O100" s="521">
        <f t="shared" si="37"/>
        <v>3.3140649126838242</v>
      </c>
      <c r="P100" s="521">
        <f t="shared" si="38"/>
        <v>7.0894325597426491</v>
      </c>
    </row>
    <row r="101" spans="1:17" ht="15" thickBot="1">
      <c r="A101">
        <v>27295</v>
      </c>
      <c r="B101" t="s">
        <v>76</v>
      </c>
      <c r="C101" s="280">
        <v>2</v>
      </c>
      <c r="D101">
        <v>24</v>
      </c>
      <c r="E101" t="s">
        <v>3572</v>
      </c>
      <c r="F101">
        <v>210.2</v>
      </c>
      <c r="H101" s="280">
        <v>2257.9</v>
      </c>
      <c r="J101">
        <f t="shared" si="39"/>
        <v>208.42499999999998</v>
      </c>
      <c r="K101">
        <f t="shared" si="28"/>
        <v>2.0842499999999999</v>
      </c>
      <c r="L101">
        <f t="shared" si="29"/>
        <v>2.6053125000000001</v>
      </c>
      <c r="M101">
        <f t="shared" si="35"/>
        <v>73.183228124999999</v>
      </c>
      <c r="N101">
        <f t="shared" si="36"/>
        <v>156.553228125</v>
      </c>
      <c r="O101" s="521">
        <f t="shared" si="37"/>
        <v>3.2412076763807076</v>
      </c>
      <c r="P101" s="521">
        <f t="shared" si="38"/>
        <v>6.9335766918375477</v>
      </c>
    </row>
    <row r="102" spans="1:17" ht="15" thickTop="1">
      <c r="A102">
        <v>27296</v>
      </c>
      <c r="B102" t="s">
        <v>76</v>
      </c>
      <c r="C102" s="281">
        <v>3</v>
      </c>
      <c r="D102">
        <v>25</v>
      </c>
      <c r="E102" t="s">
        <v>3572</v>
      </c>
      <c r="F102">
        <v>216.6</v>
      </c>
      <c r="H102" s="281">
        <v>2308.1999999999998</v>
      </c>
      <c r="J102">
        <f t="shared" si="39"/>
        <v>214.82499999999999</v>
      </c>
      <c r="K102">
        <f t="shared" si="28"/>
        <v>2.14825</v>
      </c>
      <c r="L102">
        <f t="shared" si="29"/>
        <v>2.6853125000000002</v>
      </c>
      <c r="M102">
        <f t="shared" si="35"/>
        <v>75.430428125000006</v>
      </c>
      <c r="N102">
        <f t="shared" si="36"/>
        <v>161.36042812500003</v>
      </c>
      <c r="O102" s="521">
        <f t="shared" si="37"/>
        <v>3.26793294016983</v>
      </c>
      <c r="P102" s="521">
        <f t="shared" si="38"/>
        <v>6.9907472543540434</v>
      </c>
    </row>
    <row r="103" spans="1:17">
      <c r="A103">
        <v>27297</v>
      </c>
      <c r="B103" t="s">
        <v>76</v>
      </c>
      <c r="C103" s="279">
        <v>4</v>
      </c>
      <c r="D103">
        <v>26</v>
      </c>
      <c r="E103" t="s">
        <v>3572</v>
      </c>
      <c r="F103">
        <v>346.2</v>
      </c>
      <c r="H103" s="279">
        <v>3187.7</v>
      </c>
      <c r="J103">
        <f t="shared" si="39"/>
        <v>344.42500000000001</v>
      </c>
      <c r="K103">
        <f t="shared" si="28"/>
        <v>3.4442500000000003</v>
      </c>
      <c r="L103">
        <f t="shared" si="29"/>
        <v>4.3053125000000003</v>
      </c>
      <c r="M103">
        <f t="shared" si="35"/>
        <v>120.93622812500001</v>
      </c>
      <c r="N103">
        <f t="shared" si="36"/>
        <v>258.70622812500005</v>
      </c>
      <c r="O103" s="521">
        <f t="shared" si="37"/>
        <v>3.793839700254102</v>
      </c>
      <c r="P103" s="521">
        <f t="shared" si="38"/>
        <v>8.1157645990839811</v>
      </c>
    </row>
    <row r="104" spans="1:17">
      <c r="A104">
        <v>27298</v>
      </c>
      <c r="B104" t="s">
        <v>76</v>
      </c>
      <c r="C104" s="279">
        <v>5</v>
      </c>
      <c r="D104">
        <v>27</v>
      </c>
      <c r="E104" t="s">
        <v>3572</v>
      </c>
      <c r="F104">
        <v>307.2</v>
      </c>
      <c r="H104" s="279">
        <v>2576.6999999999998</v>
      </c>
      <c r="J104">
        <f t="shared" si="39"/>
        <v>305.42500000000001</v>
      </c>
      <c r="K104">
        <f t="shared" si="28"/>
        <v>3.0542500000000001</v>
      </c>
      <c r="L104">
        <f t="shared" si="29"/>
        <v>3.8178125000000001</v>
      </c>
      <c r="M104">
        <f t="shared" si="35"/>
        <v>107.24235312499999</v>
      </c>
      <c r="N104">
        <f t="shared" si="36"/>
        <v>229.41235312500001</v>
      </c>
      <c r="O104" s="521">
        <f t="shared" si="37"/>
        <v>4.1620038469748124</v>
      </c>
      <c r="P104" s="521">
        <f t="shared" si="38"/>
        <v>8.9033396641052516</v>
      </c>
    </row>
    <row r="105" spans="1:17" s="287" customFormat="1">
      <c r="A105" s="287">
        <v>27299</v>
      </c>
      <c r="B105" s="287" t="s">
        <v>76</v>
      </c>
      <c r="C105" s="285" t="s">
        <v>3581</v>
      </c>
      <c r="D105" s="287">
        <v>28</v>
      </c>
      <c r="E105" s="287" t="s">
        <v>3572</v>
      </c>
      <c r="F105" s="287">
        <v>318.39999999999998</v>
      </c>
      <c r="H105" s="285">
        <v>2111.6999999999998</v>
      </c>
      <c r="J105" s="287">
        <f t="shared" si="39"/>
        <v>316.625</v>
      </c>
      <c r="K105" s="287">
        <f t="shared" si="28"/>
        <v>3.1662499999999998</v>
      </c>
      <c r="L105" s="287">
        <f t="shared" si="29"/>
        <v>3.9578124999999997</v>
      </c>
      <c r="M105" s="287">
        <f t="shared" si="35"/>
        <v>111.17495312499999</v>
      </c>
      <c r="N105" s="287">
        <f t="shared" si="36"/>
        <v>237.82495312500001</v>
      </c>
      <c r="O105" s="287">
        <f t="shared" si="37"/>
        <v>5.2647134121797601</v>
      </c>
      <c r="P105" s="287">
        <f t="shared" si="38"/>
        <v>11.26225094118483</v>
      </c>
      <c r="Q105" s="287">
        <f>((O105-O106)/AVERAGE(O105:O106))*100</f>
        <v>-0.51218055485055813</v>
      </c>
    </row>
    <row r="106" spans="1:17" s="287" customFormat="1">
      <c r="A106" s="287">
        <v>27300</v>
      </c>
      <c r="B106" s="287" t="s">
        <v>76</v>
      </c>
      <c r="C106" s="353" t="s">
        <v>3582</v>
      </c>
      <c r="D106" s="287">
        <v>29</v>
      </c>
      <c r="E106" s="287" t="s">
        <v>3572</v>
      </c>
      <c r="F106" s="287">
        <v>470.9</v>
      </c>
      <c r="H106" s="285">
        <v>3112.8</v>
      </c>
      <c r="J106" s="287">
        <f t="shared" si="39"/>
        <v>469.125</v>
      </c>
      <c r="K106" s="287">
        <f t="shared" si="28"/>
        <v>4.6912500000000001</v>
      </c>
      <c r="L106" s="287">
        <f t="shared" si="29"/>
        <v>5.8640625000000002</v>
      </c>
      <c r="M106" s="287">
        <f t="shared" si="35"/>
        <v>164.72151562499999</v>
      </c>
      <c r="N106" s="287">
        <f t="shared" si="36"/>
        <v>352.37151562500003</v>
      </c>
      <c r="O106" s="287">
        <f t="shared" si="37"/>
        <v>5.2917474821703925</v>
      </c>
      <c r="P106" s="287">
        <f t="shared" si="38"/>
        <v>11.320082100520432</v>
      </c>
    </row>
    <row r="107" spans="1:17">
      <c r="A107">
        <v>27301</v>
      </c>
      <c r="B107" t="s">
        <v>76</v>
      </c>
      <c r="C107" s="279">
        <v>7</v>
      </c>
      <c r="D107">
        <v>30</v>
      </c>
      <c r="E107" t="s">
        <v>3572</v>
      </c>
      <c r="F107">
        <v>448.4</v>
      </c>
      <c r="H107" s="279">
        <v>2811.1</v>
      </c>
      <c r="J107">
        <f t="shared" si="39"/>
        <v>446.625</v>
      </c>
      <c r="K107">
        <f t="shared" si="28"/>
        <v>4.4662499999999996</v>
      </c>
      <c r="L107">
        <f t="shared" si="29"/>
        <v>5.5828124999999993</v>
      </c>
      <c r="M107">
        <f t="shared" si="35"/>
        <v>156.82120312499998</v>
      </c>
      <c r="N107">
        <f t="shared" si="36"/>
        <v>335.47120312499999</v>
      </c>
      <c r="O107" s="521">
        <f t="shared" si="37"/>
        <v>5.5786419239799363</v>
      </c>
      <c r="P107" s="521">
        <f t="shared" si="38"/>
        <v>11.933805383124044</v>
      </c>
    </row>
    <row r="108" spans="1:17">
      <c r="A108">
        <v>27302</v>
      </c>
      <c r="B108" t="s">
        <v>76</v>
      </c>
      <c r="C108" s="279">
        <v>8</v>
      </c>
      <c r="D108">
        <v>31</v>
      </c>
      <c r="E108" t="s">
        <v>3572</v>
      </c>
      <c r="F108">
        <v>475.4</v>
      </c>
      <c r="H108" s="350">
        <v>2709.7</v>
      </c>
      <c r="J108">
        <f t="shared" si="39"/>
        <v>473.625</v>
      </c>
      <c r="K108">
        <f t="shared" si="28"/>
        <v>4.7362500000000001</v>
      </c>
      <c r="L108">
        <f t="shared" si="29"/>
        <v>5.9203124999999996</v>
      </c>
      <c r="M108">
        <f t="shared" si="35"/>
        <v>166.30157812499999</v>
      </c>
      <c r="N108">
        <f t="shared" si="36"/>
        <v>355.75157812499998</v>
      </c>
      <c r="O108" s="521">
        <f t="shared" si="37"/>
        <v>6.1372690011809432</v>
      </c>
      <c r="P108" s="521">
        <f t="shared" si="38"/>
        <v>13.128817881130752</v>
      </c>
    </row>
    <row r="109" spans="1:17">
      <c r="A109">
        <v>27303</v>
      </c>
      <c r="B109" t="s">
        <v>76</v>
      </c>
      <c r="C109" s="279">
        <v>9</v>
      </c>
      <c r="D109">
        <v>32</v>
      </c>
      <c r="E109" t="s">
        <v>3572</v>
      </c>
      <c r="F109">
        <v>452.2</v>
      </c>
      <c r="H109" s="350">
        <v>2754.6</v>
      </c>
      <c r="J109">
        <f t="shared" si="39"/>
        <v>450.42500000000001</v>
      </c>
      <c r="K109">
        <f t="shared" si="28"/>
        <v>4.5042499999999999</v>
      </c>
      <c r="L109">
        <f t="shared" si="29"/>
        <v>5.6303124999999996</v>
      </c>
      <c r="M109">
        <f t="shared" si="35"/>
        <v>158.155478125</v>
      </c>
      <c r="N109">
        <f t="shared" si="36"/>
        <v>338.32547812500002</v>
      </c>
      <c r="O109" s="521">
        <f t="shared" si="37"/>
        <v>5.7415043245843318</v>
      </c>
      <c r="P109" s="521">
        <f t="shared" si="38"/>
        <v>12.282199888368549</v>
      </c>
    </row>
    <row r="110" spans="1:17">
      <c r="A110">
        <v>27304</v>
      </c>
      <c r="B110" t="s">
        <v>76</v>
      </c>
      <c r="C110" s="279">
        <v>10</v>
      </c>
      <c r="D110">
        <v>33</v>
      </c>
      <c r="E110" t="s">
        <v>3572</v>
      </c>
      <c r="F110">
        <v>404.6</v>
      </c>
      <c r="H110" s="350">
        <v>3262.2</v>
      </c>
      <c r="J110">
        <f t="shared" si="39"/>
        <v>402.82500000000005</v>
      </c>
      <c r="K110">
        <f t="shared" si="28"/>
        <v>4.0282500000000008</v>
      </c>
      <c r="L110">
        <f t="shared" si="29"/>
        <v>5.0353125000000007</v>
      </c>
      <c r="M110">
        <f t="shared" si="35"/>
        <v>141.44192812500003</v>
      </c>
      <c r="N110">
        <f t="shared" si="36"/>
        <v>302.57192812500006</v>
      </c>
      <c r="O110" s="521">
        <f t="shared" si="37"/>
        <v>4.3357834628471599</v>
      </c>
      <c r="P110" s="521">
        <f t="shared" si="38"/>
        <v>9.2750882265035894</v>
      </c>
    </row>
    <row r="111" spans="1:17">
      <c r="A111">
        <v>27305</v>
      </c>
      <c r="B111" t="s">
        <v>76</v>
      </c>
      <c r="C111" s="279">
        <v>11</v>
      </c>
      <c r="D111">
        <v>34</v>
      </c>
      <c r="E111" t="s">
        <v>3572</v>
      </c>
      <c r="F111">
        <v>273.39999999999998</v>
      </c>
      <c r="H111" s="350">
        <v>2502.6999999999998</v>
      </c>
      <c r="J111">
        <f t="shared" si="39"/>
        <v>271.625</v>
      </c>
      <c r="K111">
        <f t="shared" si="28"/>
        <v>2.7162500000000001</v>
      </c>
      <c r="L111">
        <f t="shared" si="29"/>
        <v>3.3953125000000002</v>
      </c>
      <c r="M111">
        <f t="shared" si="35"/>
        <v>95.374328125000005</v>
      </c>
      <c r="N111">
        <f t="shared" si="36"/>
        <v>204.02432812500001</v>
      </c>
      <c r="O111" s="521">
        <f t="shared" si="37"/>
        <v>3.8108573990090702</v>
      </c>
      <c r="P111" s="521">
        <f t="shared" si="38"/>
        <v>8.1521687827146696</v>
      </c>
    </row>
    <row r="112" spans="1:17" s="287" customFormat="1">
      <c r="A112" s="287">
        <v>27306</v>
      </c>
      <c r="B112" s="287" t="s">
        <v>76</v>
      </c>
      <c r="C112" s="285" t="s">
        <v>3583</v>
      </c>
      <c r="D112" s="287">
        <v>35</v>
      </c>
      <c r="E112" s="287" t="s">
        <v>3572</v>
      </c>
      <c r="F112" s="287">
        <v>260.10000000000002</v>
      </c>
      <c r="H112" s="354">
        <v>2352.3000000000002</v>
      </c>
      <c r="J112" s="287">
        <f t="shared" si="39"/>
        <v>258.32500000000005</v>
      </c>
      <c r="K112" s="287">
        <f t="shared" si="28"/>
        <v>2.5832500000000005</v>
      </c>
      <c r="L112" s="287">
        <f t="shared" si="29"/>
        <v>3.2290625000000004</v>
      </c>
      <c r="M112" s="287">
        <f t="shared" si="35"/>
        <v>90.704365625000008</v>
      </c>
      <c r="N112" s="287">
        <f t="shared" si="36"/>
        <v>194.03436562500002</v>
      </c>
      <c r="O112" s="287">
        <f t="shared" si="37"/>
        <v>3.8559862953279769</v>
      </c>
      <c r="P112" s="287">
        <f t="shared" si="38"/>
        <v>8.2487083120775413</v>
      </c>
      <c r="Q112" s="287">
        <f>((O112-O113)/AVERAGE(O112:O113))*100</f>
        <v>-0.11576550980287423</v>
      </c>
    </row>
    <row r="113" spans="1:18" s="287" customFormat="1" ht="15" thickBot="1">
      <c r="A113" s="287">
        <v>27307</v>
      </c>
      <c r="B113" s="287" t="s">
        <v>76</v>
      </c>
      <c r="C113" s="355" t="s">
        <v>3584</v>
      </c>
      <c r="D113" s="287">
        <v>36</v>
      </c>
      <c r="E113" s="287" t="s">
        <v>3572</v>
      </c>
      <c r="F113" s="287">
        <v>224.7</v>
      </c>
      <c r="H113" s="360">
        <v>2027.6</v>
      </c>
      <c r="J113" s="287">
        <f t="shared" si="39"/>
        <v>222.92499999999998</v>
      </c>
      <c r="K113" s="287">
        <f t="shared" si="28"/>
        <v>2.22925</v>
      </c>
      <c r="L113" s="287">
        <f t="shared" si="29"/>
        <v>2.7865625000000001</v>
      </c>
      <c r="M113" s="287">
        <f t="shared" si="35"/>
        <v>78.274540625</v>
      </c>
      <c r="N113" s="287">
        <f t="shared" si="36"/>
        <v>167.444540625</v>
      </c>
      <c r="O113" s="287">
        <f t="shared" si="37"/>
        <v>3.8604527828467154</v>
      </c>
      <c r="P113" s="287">
        <f t="shared" si="38"/>
        <v>8.2582630018248189</v>
      </c>
    </row>
    <row r="114" spans="1:18" ht="15" thickTop="1">
      <c r="A114">
        <v>27308</v>
      </c>
      <c r="B114" t="s">
        <v>76</v>
      </c>
      <c r="C114" s="281">
        <v>13</v>
      </c>
      <c r="D114">
        <v>37</v>
      </c>
      <c r="E114" t="s">
        <v>3572</v>
      </c>
      <c r="F114">
        <v>323.39999999999998</v>
      </c>
      <c r="H114" s="351">
        <v>2820.7</v>
      </c>
      <c r="J114">
        <f t="shared" si="39"/>
        <v>321.625</v>
      </c>
      <c r="K114">
        <f t="shared" si="28"/>
        <v>3.2162500000000001</v>
      </c>
      <c r="L114">
        <f t="shared" si="29"/>
        <v>4.0203125000000002</v>
      </c>
      <c r="M114">
        <f t="shared" si="35"/>
        <v>112.93057812500001</v>
      </c>
      <c r="N114">
        <f t="shared" si="36"/>
        <v>241.58057812500002</v>
      </c>
      <c r="O114" s="521">
        <f t="shared" si="37"/>
        <v>4.0036366194561639</v>
      </c>
      <c r="P114" s="521">
        <f t="shared" si="38"/>
        <v>8.5645612126422535</v>
      </c>
    </row>
    <row r="115" spans="1:18">
      <c r="A115">
        <v>27309</v>
      </c>
      <c r="B115" t="s">
        <v>76</v>
      </c>
      <c r="C115" s="281">
        <v>16</v>
      </c>
      <c r="D115">
        <v>38</v>
      </c>
      <c r="E115" t="s">
        <v>3572</v>
      </c>
      <c r="F115">
        <v>410.1</v>
      </c>
      <c r="H115" s="279">
        <v>2794.3</v>
      </c>
      <c r="J115">
        <f t="shared" si="39"/>
        <v>408.32500000000005</v>
      </c>
      <c r="K115">
        <f t="shared" si="28"/>
        <v>4.0832500000000005</v>
      </c>
      <c r="L115">
        <f t="shared" si="29"/>
        <v>5.1040625000000004</v>
      </c>
      <c r="M115">
        <f t="shared" si="35"/>
        <v>143.373115625</v>
      </c>
      <c r="N115">
        <f t="shared" si="36"/>
        <v>306.70311562500007</v>
      </c>
      <c r="O115" s="521">
        <f t="shared" si="37"/>
        <v>5.1309134890670283</v>
      </c>
      <c r="P115" s="521">
        <f t="shared" si="38"/>
        <v>10.976026755359126</v>
      </c>
    </row>
    <row r="116" spans="1:18">
      <c r="A116">
        <v>27310</v>
      </c>
      <c r="B116" t="s">
        <v>3593</v>
      </c>
      <c r="C116" s="352"/>
      <c r="D116">
        <v>39</v>
      </c>
      <c r="E116" t="s">
        <v>3572</v>
      </c>
      <c r="F116">
        <v>2</v>
      </c>
      <c r="H116" s="352"/>
      <c r="O116" s="521"/>
      <c r="P116" s="521"/>
    </row>
    <row r="117" spans="1:18" s="277" customFormat="1">
      <c r="A117" s="277">
        <v>27311</v>
      </c>
      <c r="B117" s="277" t="s">
        <v>3307</v>
      </c>
      <c r="C117" s="310" t="s">
        <v>343</v>
      </c>
      <c r="D117" s="277">
        <v>40</v>
      </c>
      <c r="E117" s="277" t="s">
        <v>3572</v>
      </c>
      <c r="F117" s="277">
        <v>273.3</v>
      </c>
      <c r="H117" s="310">
        <v>2285.6999999999998</v>
      </c>
      <c r="J117" s="277">
        <f t="shared" si="39"/>
        <v>271.52500000000003</v>
      </c>
      <c r="K117" s="277">
        <f t="shared" si="28"/>
        <v>2.7152500000000002</v>
      </c>
      <c r="L117" s="277">
        <f t="shared" si="29"/>
        <v>3.3940625000000004</v>
      </c>
      <c r="M117" s="277">
        <f t="shared" si="35"/>
        <v>95.339215625000008</v>
      </c>
      <c r="N117" s="277">
        <f t="shared" si="36"/>
        <v>203.94921562500005</v>
      </c>
      <c r="O117" s="277">
        <f t="shared" si="37"/>
        <v>4.1711167530734574</v>
      </c>
      <c r="P117" s="277">
        <f t="shared" si="38"/>
        <v>8.9228339513059485</v>
      </c>
      <c r="R117" s="277">
        <f>((O117-AVERAGE(O89,O117,O128,O146,O147))/AVERAGE(O89,O117,O128,O146,O147)*100)</f>
        <v>-1.4938067637034436</v>
      </c>
    </row>
    <row r="118" spans="1:18">
      <c r="A118">
        <v>27312</v>
      </c>
      <c r="B118" t="s">
        <v>76</v>
      </c>
      <c r="C118" s="279">
        <v>20</v>
      </c>
      <c r="D118">
        <v>41</v>
      </c>
      <c r="E118" t="s">
        <v>3572</v>
      </c>
      <c r="F118">
        <v>493.6</v>
      </c>
      <c r="H118" s="279">
        <v>2048.8000000000002</v>
      </c>
      <c r="J118">
        <f t="shared" si="39"/>
        <v>491.82500000000005</v>
      </c>
      <c r="K118">
        <f t="shared" si="28"/>
        <v>4.9182500000000005</v>
      </c>
      <c r="L118">
        <f t="shared" si="29"/>
        <v>6.1478125000000006</v>
      </c>
      <c r="M118">
        <f t="shared" si="35"/>
        <v>172.692053125</v>
      </c>
      <c r="N118">
        <f t="shared" si="36"/>
        <v>369.42205312500005</v>
      </c>
      <c r="O118" s="521">
        <f t="shared" si="37"/>
        <v>8.4289366031335415</v>
      </c>
      <c r="P118" s="521">
        <f t="shared" si="38"/>
        <v>18.031142772598596</v>
      </c>
    </row>
    <row r="119" spans="1:18">
      <c r="A119">
        <v>27313</v>
      </c>
      <c r="B119" t="s">
        <v>76</v>
      </c>
      <c r="C119" s="279">
        <v>21</v>
      </c>
      <c r="D119">
        <v>42</v>
      </c>
      <c r="E119" t="s">
        <v>3572</v>
      </c>
      <c r="F119">
        <v>429</v>
      </c>
      <c r="H119" s="279">
        <v>2177.5</v>
      </c>
      <c r="J119">
        <f t="shared" si="39"/>
        <v>427.22500000000002</v>
      </c>
      <c r="K119">
        <f t="shared" si="28"/>
        <v>4.2722500000000005</v>
      </c>
      <c r="L119">
        <f t="shared" si="29"/>
        <v>5.3403125000000005</v>
      </c>
      <c r="M119">
        <f t="shared" si="35"/>
        <v>150.00937812500001</v>
      </c>
      <c r="N119">
        <f t="shared" si="36"/>
        <v>320.89937812500006</v>
      </c>
      <c r="O119" s="521">
        <f t="shared" si="37"/>
        <v>6.8890644374282441</v>
      </c>
      <c r="P119" s="521">
        <f t="shared" si="38"/>
        <v>14.737055252583239</v>
      </c>
    </row>
    <row r="120" spans="1:18">
      <c r="A120">
        <v>27314</v>
      </c>
      <c r="B120" t="s">
        <v>93</v>
      </c>
      <c r="C120" s="279">
        <v>1</v>
      </c>
      <c r="D120">
        <v>43</v>
      </c>
      <c r="E120" t="s">
        <v>3572</v>
      </c>
      <c r="F120">
        <v>212.2</v>
      </c>
      <c r="H120" s="279">
        <v>2477.9</v>
      </c>
      <c r="J120">
        <f t="shared" si="39"/>
        <v>210.42499999999998</v>
      </c>
      <c r="K120">
        <f t="shared" si="28"/>
        <v>2.1042499999999995</v>
      </c>
      <c r="L120">
        <f t="shared" si="29"/>
        <v>2.6303124999999996</v>
      </c>
      <c r="M120">
        <f t="shared" si="35"/>
        <v>73.885478124999992</v>
      </c>
      <c r="N120">
        <f t="shared" si="36"/>
        <v>158.05547812499998</v>
      </c>
      <c r="O120" s="521">
        <f t="shared" si="37"/>
        <v>2.9817780428992289</v>
      </c>
      <c r="P120" s="521">
        <f t="shared" si="38"/>
        <v>6.3786060020581932</v>
      </c>
    </row>
    <row r="121" spans="1:18">
      <c r="A121">
        <v>27315</v>
      </c>
      <c r="B121" t="s">
        <v>93</v>
      </c>
      <c r="C121" s="279">
        <v>2</v>
      </c>
      <c r="D121">
        <v>44</v>
      </c>
      <c r="E121" t="s">
        <v>3572</v>
      </c>
      <c r="F121">
        <v>244.9</v>
      </c>
      <c r="H121" s="279">
        <v>2676.6</v>
      </c>
      <c r="J121">
        <f t="shared" si="39"/>
        <v>243.125</v>
      </c>
      <c r="K121">
        <f t="shared" si="28"/>
        <v>2.4312499999999999</v>
      </c>
      <c r="L121">
        <f t="shared" si="29"/>
        <v>3.0390625</v>
      </c>
      <c r="M121">
        <f t="shared" si="35"/>
        <v>85.367265625000002</v>
      </c>
      <c r="N121">
        <f t="shared" si="36"/>
        <v>182.61726562500002</v>
      </c>
      <c r="O121" s="521">
        <f t="shared" si="37"/>
        <v>3.1893919758275429</v>
      </c>
      <c r="P121" s="521">
        <f t="shared" si="38"/>
        <v>6.8227327813270584</v>
      </c>
    </row>
    <row r="122" spans="1:18">
      <c r="A122">
        <v>27316</v>
      </c>
      <c r="B122" t="s">
        <v>93</v>
      </c>
      <c r="C122" s="279">
        <v>3</v>
      </c>
      <c r="D122">
        <v>45</v>
      </c>
      <c r="E122" t="s">
        <v>3572</v>
      </c>
      <c r="F122">
        <v>192.2</v>
      </c>
      <c r="H122" s="279">
        <v>2317</v>
      </c>
      <c r="J122">
        <f t="shared" si="39"/>
        <v>190.42499999999998</v>
      </c>
      <c r="K122">
        <f t="shared" si="28"/>
        <v>1.9042499999999998</v>
      </c>
      <c r="L122">
        <f t="shared" si="29"/>
        <v>2.3803124999999996</v>
      </c>
      <c r="M122">
        <f t="shared" si="35"/>
        <v>66.862978124999984</v>
      </c>
      <c r="N122">
        <f t="shared" si="36"/>
        <v>143.03297812499997</v>
      </c>
      <c r="O122" s="521">
        <f t="shared" si="37"/>
        <v>2.8857565008631845</v>
      </c>
      <c r="P122" s="521">
        <f t="shared" si="38"/>
        <v>6.1731971568838997</v>
      </c>
    </row>
    <row r="123" spans="1:18">
      <c r="A123">
        <v>27317</v>
      </c>
      <c r="B123" t="s">
        <v>93</v>
      </c>
      <c r="C123" s="279">
        <v>4</v>
      </c>
      <c r="D123">
        <v>46</v>
      </c>
      <c r="E123" t="s">
        <v>3572</v>
      </c>
      <c r="F123">
        <v>281</v>
      </c>
      <c r="H123" s="279">
        <v>3153.2</v>
      </c>
      <c r="J123">
        <f t="shared" si="39"/>
        <v>279.22500000000002</v>
      </c>
      <c r="K123">
        <f t="shared" si="28"/>
        <v>2.7922500000000001</v>
      </c>
      <c r="L123">
        <f t="shared" si="29"/>
        <v>3.4903124999999999</v>
      </c>
      <c r="M123">
        <f t="shared" si="35"/>
        <v>98.042878125000001</v>
      </c>
      <c r="N123">
        <f t="shared" si="36"/>
        <v>209.73287812500001</v>
      </c>
      <c r="O123" s="521">
        <f t="shared" si="37"/>
        <v>3.1093136535900041</v>
      </c>
      <c r="P123" s="521">
        <f t="shared" si="38"/>
        <v>6.6514295992959536</v>
      </c>
    </row>
    <row r="124" spans="1:18">
      <c r="A124">
        <v>27318</v>
      </c>
      <c r="B124" t="s">
        <v>93</v>
      </c>
      <c r="C124" s="279">
        <v>5</v>
      </c>
      <c r="D124">
        <v>47</v>
      </c>
      <c r="E124" t="s">
        <v>3572</v>
      </c>
      <c r="F124">
        <v>321.7</v>
      </c>
      <c r="H124" s="279">
        <v>3151.1</v>
      </c>
      <c r="J124">
        <f t="shared" si="39"/>
        <v>319.92500000000001</v>
      </c>
      <c r="K124">
        <f t="shared" si="28"/>
        <v>3.1992500000000001</v>
      </c>
      <c r="L124">
        <f t="shared" si="29"/>
        <v>3.9990625</v>
      </c>
      <c r="M124">
        <f t="shared" si="35"/>
        <v>112.33366562499999</v>
      </c>
      <c r="N124">
        <f t="shared" si="36"/>
        <v>240.30366562500001</v>
      </c>
      <c r="O124" s="521">
        <f t="shared" si="37"/>
        <v>3.5649032282377582</v>
      </c>
      <c r="P124" s="521">
        <f t="shared" si="38"/>
        <v>7.6260247413601601</v>
      </c>
    </row>
    <row r="125" spans="1:18" s="287" customFormat="1" ht="15" thickBot="1">
      <c r="A125" s="287">
        <v>27319</v>
      </c>
      <c r="B125" s="287" t="s">
        <v>93</v>
      </c>
      <c r="C125" s="289" t="s">
        <v>3581</v>
      </c>
      <c r="D125" s="287">
        <v>48</v>
      </c>
      <c r="E125" s="287" t="s">
        <v>3572</v>
      </c>
      <c r="F125" s="287">
        <v>333.5</v>
      </c>
      <c r="H125" s="289">
        <v>2417.6</v>
      </c>
      <c r="J125" s="287">
        <f t="shared" si="39"/>
        <v>331.72500000000002</v>
      </c>
      <c r="K125" s="287">
        <f t="shared" si="28"/>
        <v>3.3172500000000005</v>
      </c>
      <c r="L125" s="287">
        <f t="shared" si="29"/>
        <v>4.1465625000000008</v>
      </c>
      <c r="M125" s="287">
        <f t="shared" si="35"/>
        <v>116.47694062500003</v>
      </c>
      <c r="N125" s="287">
        <f t="shared" si="36"/>
        <v>249.16694062500005</v>
      </c>
      <c r="O125" s="287">
        <f t="shared" si="37"/>
        <v>4.8178747776720732</v>
      </c>
      <c r="P125" s="287">
        <f t="shared" si="38"/>
        <v>10.306375770392128</v>
      </c>
      <c r="Q125" s="287">
        <f>((O125-O126)/AVERAGE(O125:O126))*100</f>
        <v>7.1120354217438939E-2</v>
      </c>
    </row>
    <row r="126" spans="1:18" s="287" customFormat="1" ht="15" thickTop="1">
      <c r="A126" s="287">
        <v>27320</v>
      </c>
      <c r="B126" s="287" t="s">
        <v>93</v>
      </c>
      <c r="C126" s="357" t="s">
        <v>3582</v>
      </c>
      <c r="D126" s="287">
        <v>49</v>
      </c>
      <c r="E126" s="287" t="s">
        <v>3572</v>
      </c>
      <c r="F126" s="287">
        <v>348.1</v>
      </c>
      <c r="H126" s="291">
        <v>2525.8000000000002</v>
      </c>
      <c r="J126" s="287">
        <f t="shared" si="39"/>
        <v>346.32500000000005</v>
      </c>
      <c r="K126" s="287">
        <f t="shared" si="28"/>
        <v>3.4632500000000004</v>
      </c>
      <c r="L126" s="287">
        <f t="shared" si="29"/>
        <v>4.3290625000000009</v>
      </c>
      <c r="M126" s="287">
        <f t="shared" si="35"/>
        <v>121.60336562500002</v>
      </c>
      <c r="N126" s="287">
        <f t="shared" si="36"/>
        <v>260.13336562500007</v>
      </c>
      <c r="O126" s="287">
        <f t="shared" si="37"/>
        <v>4.8144495060970787</v>
      </c>
      <c r="P126" s="287">
        <f t="shared" si="38"/>
        <v>10.299048445047115</v>
      </c>
    </row>
    <row r="127" spans="1:18">
      <c r="A127">
        <v>27321</v>
      </c>
      <c r="B127" t="s">
        <v>3594</v>
      </c>
      <c r="C127" s="279"/>
      <c r="D127">
        <v>50</v>
      </c>
      <c r="E127" t="s">
        <v>3572</v>
      </c>
      <c r="F127">
        <v>1.5</v>
      </c>
      <c r="H127" s="279"/>
      <c r="O127" s="521"/>
      <c r="P127" s="521"/>
    </row>
    <row r="128" spans="1:18" s="277" customFormat="1">
      <c r="A128" s="277">
        <v>27322</v>
      </c>
      <c r="B128" s="277" t="s">
        <v>3307</v>
      </c>
      <c r="C128" s="310" t="s">
        <v>346</v>
      </c>
      <c r="D128" s="277">
        <v>51</v>
      </c>
      <c r="E128" s="277" t="s">
        <v>3572</v>
      </c>
      <c r="F128" s="277">
        <v>369.3</v>
      </c>
      <c r="H128" s="358">
        <v>3060.2</v>
      </c>
      <c r="J128" s="277">
        <f t="shared" si="39"/>
        <v>367.52500000000003</v>
      </c>
      <c r="K128" s="277">
        <f t="shared" si="28"/>
        <v>3.6752500000000006</v>
      </c>
      <c r="L128" s="277">
        <f t="shared" si="29"/>
        <v>4.5940625000000006</v>
      </c>
      <c r="M128" s="277">
        <f t="shared" si="35"/>
        <v>129.04721562500001</v>
      </c>
      <c r="N128" s="277">
        <f t="shared" si="36"/>
        <v>276.05721562500003</v>
      </c>
      <c r="O128" s="277">
        <f t="shared" si="37"/>
        <v>4.2169536509051708</v>
      </c>
      <c r="P128" s="277">
        <f t="shared" si="38"/>
        <v>9.0208880342788067</v>
      </c>
      <c r="R128" s="277">
        <f>((O128-AVERAGE(O89,O117,O128,O146,O147))/AVERAGE(O89,O117,O128,O146,O147)*100)</f>
        <v>-0.41131049652604135</v>
      </c>
    </row>
    <row r="129" spans="1:17">
      <c r="A129">
        <v>27323</v>
      </c>
      <c r="B129" t="s">
        <v>93</v>
      </c>
      <c r="C129" s="279">
        <v>7</v>
      </c>
      <c r="D129">
        <v>52</v>
      </c>
      <c r="E129" t="s">
        <v>3572</v>
      </c>
      <c r="F129">
        <v>336.3</v>
      </c>
      <c r="H129" s="350">
        <v>2431.1999999999998</v>
      </c>
      <c r="J129">
        <f t="shared" si="39"/>
        <v>334.52500000000003</v>
      </c>
      <c r="K129">
        <f t="shared" si="28"/>
        <v>3.3452500000000001</v>
      </c>
      <c r="L129">
        <f t="shared" si="29"/>
        <v>4.1815625000000001</v>
      </c>
      <c r="M129">
        <f t="shared" si="35"/>
        <v>117.46009062500001</v>
      </c>
      <c r="N129">
        <f t="shared" si="36"/>
        <v>251.27009062500002</v>
      </c>
      <c r="O129" s="521">
        <f t="shared" si="37"/>
        <v>4.8313627272540316</v>
      </c>
      <c r="P129" s="521">
        <f t="shared" si="38"/>
        <v>10.335229130676211</v>
      </c>
    </row>
    <row r="130" spans="1:17">
      <c r="A130">
        <v>27324</v>
      </c>
      <c r="B130" t="s">
        <v>93</v>
      </c>
      <c r="C130" s="279">
        <v>8</v>
      </c>
      <c r="D130">
        <v>53</v>
      </c>
      <c r="E130" t="s">
        <v>3572</v>
      </c>
      <c r="F130">
        <v>354.9</v>
      </c>
      <c r="H130" s="350">
        <v>2483.8000000000002</v>
      </c>
      <c r="J130">
        <f t="shared" si="39"/>
        <v>353.125</v>
      </c>
      <c r="K130">
        <f t="shared" si="28"/>
        <v>3.53125</v>
      </c>
      <c r="L130">
        <f t="shared" si="29"/>
        <v>4.4140625</v>
      </c>
      <c r="M130">
        <f t="shared" si="35"/>
        <v>123.991015625</v>
      </c>
      <c r="N130">
        <f t="shared" si="36"/>
        <v>265.24101562499999</v>
      </c>
      <c r="O130" s="521">
        <f t="shared" si="37"/>
        <v>4.9919887118528061</v>
      </c>
      <c r="P130" s="521">
        <f t="shared" si="38"/>
        <v>10.678839504992348</v>
      </c>
    </row>
    <row r="131" spans="1:17">
      <c r="A131">
        <v>27325</v>
      </c>
      <c r="B131" t="s">
        <v>93</v>
      </c>
      <c r="C131" s="279">
        <v>9</v>
      </c>
      <c r="D131">
        <v>54</v>
      </c>
      <c r="E131" t="s">
        <v>3572</v>
      </c>
      <c r="F131">
        <v>414.2</v>
      </c>
      <c r="H131" s="350">
        <v>2818.6</v>
      </c>
      <c r="J131">
        <f t="shared" si="39"/>
        <v>412.42500000000001</v>
      </c>
      <c r="K131">
        <f t="shared" si="28"/>
        <v>4.12425</v>
      </c>
      <c r="L131">
        <f t="shared" si="29"/>
        <v>5.1553125</v>
      </c>
      <c r="M131">
        <f t="shared" si="35"/>
        <v>144.81272812500001</v>
      </c>
      <c r="N131">
        <f t="shared" si="36"/>
        <v>309.78272812500001</v>
      </c>
      <c r="O131" s="521">
        <f t="shared" si="37"/>
        <v>5.1377537829064073</v>
      </c>
      <c r="P131" s="521">
        <f t="shared" si="38"/>
        <v>10.990659480770596</v>
      </c>
    </row>
    <row r="132" spans="1:17">
      <c r="A132">
        <v>27326</v>
      </c>
      <c r="B132" t="s">
        <v>93</v>
      </c>
      <c r="C132" s="279">
        <v>10</v>
      </c>
      <c r="D132">
        <v>55</v>
      </c>
      <c r="E132" t="s">
        <v>3572</v>
      </c>
      <c r="F132">
        <v>387.6</v>
      </c>
      <c r="H132" s="350">
        <v>2961.9</v>
      </c>
      <c r="J132">
        <f t="shared" si="39"/>
        <v>385.82500000000005</v>
      </c>
      <c r="K132">
        <f t="shared" si="28"/>
        <v>3.8582500000000004</v>
      </c>
      <c r="L132">
        <f t="shared" si="29"/>
        <v>4.8228125000000004</v>
      </c>
      <c r="M132">
        <f t="shared" si="35"/>
        <v>135.47280312500001</v>
      </c>
      <c r="N132">
        <f t="shared" si="36"/>
        <v>289.80280312500003</v>
      </c>
      <c r="O132" s="521">
        <f t="shared" si="37"/>
        <v>4.5738479734292179</v>
      </c>
      <c r="P132" s="521">
        <f t="shared" si="38"/>
        <v>9.784354742732706</v>
      </c>
    </row>
    <row r="133" spans="1:17">
      <c r="A133">
        <v>27327</v>
      </c>
      <c r="B133" t="s">
        <v>93</v>
      </c>
      <c r="C133" s="279">
        <v>11</v>
      </c>
      <c r="D133">
        <v>56</v>
      </c>
      <c r="E133" t="s">
        <v>3572</v>
      </c>
      <c r="F133">
        <v>279.7</v>
      </c>
      <c r="H133" s="350">
        <v>2266.9</v>
      </c>
      <c r="J133">
        <f t="shared" si="39"/>
        <v>277.92500000000001</v>
      </c>
      <c r="K133">
        <f t="shared" ref="K133:K147" si="42">(J133/1000)*10</f>
        <v>2.7792500000000002</v>
      </c>
      <c r="L133">
        <f t="shared" ref="L133:L147" si="43">K133*(5/4)</f>
        <v>3.4740625000000005</v>
      </c>
      <c r="M133">
        <f t="shared" si="35"/>
        <v>97.586415625000015</v>
      </c>
      <c r="N133">
        <f t="shared" si="36"/>
        <v>208.75641562500005</v>
      </c>
      <c r="O133" s="521">
        <f t="shared" si="37"/>
        <v>4.3048398969958983</v>
      </c>
      <c r="P133" s="521">
        <f t="shared" si="38"/>
        <v>9.208893891437647</v>
      </c>
    </row>
    <row r="134" spans="1:17">
      <c r="A134">
        <v>27328</v>
      </c>
      <c r="B134" t="s">
        <v>93</v>
      </c>
      <c r="C134" s="279">
        <v>12</v>
      </c>
      <c r="D134">
        <v>57</v>
      </c>
      <c r="E134" t="s">
        <v>3572</v>
      </c>
      <c r="F134">
        <v>290.39999999999998</v>
      </c>
      <c r="H134" s="350">
        <v>2633.7</v>
      </c>
      <c r="J134">
        <f t="shared" si="39"/>
        <v>288.625</v>
      </c>
      <c r="K134">
        <f t="shared" si="42"/>
        <v>2.8862500000000004</v>
      </c>
      <c r="L134">
        <f t="shared" si="43"/>
        <v>3.6078125000000005</v>
      </c>
      <c r="M134">
        <f t="shared" si="35"/>
        <v>101.34345312500001</v>
      </c>
      <c r="N134">
        <f t="shared" si="36"/>
        <v>216.79345312500004</v>
      </c>
      <c r="O134" s="521">
        <f t="shared" si="37"/>
        <v>3.847949771234386</v>
      </c>
      <c r="P134" s="521">
        <f t="shared" si="38"/>
        <v>8.2315166163572187</v>
      </c>
    </row>
    <row r="135" spans="1:17">
      <c r="A135">
        <v>27329</v>
      </c>
      <c r="B135" t="s">
        <v>93</v>
      </c>
      <c r="C135" s="279">
        <v>13</v>
      </c>
      <c r="D135">
        <v>58</v>
      </c>
      <c r="E135" t="s">
        <v>3572</v>
      </c>
      <c r="F135">
        <v>547.79999999999995</v>
      </c>
      <c r="H135" s="350">
        <v>2600.8000000000002</v>
      </c>
      <c r="J135">
        <f t="shared" si="39"/>
        <v>546.02499999999998</v>
      </c>
      <c r="K135">
        <f t="shared" si="42"/>
        <v>5.4602500000000003</v>
      </c>
      <c r="L135">
        <f t="shared" si="43"/>
        <v>6.8253125000000008</v>
      </c>
      <c r="M135">
        <f t="shared" si="35"/>
        <v>191.72302812500001</v>
      </c>
      <c r="N135">
        <f t="shared" si="36"/>
        <v>410.13302812500007</v>
      </c>
      <c r="O135" s="521">
        <f t="shared" si="37"/>
        <v>7.3716944065287597</v>
      </c>
      <c r="P135" s="521">
        <f t="shared" si="38"/>
        <v>15.769495083243617</v>
      </c>
    </row>
    <row r="136" spans="1:17">
      <c r="A136">
        <v>27330</v>
      </c>
      <c r="B136" t="s">
        <v>93</v>
      </c>
      <c r="C136" s="279">
        <v>14</v>
      </c>
      <c r="D136">
        <v>59</v>
      </c>
      <c r="E136" t="s">
        <v>3572</v>
      </c>
      <c r="F136">
        <v>572.9</v>
      </c>
      <c r="H136" s="350">
        <v>2103.9</v>
      </c>
      <c r="J136">
        <f t="shared" si="39"/>
        <v>571.125</v>
      </c>
      <c r="K136">
        <f t="shared" si="42"/>
        <v>5.7112499999999997</v>
      </c>
      <c r="L136">
        <f t="shared" si="43"/>
        <v>7.1390624999999996</v>
      </c>
      <c r="M136">
        <f t="shared" si="35"/>
        <v>200.536265625</v>
      </c>
      <c r="N136">
        <f t="shared" si="36"/>
        <v>428.98626562499999</v>
      </c>
      <c r="O136" s="521">
        <f t="shared" si="37"/>
        <v>9.5316443569085969</v>
      </c>
      <c r="P136" s="521">
        <f t="shared" si="38"/>
        <v>20.390050174675601</v>
      </c>
    </row>
    <row r="137" spans="1:17" s="287" customFormat="1" ht="15" thickBot="1">
      <c r="A137" s="287">
        <v>27331</v>
      </c>
      <c r="B137" s="287" t="s">
        <v>93</v>
      </c>
      <c r="C137" s="289" t="s">
        <v>3586</v>
      </c>
      <c r="D137" s="287">
        <v>60</v>
      </c>
      <c r="E137" s="287" t="s">
        <v>3572</v>
      </c>
      <c r="F137" s="287">
        <v>729.8</v>
      </c>
      <c r="H137" s="356">
        <v>2721.5</v>
      </c>
      <c r="J137" s="287">
        <f t="shared" si="39"/>
        <v>728.02499999999998</v>
      </c>
      <c r="K137" s="287">
        <f t="shared" si="42"/>
        <v>7.2802499999999988</v>
      </c>
      <c r="L137" s="287">
        <f t="shared" si="43"/>
        <v>9.1003124999999976</v>
      </c>
      <c r="M137" s="287">
        <f t="shared" si="35"/>
        <v>255.62777812499994</v>
      </c>
      <c r="N137" s="287">
        <f t="shared" si="36"/>
        <v>546.83777812499989</v>
      </c>
      <c r="O137" s="287">
        <f t="shared" si="37"/>
        <v>9.3929001699430437</v>
      </c>
      <c r="P137" s="287">
        <f t="shared" si="38"/>
        <v>20.093249242145873</v>
      </c>
      <c r="Q137" s="287">
        <f>((O137-O138)/AVERAGE(O137:O138))*100</f>
        <v>-0.40051639261025662</v>
      </c>
    </row>
    <row r="138" spans="1:17" s="287" customFormat="1" ht="15" thickTop="1">
      <c r="A138" s="287">
        <v>27332</v>
      </c>
      <c r="B138" s="287" t="s">
        <v>93</v>
      </c>
      <c r="C138" s="357" t="s">
        <v>3587</v>
      </c>
      <c r="D138" s="287">
        <v>61</v>
      </c>
      <c r="E138" s="287" t="s">
        <v>3572</v>
      </c>
      <c r="F138" s="287">
        <v>563.29999999999995</v>
      </c>
      <c r="H138" s="291">
        <v>2090.6999999999998</v>
      </c>
      <c r="J138" s="287">
        <f t="shared" si="39"/>
        <v>561.52499999999998</v>
      </c>
      <c r="K138" s="287">
        <f t="shared" si="42"/>
        <v>5.6152499999999996</v>
      </c>
      <c r="L138" s="287">
        <f t="shared" si="43"/>
        <v>7.0190624999999995</v>
      </c>
      <c r="M138" s="287">
        <f t="shared" si="35"/>
        <v>197.165465625</v>
      </c>
      <c r="N138" s="287">
        <f t="shared" si="36"/>
        <v>421.77546562499998</v>
      </c>
      <c r="O138" s="287">
        <f t="shared" si="37"/>
        <v>9.4305957633806869</v>
      </c>
      <c r="P138" s="287">
        <f t="shared" si="38"/>
        <v>20.173887483857079</v>
      </c>
    </row>
    <row r="139" spans="1:17">
      <c r="A139">
        <v>27333</v>
      </c>
      <c r="B139" t="s">
        <v>93</v>
      </c>
      <c r="C139" s="281">
        <v>16</v>
      </c>
      <c r="D139">
        <v>62</v>
      </c>
      <c r="E139" t="s">
        <v>3572</v>
      </c>
      <c r="F139">
        <v>429.1</v>
      </c>
      <c r="H139" s="351">
        <v>2322</v>
      </c>
      <c r="J139">
        <f t="shared" si="39"/>
        <v>427.32500000000005</v>
      </c>
      <c r="K139">
        <f t="shared" si="42"/>
        <v>4.2732500000000009</v>
      </c>
      <c r="L139">
        <f t="shared" si="43"/>
        <v>5.3415625000000011</v>
      </c>
      <c r="M139">
        <f t="shared" ref="M139:M147" si="44">L139*28.09</f>
        <v>150.04449062500004</v>
      </c>
      <c r="N139">
        <f t="shared" ref="N139:N147" si="45">L139*(28.09+2*16)</f>
        <v>320.9744906250001</v>
      </c>
      <c r="O139" s="521">
        <f t="shared" ref="O139:O147" si="46">(M139/H139)*100</f>
        <v>6.4618643680017236</v>
      </c>
      <c r="P139" s="521">
        <f t="shared" ref="P139:P147" si="47">(N139/H139)*100</f>
        <v>13.823190810723517</v>
      </c>
    </row>
    <row r="140" spans="1:17">
      <c r="A140">
        <v>27334</v>
      </c>
      <c r="B140" t="s">
        <v>93</v>
      </c>
      <c r="C140" s="279">
        <v>17</v>
      </c>
      <c r="D140">
        <v>63</v>
      </c>
      <c r="E140" t="s">
        <v>3572</v>
      </c>
      <c r="F140">
        <v>265.7</v>
      </c>
      <c r="H140" s="350">
        <v>2250.1</v>
      </c>
      <c r="J140">
        <f t="shared" si="39"/>
        <v>263.92500000000001</v>
      </c>
      <c r="K140">
        <f t="shared" si="42"/>
        <v>2.6392500000000001</v>
      </c>
      <c r="L140">
        <f t="shared" si="43"/>
        <v>3.2990625000000002</v>
      </c>
      <c r="M140">
        <f t="shared" si="44"/>
        <v>92.670665625000012</v>
      </c>
      <c r="N140">
        <f t="shared" si="45"/>
        <v>198.24066562500002</v>
      </c>
      <c r="O140" s="521">
        <f t="shared" si="46"/>
        <v>4.1185132049686688</v>
      </c>
      <c r="P140" s="521">
        <f t="shared" si="47"/>
        <v>8.8103046809030729</v>
      </c>
    </row>
    <row r="141" spans="1:17">
      <c r="A141">
        <v>27335</v>
      </c>
      <c r="B141" t="s">
        <v>93</v>
      </c>
      <c r="C141" s="279">
        <v>18</v>
      </c>
      <c r="D141">
        <v>64</v>
      </c>
      <c r="E141" t="s">
        <v>3572</v>
      </c>
      <c r="F141">
        <v>427</v>
      </c>
      <c r="H141" s="350">
        <v>2771.4</v>
      </c>
      <c r="J141">
        <f t="shared" si="39"/>
        <v>425.22500000000002</v>
      </c>
      <c r="K141">
        <f t="shared" si="42"/>
        <v>4.2522500000000001</v>
      </c>
      <c r="L141">
        <f t="shared" si="43"/>
        <v>5.3153125000000001</v>
      </c>
      <c r="M141">
        <f t="shared" si="44"/>
        <v>149.30712812499999</v>
      </c>
      <c r="N141">
        <f t="shared" si="45"/>
        <v>319.39712812500005</v>
      </c>
      <c r="O141" s="521">
        <f t="shared" si="46"/>
        <v>5.387426142924153</v>
      </c>
      <c r="P141" s="521">
        <f t="shared" si="47"/>
        <v>11.524757455618101</v>
      </c>
    </row>
    <row r="142" spans="1:17">
      <c r="A142">
        <v>27336</v>
      </c>
      <c r="B142" t="s">
        <v>93</v>
      </c>
      <c r="C142" s="279">
        <v>19</v>
      </c>
      <c r="D142">
        <v>65</v>
      </c>
      <c r="E142" t="s">
        <v>3572</v>
      </c>
      <c r="F142">
        <v>440.6</v>
      </c>
      <c r="H142" s="350">
        <v>2982.9</v>
      </c>
      <c r="J142">
        <f t="shared" si="39"/>
        <v>438.82500000000005</v>
      </c>
      <c r="K142">
        <f t="shared" si="42"/>
        <v>4.3882500000000002</v>
      </c>
      <c r="L142">
        <f t="shared" si="43"/>
        <v>5.4853125</v>
      </c>
      <c r="M142">
        <f t="shared" si="44"/>
        <v>154.08242812500001</v>
      </c>
      <c r="N142">
        <f t="shared" si="45"/>
        <v>329.61242812500001</v>
      </c>
      <c r="O142" s="521">
        <f t="shared" si="46"/>
        <v>5.1655244267323752</v>
      </c>
      <c r="P142" s="521">
        <f t="shared" si="47"/>
        <v>11.05006631549834</v>
      </c>
    </row>
    <row r="143" spans="1:17">
      <c r="A143">
        <v>27337</v>
      </c>
      <c r="B143" t="s">
        <v>93</v>
      </c>
      <c r="C143" s="279">
        <v>20</v>
      </c>
      <c r="D143">
        <v>66</v>
      </c>
      <c r="E143" t="s">
        <v>3572</v>
      </c>
      <c r="F143">
        <v>287.10000000000002</v>
      </c>
      <c r="H143" s="350">
        <v>2093.5</v>
      </c>
      <c r="J143">
        <f t="shared" ref="J143:J147" si="48">F143-$J$77</f>
        <v>285.32500000000005</v>
      </c>
      <c r="K143">
        <f t="shared" si="42"/>
        <v>2.8532500000000005</v>
      </c>
      <c r="L143">
        <f t="shared" si="43"/>
        <v>3.5665625000000007</v>
      </c>
      <c r="M143">
        <f t="shared" si="44"/>
        <v>100.18474062500002</v>
      </c>
      <c r="N143">
        <f t="shared" si="45"/>
        <v>214.31474062500007</v>
      </c>
      <c r="O143" s="521">
        <f t="shared" si="46"/>
        <v>4.7855142405063296</v>
      </c>
      <c r="P143" s="521">
        <f t="shared" si="47"/>
        <v>10.237150256747078</v>
      </c>
    </row>
    <row r="144" spans="1:17">
      <c r="A144">
        <v>27338</v>
      </c>
      <c r="B144" t="s">
        <v>93</v>
      </c>
      <c r="C144" s="279">
        <v>21</v>
      </c>
      <c r="D144">
        <v>67</v>
      </c>
      <c r="E144" t="s">
        <v>3572</v>
      </c>
      <c r="F144">
        <v>327</v>
      </c>
      <c r="H144" s="362">
        <v>2600.6999999999998</v>
      </c>
      <c r="J144">
        <f t="shared" si="48"/>
        <v>325.22500000000002</v>
      </c>
      <c r="K144">
        <f t="shared" si="42"/>
        <v>3.2522500000000005</v>
      </c>
      <c r="L144">
        <f t="shared" si="43"/>
        <v>4.065312500000001</v>
      </c>
      <c r="M144">
        <f t="shared" si="44"/>
        <v>114.19462812500002</v>
      </c>
      <c r="N144">
        <f t="shared" si="45"/>
        <v>244.28462812500007</v>
      </c>
      <c r="O144" s="521">
        <f t="shared" si="46"/>
        <v>4.3909189112546629</v>
      </c>
      <c r="P144" s="521">
        <f t="shared" si="47"/>
        <v>9.3930337264967161</v>
      </c>
    </row>
    <row r="145" spans="1:18">
      <c r="A145">
        <v>27339</v>
      </c>
      <c r="B145" t="s">
        <v>3595</v>
      </c>
      <c r="C145" s="279"/>
      <c r="D145">
        <v>68</v>
      </c>
      <c r="E145" t="s">
        <v>3572</v>
      </c>
      <c r="F145">
        <v>1.7</v>
      </c>
      <c r="H145" s="279"/>
      <c r="O145" s="521"/>
      <c r="P145" s="521"/>
    </row>
    <row r="146" spans="1:18" s="277" customFormat="1">
      <c r="A146" s="277">
        <v>27340</v>
      </c>
      <c r="B146" s="277" t="s">
        <v>3307</v>
      </c>
      <c r="C146" s="310" t="s">
        <v>3588</v>
      </c>
      <c r="D146" s="277">
        <v>69</v>
      </c>
      <c r="E146" s="277" t="s">
        <v>3572</v>
      </c>
      <c r="F146" s="277">
        <v>265.10000000000002</v>
      </c>
      <c r="H146" s="310">
        <v>2109.6</v>
      </c>
      <c r="J146" s="277">
        <f t="shared" si="48"/>
        <v>263.32500000000005</v>
      </c>
      <c r="K146" s="277">
        <f t="shared" si="42"/>
        <v>2.6332500000000003</v>
      </c>
      <c r="L146" s="277">
        <f t="shared" si="43"/>
        <v>3.2915625000000004</v>
      </c>
      <c r="M146" s="277">
        <f t="shared" si="44"/>
        <v>92.459990625000017</v>
      </c>
      <c r="N146" s="277">
        <f t="shared" si="45"/>
        <v>197.78999062500003</v>
      </c>
      <c r="O146" s="277">
        <f t="shared" si="46"/>
        <v>4.3828209435438001</v>
      </c>
      <c r="P146" s="277">
        <f t="shared" si="47"/>
        <v>9.3757105908703089</v>
      </c>
      <c r="R146" s="277">
        <f>((O146-AVERAGE(O89,O117,O128,O146,O147))/AVERAGE(O89,O117,O128,O146,O147))*100</f>
        <v>3.5058552285050135</v>
      </c>
    </row>
    <row r="147" spans="1:18" s="277" customFormat="1">
      <c r="A147" s="277">
        <v>27341</v>
      </c>
      <c r="B147" s="277" t="s">
        <v>3307</v>
      </c>
      <c r="C147" s="310" t="s">
        <v>3589</v>
      </c>
      <c r="D147" s="277">
        <v>70</v>
      </c>
      <c r="E147" s="277" t="s">
        <v>3572</v>
      </c>
      <c r="F147" s="277">
        <v>335.4</v>
      </c>
      <c r="H147" s="310">
        <v>2797.3</v>
      </c>
      <c r="J147" s="277">
        <f t="shared" si="48"/>
        <v>333.625</v>
      </c>
      <c r="K147" s="277">
        <f t="shared" si="42"/>
        <v>3.3362500000000002</v>
      </c>
      <c r="L147" s="277">
        <f t="shared" si="43"/>
        <v>4.1703125000000005</v>
      </c>
      <c r="M147" s="277">
        <f t="shared" si="44"/>
        <v>117.14407812500002</v>
      </c>
      <c r="N147" s="277">
        <f t="shared" si="45"/>
        <v>250.59407812500004</v>
      </c>
      <c r="O147" s="277">
        <f t="shared" si="46"/>
        <v>4.1877552684731709</v>
      </c>
      <c r="P147" s="277">
        <f t="shared" si="47"/>
        <v>8.958426987630931</v>
      </c>
      <c r="R147" s="277">
        <f>((O147-AVERAGE(O89,O117,O128,O146,O147))/AVERAGE(O89,O117,O128,O146,O147)*100)</f>
        <v>-1.10086719615919</v>
      </c>
    </row>
    <row r="149" spans="1:18" ht="58">
      <c r="B149" s="143" t="s">
        <v>3596</v>
      </c>
      <c r="C149" s="143" t="s">
        <v>3597</v>
      </c>
      <c r="D149" s="143" t="s">
        <v>3384</v>
      </c>
      <c r="O149" s="521"/>
      <c r="P149" s="521"/>
    </row>
    <row r="150" spans="1:18">
      <c r="B150">
        <f>AVERAGE(O146,O147,O128,O117,O89)</f>
        <v>4.2343700594213249</v>
      </c>
      <c r="C150">
        <f>_xlfn.STDEV.P(O147,O146,O128,O117,O89)</f>
        <v>7.610904197557336E-2</v>
      </c>
      <c r="D150">
        <f>((O89-$B$150)/$B$150)*100</f>
        <v>-0.49987077211640152</v>
      </c>
      <c r="E150" t="s">
        <v>3388</v>
      </c>
      <c r="O150" s="521"/>
      <c r="P150" s="521"/>
    </row>
    <row r="151" spans="1:18">
      <c r="D151">
        <f t="shared" ref="D151:D154" si="49">((O90-$B$150)/$B$150)*100</f>
        <v>1.9643229396134645</v>
      </c>
      <c r="E151" t="s">
        <v>3393</v>
      </c>
      <c r="O151" s="521"/>
      <c r="P151" s="521"/>
    </row>
    <row r="152" spans="1:18">
      <c r="D152">
        <f t="shared" si="49"/>
        <v>0.97784153408773633</v>
      </c>
      <c r="E152" t="s">
        <v>3398</v>
      </c>
      <c r="O152" s="521"/>
      <c r="P152" s="521"/>
    </row>
    <row r="153" spans="1:18">
      <c r="D153">
        <f>((O92-$B$150)/$B$150)*100</f>
        <v>0.19163871143452943</v>
      </c>
      <c r="E153" t="s">
        <v>3403</v>
      </c>
      <c r="O153" s="521"/>
      <c r="P153" s="521"/>
    </row>
    <row r="154" spans="1:18">
      <c r="D154">
        <f t="shared" si="49"/>
        <v>1.2382592392655842</v>
      </c>
      <c r="E154" t="s">
        <v>3598</v>
      </c>
      <c r="O154" s="521"/>
      <c r="P154" s="521"/>
    </row>
    <row r="157" spans="1:18">
      <c r="A157" t="s">
        <v>3599</v>
      </c>
      <c r="O157" s="521"/>
      <c r="P157" s="521"/>
    </row>
    <row r="158" spans="1:18">
      <c r="B158">
        <v>1</v>
      </c>
      <c r="C158">
        <v>2</v>
      </c>
      <c r="O158" s="521"/>
      <c r="P158" s="521"/>
    </row>
    <row r="159" spans="1:18" ht="16">
      <c r="A159" t="s">
        <v>3600</v>
      </c>
      <c r="B159" s="359">
        <v>3.8148979999999999</v>
      </c>
      <c r="C159" s="359">
        <v>3.8108569999999999</v>
      </c>
      <c r="F159">
        <f>((B159-C159)/AVERAGE(B159:C159))*100</f>
        <v>0.10598294857361563</v>
      </c>
      <c r="O159" s="521"/>
      <c r="P159" s="521"/>
    </row>
    <row r="160" spans="1:18" ht="16">
      <c r="A160" t="s">
        <v>3601</v>
      </c>
      <c r="B160" s="359">
        <v>8.160812</v>
      </c>
      <c r="C160" s="359">
        <v>8.1521690000000007</v>
      </c>
      <c r="F160">
        <f>((B160-C160)/AVERAGE(B160:C160))*100</f>
        <v>0.10596469155452692</v>
      </c>
      <c r="O160" s="521"/>
      <c r="P160" s="521"/>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65D3E-F41D-4D2B-8738-08214B63FC50}">
  <dimension ref="A1:AK93"/>
  <sheetViews>
    <sheetView workbookViewId="0">
      <pane xSplit="3" topLeftCell="D1" activePane="topRight" state="frozen"/>
      <selection pane="topRight" activeCell="Q21" sqref="Q21"/>
    </sheetView>
  </sheetViews>
  <sheetFormatPr defaultRowHeight="14.5"/>
  <cols>
    <col min="1" max="1" width="30.7265625" customWidth="1"/>
    <col min="4" max="4" width="9" bestFit="1" customWidth="1"/>
    <col min="5" max="5" width="21.1796875" customWidth="1"/>
    <col min="6" max="6" width="9" bestFit="1" customWidth="1"/>
    <col min="7" max="7" width="27.453125" customWidth="1"/>
    <col min="8" max="8" width="9" bestFit="1" customWidth="1"/>
    <col min="9" max="9" width="30" bestFit="1" customWidth="1"/>
    <col min="10" max="10" width="9" bestFit="1" customWidth="1"/>
    <col min="12" max="15" width="9" bestFit="1" customWidth="1"/>
    <col min="18" max="19" width="9" bestFit="1" customWidth="1"/>
    <col min="20" max="22" width="10.7265625" bestFit="1" customWidth="1"/>
    <col min="23" max="23" width="13.81640625" customWidth="1"/>
    <col min="24" max="24" width="16.453125" customWidth="1"/>
    <col min="28" max="29" width="9" bestFit="1" customWidth="1"/>
    <col min="32" max="32" width="12" bestFit="1" customWidth="1"/>
    <col min="33" max="35" width="9" bestFit="1" customWidth="1"/>
    <col min="37" max="37" width="9" bestFit="1" customWidth="1"/>
  </cols>
  <sheetData>
    <row r="1" spans="1:37">
      <c r="A1" s="1" t="s">
        <v>31</v>
      </c>
      <c r="B1" s="1" t="s">
        <v>2976</v>
      </c>
      <c r="C1" s="1" t="s">
        <v>2977</v>
      </c>
      <c r="D1" s="102" t="s">
        <v>2978</v>
      </c>
      <c r="E1" s="103" t="s">
        <v>2979</v>
      </c>
      <c r="F1" s="104" t="s">
        <v>3602</v>
      </c>
      <c r="G1" s="105" t="s">
        <v>3603</v>
      </c>
      <c r="H1" s="1" t="s">
        <v>3236</v>
      </c>
      <c r="I1" s="104" t="s">
        <v>3604</v>
      </c>
      <c r="J1" s="106" t="s">
        <v>3604</v>
      </c>
      <c r="K1" s="106" t="s">
        <v>3605</v>
      </c>
      <c r="L1" s="106" t="s">
        <v>3606</v>
      </c>
      <c r="M1" s="72" t="s">
        <v>3238</v>
      </c>
      <c r="N1" s="72" t="s">
        <v>3239</v>
      </c>
      <c r="O1" s="72" t="s">
        <v>3237</v>
      </c>
      <c r="P1" s="72" t="s">
        <v>3607</v>
      </c>
      <c r="Q1" s="106" t="s">
        <v>3608</v>
      </c>
      <c r="R1" s="106" t="s">
        <v>3114</v>
      </c>
      <c r="S1" s="106" t="s">
        <v>3118</v>
      </c>
      <c r="T1" s="107" t="s">
        <v>3236</v>
      </c>
      <c r="U1" s="107" t="s">
        <v>3236</v>
      </c>
      <c r="V1" s="108" t="s">
        <v>3609</v>
      </c>
      <c r="W1" s="1" t="s">
        <v>3236</v>
      </c>
      <c r="X1" s="1" t="s">
        <v>3236</v>
      </c>
      <c r="Y1" s="103" t="s">
        <v>2978</v>
      </c>
      <c r="Z1" s="1" t="s">
        <v>25</v>
      </c>
      <c r="AA1" s="1"/>
      <c r="AB1" s="109" t="s">
        <v>3610</v>
      </c>
      <c r="AC1" s="109" t="s">
        <v>3610</v>
      </c>
      <c r="AD1" s="110" t="s">
        <v>3611</v>
      </c>
      <c r="AE1" s="110" t="s">
        <v>3612</v>
      </c>
      <c r="AF1" t="s">
        <v>3613</v>
      </c>
      <c r="AG1" s="110" t="s">
        <v>3614</v>
      </c>
      <c r="AH1" s="111" t="s">
        <v>3615</v>
      </c>
      <c r="AI1" s="112" t="s">
        <v>3616</v>
      </c>
      <c r="AJ1" s="113" t="s">
        <v>3617</v>
      </c>
      <c r="AK1" s="106" t="s">
        <v>3618</v>
      </c>
    </row>
    <row r="2" spans="1:37">
      <c r="A2" s="114" t="s">
        <v>3619</v>
      </c>
      <c r="D2" s="115" t="s">
        <v>2983</v>
      </c>
      <c r="E2" s="116" t="s">
        <v>2984</v>
      </c>
      <c r="F2" s="117"/>
      <c r="G2" s="118" t="s">
        <v>3620</v>
      </c>
      <c r="H2" t="s">
        <v>3621</v>
      </c>
      <c r="I2" s="119" t="s">
        <v>3622</v>
      </c>
      <c r="J2" s="120"/>
      <c r="K2" s="120"/>
      <c r="L2" s="121" t="s">
        <v>3623</v>
      </c>
      <c r="M2" s="122" t="s">
        <v>3624</v>
      </c>
      <c r="N2" s="122"/>
      <c r="O2" s="122" t="s">
        <v>3625</v>
      </c>
      <c r="P2" s="122"/>
      <c r="Q2" s="120" t="s">
        <v>3626</v>
      </c>
      <c r="R2" s="121"/>
      <c r="S2" s="121"/>
      <c r="T2" s="123" t="s">
        <v>3627</v>
      </c>
      <c r="U2" s="123" t="s">
        <v>3627</v>
      </c>
      <c r="V2" s="124" t="s">
        <v>3627</v>
      </c>
      <c r="W2" t="s">
        <v>3621</v>
      </c>
      <c r="X2" t="s">
        <v>3621</v>
      </c>
      <c r="Y2" s="110" t="s">
        <v>3628</v>
      </c>
      <c r="AB2" s="109" t="s">
        <v>3629</v>
      </c>
      <c r="AC2" s="109" t="s">
        <v>3630</v>
      </c>
      <c r="AD2" s="110" t="s">
        <v>3631</v>
      </c>
      <c r="AE2" s="110" t="s">
        <v>3631</v>
      </c>
      <c r="AF2" t="s">
        <v>3610</v>
      </c>
      <c r="AG2" s="110" t="s">
        <v>3610</v>
      </c>
      <c r="AH2" s="111" t="s">
        <v>3610</v>
      </c>
      <c r="AI2" s="125" t="s">
        <v>3632</v>
      </c>
      <c r="AJ2" s="53"/>
      <c r="AK2" s="106" t="s">
        <v>3633</v>
      </c>
    </row>
    <row r="3" spans="1:37">
      <c r="A3" s="126"/>
      <c r="D3" s="115"/>
      <c r="E3" s="127" t="s">
        <v>2985</v>
      </c>
      <c r="F3" s="119"/>
      <c r="G3" s="118"/>
      <c r="H3" t="s">
        <v>2984</v>
      </c>
      <c r="I3" s="119" t="s">
        <v>2985</v>
      </c>
      <c r="J3" s="128" t="s">
        <v>2985</v>
      </c>
      <c r="K3" s="128"/>
      <c r="L3" s="129"/>
      <c r="M3" s="122" t="s">
        <v>3634</v>
      </c>
      <c r="N3" s="122"/>
      <c r="O3" s="122" t="s">
        <v>3634</v>
      </c>
      <c r="P3" s="122"/>
      <c r="Q3" s="121"/>
      <c r="R3" s="120" t="s">
        <v>3635</v>
      </c>
      <c r="S3" s="121"/>
      <c r="T3" s="123" t="s">
        <v>3636</v>
      </c>
      <c r="U3" s="123" t="s">
        <v>3637</v>
      </c>
      <c r="V3" s="124" t="s">
        <v>3638</v>
      </c>
      <c r="W3" t="s">
        <v>3639</v>
      </c>
      <c r="X3" t="s">
        <v>3639</v>
      </c>
      <c r="Y3" s="130" t="s">
        <v>3640</v>
      </c>
      <c r="AB3" s="109" t="s">
        <v>3634</v>
      </c>
      <c r="AC3" s="109" t="s">
        <v>3634</v>
      </c>
      <c r="AD3" s="131" t="s">
        <v>3634</v>
      </c>
      <c r="AE3" s="131" t="s">
        <v>3634</v>
      </c>
      <c r="AF3" s="131" t="s">
        <v>3634</v>
      </c>
      <c r="AG3" s="131" t="s">
        <v>3634</v>
      </c>
      <c r="AH3" s="132" t="s">
        <v>3634</v>
      </c>
      <c r="AI3" s="125" t="s">
        <v>3641</v>
      </c>
      <c r="AJ3" s="53"/>
    </row>
    <row r="4" spans="1:37">
      <c r="A4" s="133" t="s">
        <v>2987</v>
      </c>
      <c r="B4" s="22"/>
      <c r="C4" s="1"/>
      <c r="D4" s="102" t="s">
        <v>2988</v>
      </c>
      <c r="E4" s="103" t="s">
        <v>2989</v>
      </c>
      <c r="F4" s="104" t="s">
        <v>3642</v>
      </c>
      <c r="G4" s="105"/>
      <c r="H4" s="1" t="s">
        <v>3643</v>
      </c>
      <c r="I4" s="104" t="s">
        <v>3644</v>
      </c>
      <c r="J4" s="106" t="s">
        <v>3645</v>
      </c>
      <c r="K4" s="106"/>
      <c r="L4" s="134"/>
      <c r="M4" s="135" t="s">
        <v>3646</v>
      </c>
      <c r="N4" s="72"/>
      <c r="O4" s="135" t="s">
        <v>3646</v>
      </c>
      <c r="P4" s="135"/>
      <c r="Q4" s="106"/>
      <c r="R4" s="106" t="s">
        <v>3647</v>
      </c>
      <c r="S4" s="1"/>
      <c r="T4" s="107"/>
      <c r="U4" s="107"/>
      <c r="V4" s="108"/>
      <c r="W4" s="1" t="s">
        <v>3643</v>
      </c>
      <c r="X4" s="1" t="s">
        <v>3643</v>
      </c>
      <c r="Y4" s="103" t="s">
        <v>3648</v>
      </c>
      <c r="Z4" s="1"/>
      <c r="AA4" s="1"/>
      <c r="AB4" s="109" t="s">
        <v>3646</v>
      </c>
      <c r="AC4" s="109" t="s">
        <v>3646</v>
      </c>
      <c r="AD4" s="110" t="s">
        <v>3649</v>
      </c>
      <c r="AE4" s="110" t="s">
        <v>3649</v>
      </c>
      <c r="AF4" s="109" t="s">
        <v>3646</v>
      </c>
      <c r="AG4" s="109" t="s">
        <v>3646</v>
      </c>
      <c r="AH4" s="132" t="s">
        <v>3646</v>
      </c>
      <c r="AI4" s="112" t="s">
        <v>3088</v>
      </c>
      <c r="AJ4" s="53"/>
      <c r="AK4" s="1"/>
    </row>
    <row r="5" spans="1:37">
      <c r="A5" s="1"/>
      <c r="B5" s="136"/>
      <c r="C5" s="136"/>
      <c r="D5" s="137"/>
      <c r="E5" s="116"/>
      <c r="F5" s="138"/>
      <c r="G5" s="118"/>
      <c r="H5" s="136"/>
      <c r="I5" s="138"/>
      <c r="J5" s="139"/>
      <c r="K5" s="139"/>
      <c r="L5" s="139"/>
      <c r="M5" s="140"/>
      <c r="N5" s="140"/>
      <c r="O5" s="140"/>
      <c r="P5" s="140"/>
      <c r="Q5" s="121"/>
      <c r="R5" s="461"/>
      <c r="S5" s="139"/>
      <c r="T5" s="141"/>
      <c r="U5" s="141"/>
      <c r="V5" s="142"/>
      <c r="W5" t="s">
        <v>3650</v>
      </c>
      <c r="X5" t="s">
        <v>3651</v>
      </c>
      <c r="Y5" s="143"/>
      <c r="Z5" s="136"/>
      <c r="AA5" s="136"/>
      <c r="AB5" s="109"/>
      <c r="AC5" s="109"/>
      <c r="AD5" s="110"/>
      <c r="AE5" s="110"/>
      <c r="AG5" s="110"/>
      <c r="AH5" s="144"/>
      <c r="AI5" s="145"/>
      <c r="AJ5" s="53"/>
    </row>
    <row r="6" spans="1:37" s="27" customFormat="1">
      <c r="A6" s="207" t="str">
        <f>'sample processing comments'!A5</f>
        <v>Deployment 8/5/2022 IN2022_V03</v>
      </c>
      <c r="B6" s="206" t="str">
        <f>'sample processing comments'!B5</f>
        <v>McLane-PARFLUX-Mark78H-21 ; frame# 12419-01, controller# 12419-01 and Motor # 12419-01 Cup set AAx21</v>
      </c>
      <c r="C6" s="146"/>
      <c r="D6" s="160"/>
      <c r="E6" s="161"/>
      <c r="F6" s="162"/>
      <c r="G6" s="146"/>
      <c r="H6" s="460"/>
      <c r="I6" s="207" t="s">
        <v>2994</v>
      </c>
      <c r="J6" s="146"/>
      <c r="K6" s="146"/>
      <c r="L6" s="146"/>
      <c r="M6" s="163"/>
      <c r="N6" s="163"/>
      <c r="O6" s="163"/>
      <c r="P6" s="163"/>
      <c r="Q6" s="164"/>
      <c r="R6" s="126"/>
      <c r="S6" s="146"/>
      <c r="T6" s="165"/>
      <c r="U6" s="165"/>
      <c r="V6" s="166"/>
      <c r="W6" s="151">
        <v>0</v>
      </c>
      <c r="X6" s="462"/>
      <c r="Y6" s="459"/>
      <c r="Z6" s="146"/>
      <c r="AA6" s="146"/>
      <c r="AB6" s="170"/>
      <c r="AC6" s="170"/>
      <c r="AD6" s="171"/>
      <c r="AE6" s="171"/>
      <c r="AF6" s="160"/>
      <c r="AG6" s="171"/>
      <c r="AH6" s="146"/>
      <c r="AI6" s="205" t="s">
        <v>3652</v>
      </c>
      <c r="AJ6" s="146"/>
      <c r="AK6" s="160"/>
    </row>
    <row r="7" spans="1:37" s="44" customFormat="1">
      <c r="A7" s="44">
        <v>2022</v>
      </c>
      <c r="B7" s="44" t="str">
        <f>'sample processing comments'!B6</f>
        <v>47_1000</v>
      </c>
      <c r="C7" s="44" t="str">
        <f>'sample processing comments'!C6</f>
        <v>AA1</v>
      </c>
      <c r="D7" s="44">
        <f>'sample processing comments'!D6</f>
        <v>4</v>
      </c>
      <c r="E7" s="208">
        <f>'mass filt'!V6</f>
        <v>296</v>
      </c>
      <c r="F7" s="44">
        <v>0.5</v>
      </c>
      <c r="G7" s="44" t="str">
        <f>'sample processing comments'!H6</f>
        <v>IN2022_V03 carboy 8 12/5/22 04:35 46˚ 46.723, 141˚ 141.228</v>
      </c>
      <c r="H7" s="117">
        <f>U7-T7</f>
        <v>17</v>
      </c>
      <c r="I7" s="44">
        <f>E7/F7/H7</f>
        <v>34.823529411764703</v>
      </c>
      <c r="J7" s="44">
        <f>0.001*365.25*E7/F7/H7</f>
        <v>12.71929411764706</v>
      </c>
      <c r="L7" s="44">
        <v>1</v>
      </c>
      <c r="M7" s="208">
        <f>'CHN data'!E102</f>
        <v>14.902379035949707</v>
      </c>
      <c r="N7" s="208">
        <f>'CHN data'!F102</f>
        <v>0.845958411693573</v>
      </c>
      <c r="O7" s="208">
        <f>'CHN data'!D102</f>
        <v>0.90104067325592041</v>
      </c>
      <c r="P7" s="44">
        <v>3</v>
      </c>
      <c r="Q7" s="64"/>
      <c r="R7" s="44">
        <f>pH_Sal!E3</f>
        <v>39.662176507611733</v>
      </c>
      <c r="S7" s="44">
        <f>pH_Sal!M3</f>
        <v>8.5500000000000007</v>
      </c>
      <c r="T7" s="63">
        <f>Schedule!B17</f>
        <v>44696</v>
      </c>
      <c r="U7" s="63">
        <f>Schedule!B18</f>
        <v>44713</v>
      </c>
      <c r="V7" s="63">
        <f>AVERAGE(T7:U7)</f>
        <v>44704.5</v>
      </c>
      <c r="W7" s="117">
        <f>H7+W6</f>
        <v>17</v>
      </c>
      <c r="X7">
        <v>0</v>
      </c>
      <c r="Y7" s="44">
        <f>D7/0.5/H7</f>
        <v>0.47058823529411764</v>
      </c>
      <c r="AB7" s="44">
        <f>'BSi data'!$W22</f>
        <v>1.8543522121202669</v>
      </c>
      <c r="AC7" s="44">
        <f>'BSi data'!$X22</f>
        <v>3.9668218022893145</v>
      </c>
      <c r="AF7" s="44">
        <f>'PIC data_CWE_QC'!AF8</f>
        <v>78.722118949989266</v>
      </c>
      <c r="AG7" s="44">
        <f>AF7*12.01/100.0869</f>
        <v>9.4463176358681409</v>
      </c>
      <c r="AH7" s="208">
        <f>M7-AG7</f>
        <v>5.4560614000815661</v>
      </c>
      <c r="AI7" s="208">
        <f>AF7+(AC7*1.11)+(AH7*2.2)+3.7</f>
        <v>98.828626230709844</v>
      </c>
      <c r="AJ7" s="208"/>
      <c r="AK7" s="208">
        <f>(AH7/12.01)/(O7/14.01)</f>
        <v>7.0636631623080017</v>
      </c>
    </row>
    <row r="8" spans="1:37" s="44" customFormat="1">
      <c r="A8" s="44">
        <v>2022</v>
      </c>
      <c r="B8" s="44" t="str">
        <f>'sample processing comments'!B7</f>
        <v>47_1000</v>
      </c>
      <c r="C8" s="44" t="str">
        <f>'sample processing comments'!C7</f>
        <v>AA2</v>
      </c>
      <c r="D8" s="44">
        <f>'sample processing comments'!D7</f>
        <v>3</v>
      </c>
      <c r="E8" s="208">
        <f>'mass filt'!V7</f>
        <v>196.99999999999994</v>
      </c>
      <c r="F8" s="44">
        <v>0.5</v>
      </c>
      <c r="G8" s="44" t="str">
        <f>'sample processing comments'!H7</f>
        <v>IN2022_V03 carboy 8 12/5/22 04:35 46˚ 46.723, 141˚ 141.228</v>
      </c>
      <c r="H8" s="117">
        <f t="shared" ref="H8:H27" si="0">U8-T8</f>
        <v>17</v>
      </c>
      <c r="I8" s="44">
        <f t="shared" ref="I8:I27" si="1">E8/F8/H8</f>
        <v>23.176470588235286</v>
      </c>
      <c r="J8" s="44">
        <f t="shared" ref="J8:J27" si="2">0.001*365.25*E8/F8/H8</f>
        <v>8.4652058823529401</v>
      </c>
      <c r="L8" s="44">
        <v>1</v>
      </c>
      <c r="M8" s="208">
        <f>AVERAGE('CHN data'!E103,'CHN data'!E110)</f>
        <v>14.881267070770264</v>
      </c>
      <c r="N8" s="208">
        <f>AVERAGE('CHN data'!F103,'CHN data'!F110)</f>
        <v>0.81485012173652649</v>
      </c>
      <c r="O8" s="208">
        <f>AVERAGE('CHN data'!D103,'CHN data'!D110)</f>
        <v>0.86952000856399536</v>
      </c>
      <c r="P8" s="44">
        <v>3</v>
      </c>
      <c r="Q8" s="64"/>
      <c r="R8" s="44">
        <f>pH_Sal!E4</f>
        <v>39.880126340086932</v>
      </c>
      <c r="S8" s="44">
        <f>pH_Sal!M4</f>
        <v>8.6199999999999992</v>
      </c>
      <c r="T8" s="63">
        <f>Schedule!B18</f>
        <v>44713</v>
      </c>
      <c r="U8" s="63">
        <f>Schedule!B19</f>
        <v>44730</v>
      </c>
      <c r="V8" s="63">
        <f t="shared" ref="V8:V27" si="3">AVERAGE(T8:U8)</f>
        <v>44721.5</v>
      </c>
      <c r="W8" s="117">
        <f t="shared" ref="W8:W27" si="4">H8+W7</f>
        <v>34</v>
      </c>
      <c r="X8">
        <f>X7+H8</f>
        <v>17</v>
      </c>
      <c r="Y8" s="44">
        <f t="shared" ref="Y8:Y27" si="5">D8/0.5/H8</f>
        <v>0.35294117647058826</v>
      </c>
      <c r="AB8" s="44">
        <f>'BSi data'!$W23</f>
        <v>1.7915246792626323</v>
      </c>
      <c r="AC8" s="44">
        <f>'BSi data'!$X23</f>
        <v>3.8324214302916193</v>
      </c>
      <c r="AF8" s="44">
        <f>'PIC data_CWE_QC'!AF9</f>
        <v>76.579818615124523</v>
      </c>
      <c r="AG8" s="44">
        <f t="shared" ref="AG8:AG27" si="6">AF8*12.01/100.0869</f>
        <v>9.1892507567688231</v>
      </c>
      <c r="AH8" s="44">
        <f t="shared" ref="AH8:AH27" si="7">M8-AG8</f>
        <v>5.6920163140014406</v>
      </c>
      <c r="AI8" s="208">
        <f t="shared" ref="AI8:AI27" si="8">AF8+(AC8*1.11)+(AH8*2.2)+3.7</f>
        <v>97.056242293551392</v>
      </c>
      <c r="AJ8" s="208"/>
      <c r="AK8" s="208">
        <f t="shared" ref="AK8:AK27" si="9">(AH8/12.01)/(O8/14.01)</f>
        <v>7.6362771813179213</v>
      </c>
    </row>
    <row r="9" spans="1:37" s="44" customFormat="1">
      <c r="A9" s="44">
        <v>2022</v>
      </c>
      <c r="B9" s="44" t="str">
        <f>'sample processing comments'!B8</f>
        <v>47_1000</v>
      </c>
      <c r="C9" s="44" t="str">
        <f>'sample processing comments'!C8</f>
        <v>AA3</v>
      </c>
      <c r="D9" s="44">
        <f>'sample processing comments'!D8</f>
        <v>4</v>
      </c>
      <c r="E9" s="208">
        <f>'mass filt'!V8</f>
        <v>244.14285714285714</v>
      </c>
      <c r="F9" s="44">
        <v>0.5</v>
      </c>
      <c r="G9" s="44" t="str">
        <f>'sample processing comments'!H8</f>
        <v>IN2022_V03 carboy 8 12/5/22 04:35 46˚ 46.723, 141˚ 141.228</v>
      </c>
      <c r="H9" s="117">
        <f t="shared" si="0"/>
        <v>17</v>
      </c>
      <c r="I9" s="44">
        <f t="shared" si="1"/>
        <v>28.722689075630253</v>
      </c>
      <c r="J9" s="44">
        <f t="shared" si="2"/>
        <v>10.49096218487395</v>
      </c>
      <c r="L9" s="44">
        <v>1</v>
      </c>
      <c r="M9" s="208">
        <f>'CHN data'!E104</f>
        <v>15.738003730773926</v>
      </c>
      <c r="N9" s="208">
        <f>'CHN data'!F104</f>
        <v>1.0761508941650391</v>
      </c>
      <c r="O9" s="208">
        <f>'CHN data'!D104</f>
        <v>1.1210634708404541</v>
      </c>
      <c r="P9" s="44">
        <v>3</v>
      </c>
      <c r="Q9" s="64"/>
      <c r="R9" s="44">
        <f>AVERAGE(pH_Sal!E5,pH_Sal!I5)</f>
        <v>39.625873005066651</v>
      </c>
      <c r="S9" s="44">
        <f>AVERAGE(pH_Sal!M5,pH_Sal!P5)</f>
        <v>8.5150000000000006</v>
      </c>
      <c r="T9" s="63">
        <f>Schedule!B19</f>
        <v>44730</v>
      </c>
      <c r="U9" s="63">
        <f>Schedule!B20</f>
        <v>44747</v>
      </c>
      <c r="V9" s="63">
        <f t="shared" si="3"/>
        <v>44738.5</v>
      </c>
      <c r="W9" s="117">
        <f t="shared" si="4"/>
        <v>51</v>
      </c>
      <c r="X9">
        <f t="shared" ref="X9:X27" si="10">X8+H9</f>
        <v>34</v>
      </c>
      <c r="Y9" s="44">
        <f t="shared" si="5"/>
        <v>0.47058823529411764</v>
      </c>
      <c r="AB9" s="44">
        <f>'BSi data'!$W24</f>
        <v>3.1310526065667879</v>
      </c>
      <c r="AC9" s="44">
        <f>'BSi data'!$X24</f>
        <v>6.6979334684442264</v>
      </c>
      <c r="AF9" s="44">
        <f>'PIC data_CWE_QC'!AF10</f>
        <v>70.410326660009275</v>
      </c>
      <c r="AG9" s="44">
        <f t="shared" si="6"/>
        <v>8.4489381046541698</v>
      </c>
      <c r="AH9" s="44">
        <f t="shared" si="7"/>
        <v>7.2890656261197559</v>
      </c>
      <c r="AI9" s="208">
        <f t="shared" si="8"/>
        <v>97.580977187445839</v>
      </c>
      <c r="AJ9" s="208"/>
      <c r="AK9" s="208">
        <f t="shared" si="9"/>
        <v>7.5846716898898716</v>
      </c>
    </row>
    <row r="10" spans="1:37" s="393" customFormat="1">
      <c r="A10" s="393">
        <v>2022</v>
      </c>
      <c r="B10" s="393" t="str">
        <f>'sample processing comments'!B9</f>
        <v>47_1000</v>
      </c>
      <c r="C10" s="393" t="str">
        <f>'sample processing comments'!C9</f>
        <v>AA4</v>
      </c>
      <c r="D10" s="393">
        <f>'sample processing comments'!D9</f>
        <v>10</v>
      </c>
      <c r="E10" s="394">
        <f>'mass filt'!V9</f>
        <v>491.42857142857144</v>
      </c>
      <c r="F10" s="393">
        <v>0.5</v>
      </c>
      <c r="G10" s="393" t="str">
        <f>'sample processing comments'!H9</f>
        <v>IN2022_V03 carboy 8 12/5/22 04:35 46˚ 46.723, 141˚ 141.228</v>
      </c>
      <c r="H10" s="117">
        <f t="shared" si="0"/>
        <v>17</v>
      </c>
      <c r="I10" s="393">
        <f t="shared" si="1"/>
        <v>57.815126050420169</v>
      </c>
      <c r="J10" s="393">
        <f t="shared" si="2"/>
        <v>21.116974789915968</v>
      </c>
      <c r="L10" s="393">
        <v>1</v>
      </c>
      <c r="M10" s="394">
        <f>'CHN data'!E105</f>
        <v>32.558025360107422</v>
      </c>
      <c r="N10" s="394">
        <f>'CHN data'!F105</f>
        <v>4.2740774154663086</v>
      </c>
      <c r="O10" s="394">
        <f>'CHN data'!D105</f>
        <v>5.1731257438659668</v>
      </c>
      <c r="P10" s="393" t="s">
        <v>3653</v>
      </c>
      <c r="Q10" s="395"/>
      <c r="R10" s="44">
        <f>pH_Sal!E6</f>
        <v>36.837788925598666</v>
      </c>
      <c r="S10" s="393">
        <f>pH_Sal!M6</f>
        <v>8.61</v>
      </c>
      <c r="T10" s="396">
        <f>Schedule!B20</f>
        <v>44747</v>
      </c>
      <c r="U10" s="396">
        <f>Schedule!B21</f>
        <v>44764</v>
      </c>
      <c r="V10" s="396">
        <f t="shared" si="3"/>
        <v>44755.5</v>
      </c>
      <c r="W10" s="117">
        <f t="shared" si="4"/>
        <v>68</v>
      </c>
      <c r="X10">
        <f t="shared" si="10"/>
        <v>51</v>
      </c>
      <c r="Y10" s="44">
        <f t="shared" si="5"/>
        <v>1.1764705882352942</v>
      </c>
      <c r="Z10" s="393" t="s">
        <v>3654</v>
      </c>
      <c r="AB10" s="393">
        <f>'BSi data'!$W25</f>
        <v>1.934019153225806</v>
      </c>
      <c r="AC10" s="393">
        <f>'BSi data'!$X25</f>
        <v>4.1372449596774192</v>
      </c>
      <c r="AF10" s="393">
        <f>'PIC data_CWE_QC'!AF11</f>
        <v>31.111994045249531</v>
      </c>
      <c r="AG10" s="393">
        <f t="shared" si="6"/>
        <v>3.7333062417104226</v>
      </c>
      <c r="AH10" s="393">
        <f t="shared" si="7"/>
        <v>28.824719118396999</v>
      </c>
      <c r="AI10" s="394">
        <f t="shared" si="8"/>
        <v>102.81871801096487</v>
      </c>
      <c r="AJ10" s="394"/>
      <c r="AK10" s="394">
        <f t="shared" si="9"/>
        <v>6.4999075097951025</v>
      </c>
    </row>
    <row r="11" spans="1:37" s="44" customFormat="1">
      <c r="A11" s="44">
        <v>2022</v>
      </c>
      <c r="B11" s="44" t="str">
        <f>'sample processing comments'!B10</f>
        <v>47_1000</v>
      </c>
      <c r="C11" s="44" t="str">
        <f>'sample processing comments'!C10</f>
        <v>AA5</v>
      </c>
      <c r="D11" s="44">
        <f>'sample processing comments'!D10</f>
        <v>12</v>
      </c>
      <c r="E11" s="208">
        <f>'mass filt'!V12</f>
        <v>200.99999999999997</v>
      </c>
      <c r="F11" s="44">
        <v>0.5</v>
      </c>
      <c r="G11" s="44" t="str">
        <f>'sample processing comments'!H10</f>
        <v>IN2022_V03 carboy 8 12/5/22 04:35 46˚ 46.723, 141˚ 141.228</v>
      </c>
      <c r="H11" s="117">
        <f t="shared" si="0"/>
        <v>17</v>
      </c>
      <c r="I11" s="44">
        <f t="shared" si="1"/>
        <v>23.647058823529409</v>
      </c>
      <c r="J11" s="44">
        <f t="shared" si="2"/>
        <v>8.637088235294117</v>
      </c>
      <c r="L11" s="44">
        <v>1</v>
      </c>
      <c r="M11" s="208">
        <f>'CHN data'!E106</f>
        <v>21.180381774902344</v>
      </c>
      <c r="N11" s="208">
        <f>'CHN data'!F106</f>
        <v>2.2363741397857666</v>
      </c>
      <c r="O11" s="208">
        <f>'CHN data'!D106</f>
        <v>2.7678661346435547</v>
      </c>
      <c r="P11" s="44">
        <v>3</v>
      </c>
      <c r="Q11" s="64"/>
      <c r="R11" s="44">
        <f>pH_Sal!E7</f>
        <v>37.777374168095484</v>
      </c>
      <c r="S11" s="44">
        <f>pH_Sal!M7</f>
        <v>8.1999999999999993</v>
      </c>
      <c r="T11" s="63">
        <f>Schedule!B21</f>
        <v>44764</v>
      </c>
      <c r="U11" s="63">
        <f>Schedule!B22</f>
        <v>44781</v>
      </c>
      <c r="V11" s="63">
        <f t="shared" si="3"/>
        <v>44772.5</v>
      </c>
      <c r="W11" s="117">
        <f t="shared" si="4"/>
        <v>85</v>
      </c>
      <c r="X11">
        <f t="shared" si="10"/>
        <v>68</v>
      </c>
      <c r="Y11" s="44">
        <f t="shared" si="5"/>
        <v>1.411764705882353</v>
      </c>
      <c r="AB11" s="44">
        <f>'BSi data'!$W26</f>
        <v>1.8483369850271214</v>
      </c>
      <c r="AC11" s="44">
        <f>'BSi data'!$X26</f>
        <v>3.9539540559017357</v>
      </c>
      <c r="AF11" s="44">
        <f>'PIC data_CWE_QC'!AF12</f>
        <v>51.801318458338926</v>
      </c>
      <c r="AG11" s="44">
        <f t="shared" si="6"/>
        <v>6.2159366978560682</v>
      </c>
      <c r="AH11" s="44">
        <f t="shared" si="7"/>
        <v>14.964445077046275</v>
      </c>
      <c r="AI11" s="208">
        <f t="shared" si="8"/>
        <v>92.811986629891663</v>
      </c>
      <c r="AJ11" s="208"/>
      <c r="AK11" s="208">
        <f t="shared" si="9"/>
        <v>6.3068232865265594</v>
      </c>
    </row>
    <row r="12" spans="1:37" s="44" customFormat="1">
      <c r="A12" s="44">
        <v>2022</v>
      </c>
      <c r="B12" s="44" t="str">
        <f>'sample processing comments'!B11</f>
        <v>47_1000</v>
      </c>
      <c r="C12" s="44" t="str">
        <f>'sample processing comments'!C11</f>
        <v>AA6</v>
      </c>
      <c r="D12" s="44">
        <f>'sample processing comments'!D11</f>
        <v>2</v>
      </c>
      <c r="E12" s="208">
        <f>'mass filt'!V13</f>
        <v>213.28571428571428</v>
      </c>
      <c r="F12" s="44">
        <v>0.5</v>
      </c>
      <c r="G12" s="44" t="str">
        <f>'sample processing comments'!H11</f>
        <v>IN2022_V03 carboy 8 12/5/22 04:35 46˚ 46.723, 141˚ 141.228</v>
      </c>
      <c r="H12" s="117">
        <f t="shared" si="0"/>
        <v>17</v>
      </c>
      <c r="I12" s="44">
        <f t="shared" si="1"/>
        <v>25.092436974789916</v>
      </c>
      <c r="J12" s="44">
        <f t="shared" si="2"/>
        <v>9.1650126050420173</v>
      </c>
      <c r="L12" s="44">
        <v>1</v>
      </c>
      <c r="M12" s="208">
        <f>AVERAGE('CHN data'!E111,'CHN data'!E118)</f>
        <v>15.060200214385986</v>
      </c>
      <c r="N12" s="208">
        <f>AVERAGE('CHN data'!F111,'CHN data'!F118)</f>
        <v>1.2020108699798584</v>
      </c>
      <c r="O12" s="208">
        <f>AVERAGE('CHN data'!D111,'CHN data'!D118)</f>
        <v>1.454541027545929</v>
      </c>
      <c r="P12" s="44">
        <v>3</v>
      </c>
      <c r="Q12" s="64"/>
      <c r="R12" s="44">
        <f>pH_Sal!E8</f>
        <v>36.404782807461594</v>
      </c>
      <c r="S12" s="44">
        <f>pH_Sal!M8</f>
        <v>8.58</v>
      </c>
      <c r="T12" s="63">
        <f>Schedule!B22</f>
        <v>44781</v>
      </c>
      <c r="U12" s="63">
        <f>Schedule!B23</f>
        <v>44798</v>
      </c>
      <c r="V12" s="63">
        <f t="shared" si="3"/>
        <v>44789.5</v>
      </c>
      <c r="W12" s="117">
        <f t="shared" si="4"/>
        <v>102</v>
      </c>
      <c r="X12">
        <f t="shared" si="10"/>
        <v>85</v>
      </c>
      <c r="Y12" s="44">
        <f t="shared" si="5"/>
        <v>0.23529411764705882</v>
      </c>
      <c r="AB12" s="44">
        <f>'BSi data'!$W27</f>
        <v>3.0757947641172265</v>
      </c>
      <c r="AC12" s="44">
        <f>'BSi data'!$X27</f>
        <v>6.5797261436740531</v>
      </c>
      <c r="AF12" s="44">
        <f>'PIC data_CWE_QC'!AF13</f>
        <v>62.736503755437198</v>
      </c>
      <c r="AG12" s="44">
        <f t="shared" si="6"/>
        <v>7.52811217155093</v>
      </c>
      <c r="AH12" s="44">
        <f t="shared" si="7"/>
        <v>7.5320880428350563</v>
      </c>
      <c r="AI12" s="208">
        <f>AF12+(AC12*1.11)+(AH12*2.2)+3.7</f>
        <v>90.310593469152522</v>
      </c>
      <c r="AJ12" s="208"/>
      <c r="AK12" s="208">
        <f t="shared" si="9"/>
        <v>6.0406620585345348</v>
      </c>
    </row>
    <row r="13" spans="1:37" s="44" customFormat="1">
      <c r="A13" s="44">
        <v>2022</v>
      </c>
      <c r="B13" s="44" t="str">
        <f>'sample processing comments'!B12</f>
        <v>47_1000</v>
      </c>
      <c r="C13" s="44" t="str">
        <f>'sample processing comments'!C12</f>
        <v>AA7</v>
      </c>
      <c r="D13" s="44">
        <f>'sample processing comments'!D12</f>
        <v>3</v>
      </c>
      <c r="E13" s="208">
        <f>'mass filt'!V14</f>
        <v>141.71428571428569</v>
      </c>
      <c r="F13" s="44">
        <v>0.5</v>
      </c>
      <c r="G13" s="44" t="str">
        <f>'sample processing comments'!H12</f>
        <v>IN2022_V03 carboy 8 12/5/22 04:35 46˚ 46.723, 141˚ 141.228</v>
      </c>
      <c r="H13" s="117">
        <f t="shared" si="0"/>
        <v>17</v>
      </c>
      <c r="I13" s="44">
        <f t="shared" si="1"/>
        <v>16.672268907563023</v>
      </c>
      <c r="J13" s="44">
        <f t="shared" si="2"/>
        <v>6.0895462184873939</v>
      </c>
      <c r="L13" s="44">
        <v>1</v>
      </c>
      <c r="M13" s="208">
        <f>'CHN data'!E112</f>
        <v>14.974660873413086</v>
      </c>
      <c r="N13" s="208">
        <f>'CHN data'!F112</f>
        <v>1.0663160085678101</v>
      </c>
      <c r="O13" s="208">
        <f>'CHN data'!D112</f>
        <v>1.1620010137557983</v>
      </c>
      <c r="P13" s="44">
        <v>3</v>
      </c>
      <c r="Q13" s="64"/>
      <c r="R13" s="44">
        <f>pH_Sal!E9</f>
        <v>39.226567166210792</v>
      </c>
      <c r="S13" s="44">
        <f>pH_Sal!M9</f>
        <v>8.58</v>
      </c>
      <c r="T13" s="63">
        <f>Schedule!B23</f>
        <v>44798</v>
      </c>
      <c r="U13" s="63">
        <f>Schedule!B24</f>
        <v>44815</v>
      </c>
      <c r="V13" s="63">
        <f t="shared" si="3"/>
        <v>44806.5</v>
      </c>
      <c r="W13" s="117">
        <f t="shared" si="4"/>
        <v>119</v>
      </c>
      <c r="X13">
        <f t="shared" si="10"/>
        <v>102</v>
      </c>
      <c r="Y13" s="44">
        <f t="shared" si="5"/>
        <v>0.35294117647058826</v>
      </c>
      <c r="AB13" s="44">
        <f>'BSi data'!$W28</f>
        <v>5.3487334403046445</v>
      </c>
      <c r="AC13" s="44">
        <f>'BSi data'!$X28</f>
        <v>11.44198620248865</v>
      </c>
      <c r="AF13" s="44">
        <f>'PIC data_CWE_QC'!AF14</f>
        <v>67.018420910104922</v>
      </c>
      <c r="AG13" s="44">
        <f t="shared" ref="AG13" si="11">AF13*12.01/100.0869</f>
        <v>8.0419239194176271</v>
      </c>
      <c r="AH13" s="44">
        <f t="shared" ref="AH13" si="12">M13-AG13</f>
        <v>6.9327369539954589</v>
      </c>
      <c r="AI13" s="208">
        <f>AF13+(AC13*1.11)+(AH13*2.2)+3.7</f>
        <v>98.671046893657333</v>
      </c>
      <c r="AJ13" s="208"/>
      <c r="AK13" s="208">
        <f t="shared" si="9"/>
        <v>6.9597452488055955</v>
      </c>
    </row>
    <row r="14" spans="1:37" s="44" customFormat="1">
      <c r="A14" s="44">
        <v>2022</v>
      </c>
      <c r="B14" s="44" t="str">
        <f>'sample processing comments'!B13</f>
        <v>47_1000</v>
      </c>
      <c r="C14" s="44" t="str">
        <f>'sample processing comments'!C13</f>
        <v>AA8</v>
      </c>
      <c r="D14" s="44">
        <f>'sample processing comments'!D13</f>
        <v>10</v>
      </c>
      <c r="E14" s="208">
        <f>'mass filt'!V15</f>
        <v>707.57142857142856</v>
      </c>
      <c r="F14" s="44">
        <v>0.5</v>
      </c>
      <c r="G14" s="44" t="str">
        <f>'sample processing comments'!H13</f>
        <v>IN2022_V03 carboy 8 12/5/22 04:35 46˚ 46.723, 141˚ 141.228</v>
      </c>
      <c r="H14" s="117">
        <f t="shared" si="0"/>
        <v>17</v>
      </c>
      <c r="I14" s="44">
        <f t="shared" si="1"/>
        <v>83.243697478991592</v>
      </c>
      <c r="J14" s="44">
        <f t="shared" si="2"/>
        <v>30.404760504201683</v>
      </c>
      <c r="L14" s="44">
        <v>1</v>
      </c>
      <c r="M14" s="208">
        <f>'CHN data'!E113</f>
        <v>15.46688175201416</v>
      </c>
      <c r="N14" s="208">
        <f>'CHN data'!F113</f>
        <v>1.1465585231781006</v>
      </c>
      <c r="O14" s="208">
        <f>'CHN data'!D113</f>
        <v>1.3534483909606934</v>
      </c>
      <c r="P14" s="44">
        <v>3</v>
      </c>
      <c r="Q14" s="64"/>
      <c r="R14" s="44">
        <f>pH_Sal!E10</f>
        <v>37.777374168095484</v>
      </c>
      <c r="S14" s="44">
        <f>pH_Sal!M10</f>
        <v>8.5</v>
      </c>
      <c r="T14" s="63">
        <f>Schedule!B24</f>
        <v>44815</v>
      </c>
      <c r="U14" s="63">
        <f>Schedule!B25</f>
        <v>44832</v>
      </c>
      <c r="V14" s="63">
        <f t="shared" si="3"/>
        <v>44823.5</v>
      </c>
      <c r="W14" s="117">
        <f t="shared" si="4"/>
        <v>136</v>
      </c>
      <c r="X14">
        <f t="shared" si="10"/>
        <v>119</v>
      </c>
      <c r="Y14" s="44">
        <f t="shared" si="5"/>
        <v>1.1764705882352942</v>
      </c>
      <c r="AB14" s="44">
        <f>'BSi data'!$W29</f>
        <v>5.3750628333004151</v>
      </c>
      <c r="AC14" s="44">
        <f>'BSi data'!$X29</f>
        <v>11.498309920007904</v>
      </c>
      <c r="AF14" s="44">
        <f>'PIC data_CWE_QC'!AF15</f>
        <v>64.136997877553966</v>
      </c>
      <c r="AG14" s="44">
        <f t="shared" si="6"/>
        <v>7.6961654772944623</v>
      </c>
      <c r="AH14" s="44">
        <f t="shared" si="7"/>
        <v>7.7707162747196978</v>
      </c>
      <c r="AI14" s="208">
        <f t="shared" si="8"/>
        <v>97.695697693146073</v>
      </c>
      <c r="AJ14" s="208"/>
      <c r="AK14" s="208">
        <f t="shared" si="9"/>
        <v>6.697527106959507</v>
      </c>
    </row>
    <row r="15" spans="1:37" s="44" customFormat="1">
      <c r="A15" s="44">
        <v>2022</v>
      </c>
      <c r="B15" s="44" t="str">
        <f>'sample processing comments'!B14</f>
        <v>47_1000</v>
      </c>
      <c r="C15" s="44" t="str">
        <f>'sample processing comments'!C14</f>
        <v>AA9</v>
      </c>
      <c r="D15" s="44">
        <f>'sample processing comments'!D14</f>
        <v>5</v>
      </c>
      <c r="E15" s="208">
        <f>'mass filt'!V17</f>
        <v>211.71428571428572</v>
      </c>
      <c r="F15" s="44">
        <v>0.5</v>
      </c>
      <c r="G15" s="44" t="str">
        <f>'sample processing comments'!H14</f>
        <v>IN2022_V03 carboy 8 12/5/22 04:35 46˚ 46.723, 141˚ 141.228</v>
      </c>
      <c r="H15" s="117">
        <f t="shared" si="0"/>
        <v>17</v>
      </c>
      <c r="I15" s="44">
        <f t="shared" si="1"/>
        <v>24.907563025210084</v>
      </c>
      <c r="J15" s="44">
        <f t="shared" si="2"/>
        <v>9.0974873949579838</v>
      </c>
      <c r="L15" s="44">
        <v>1</v>
      </c>
      <c r="M15" s="208">
        <f>'CHN data'!E115</f>
        <v>13.881094932556152</v>
      </c>
      <c r="N15" s="208">
        <f>'CHN data'!F115</f>
        <v>0.82190054655075073</v>
      </c>
      <c r="O15" s="208">
        <f>'CHN data'!D115</f>
        <v>0.83412986993789673</v>
      </c>
      <c r="P15" s="44">
        <v>3</v>
      </c>
      <c r="Q15" s="64"/>
      <c r="R15" s="44">
        <f>pH_Sal!E11</f>
        <v>38.791347926916671</v>
      </c>
      <c r="S15" s="44">
        <f>pH_Sal!M11</f>
        <v>8.59</v>
      </c>
      <c r="T15" s="63">
        <f>Schedule!B25</f>
        <v>44832</v>
      </c>
      <c r="U15" s="63">
        <f>Schedule!B26</f>
        <v>44849</v>
      </c>
      <c r="V15" s="63">
        <f t="shared" si="3"/>
        <v>44840.5</v>
      </c>
      <c r="W15" s="117">
        <f t="shared" si="4"/>
        <v>153</v>
      </c>
      <c r="X15">
        <f t="shared" si="10"/>
        <v>136</v>
      </c>
      <c r="Y15" s="44">
        <f t="shared" si="5"/>
        <v>0.58823529411764708</v>
      </c>
      <c r="AB15" s="44">
        <f>'BSi data'!$W30</f>
        <v>5.1767490087646078</v>
      </c>
      <c r="AC15" s="44">
        <f>'BSi data'!$X30</f>
        <v>11.074077890233722</v>
      </c>
      <c r="AF15" s="44">
        <f>'PIC data_CWE_QC'!AF16</f>
        <v>72.249834750634889</v>
      </c>
      <c r="AG15" s="44">
        <f t="shared" si="6"/>
        <v>8.669671209270394</v>
      </c>
      <c r="AH15" s="44">
        <f t="shared" si="7"/>
        <v>5.2114237232857583</v>
      </c>
      <c r="AI15" s="208">
        <f t="shared" si="8"/>
        <v>99.707193400023002</v>
      </c>
      <c r="AJ15" s="208"/>
      <c r="AK15" s="208">
        <f t="shared" si="9"/>
        <v>7.288159022655984</v>
      </c>
    </row>
    <row r="16" spans="1:37" s="44" customFormat="1">
      <c r="A16" s="44">
        <v>2022</v>
      </c>
      <c r="B16" s="44" t="str">
        <f>'sample processing comments'!B15</f>
        <v>47_1000</v>
      </c>
      <c r="C16" s="44" t="str">
        <f>'sample processing comments'!C15</f>
        <v>AA10</v>
      </c>
      <c r="D16" s="44">
        <f>'sample processing comments'!D15</f>
        <v>5</v>
      </c>
      <c r="E16" s="208">
        <f>'mass filt'!V18</f>
        <v>333.14285714285711</v>
      </c>
      <c r="F16" s="44">
        <v>0.5</v>
      </c>
      <c r="G16" s="44" t="str">
        <f>'sample processing comments'!H15</f>
        <v>IN2022_V03 carboy 8 12/5/22 04:35 46˚ 46.723, 141˚ 141.228</v>
      </c>
      <c r="H16" s="117">
        <f t="shared" si="0"/>
        <v>17</v>
      </c>
      <c r="I16" s="44">
        <f t="shared" si="1"/>
        <v>39.193277310924366</v>
      </c>
      <c r="J16" s="44">
        <f t="shared" si="2"/>
        <v>14.315344537815125</v>
      </c>
      <c r="L16" s="44">
        <v>1</v>
      </c>
      <c r="M16" s="208">
        <f>'CHN data'!E119</f>
        <v>13.525103569030762</v>
      </c>
      <c r="N16" s="208">
        <f>'CHN data'!F119</f>
        <v>0.68520277738571167</v>
      </c>
      <c r="O16" s="208">
        <f>'CHN data'!D119</f>
        <v>0.68007773160934448</v>
      </c>
      <c r="P16" s="44">
        <v>3</v>
      </c>
      <c r="Q16" s="64"/>
      <c r="R16" s="44">
        <f>pH_Sal!E12</f>
        <v>39.662176507611733</v>
      </c>
      <c r="S16" s="44">
        <f>pH_Sal!M12</f>
        <v>8.56</v>
      </c>
      <c r="T16" s="63">
        <f>Schedule!B26</f>
        <v>44849</v>
      </c>
      <c r="U16" s="63">
        <f>Schedule!B27</f>
        <v>44866</v>
      </c>
      <c r="V16" s="63">
        <f t="shared" si="3"/>
        <v>44857.5</v>
      </c>
      <c r="W16" s="117">
        <f t="shared" si="4"/>
        <v>170</v>
      </c>
      <c r="X16">
        <f t="shared" si="10"/>
        <v>153</v>
      </c>
      <c r="Y16" s="44">
        <f t="shared" si="5"/>
        <v>0.58823529411764708</v>
      </c>
      <c r="AB16" s="44">
        <f>'BSi data'!$W31</f>
        <v>4.3175467618466623</v>
      </c>
      <c r="AC16" s="44">
        <f>'BSi data'!$X31</f>
        <v>9.2360763588239934</v>
      </c>
      <c r="AF16" s="44">
        <f>'PIC data_CWE_QC'!AF17</f>
        <v>76.209612088141483</v>
      </c>
      <c r="AG16" s="44">
        <f t="shared" si="6"/>
        <v>9.1448275566390738</v>
      </c>
      <c r="AH16" s="44">
        <f t="shared" si="7"/>
        <v>4.380276012391688</v>
      </c>
      <c r="AI16" s="208">
        <f t="shared" si="8"/>
        <v>99.798264073697837</v>
      </c>
      <c r="AJ16" s="208"/>
      <c r="AK16" s="208">
        <f t="shared" si="9"/>
        <v>7.5134266449971117</v>
      </c>
    </row>
    <row r="17" spans="1:37" s="44" customFormat="1">
      <c r="A17" s="44">
        <v>2022</v>
      </c>
      <c r="B17" s="44" t="str">
        <f>'sample processing comments'!B16</f>
        <v>47_1000</v>
      </c>
      <c r="C17" s="44" t="str">
        <f>'sample processing comments'!C16</f>
        <v>AA11</v>
      </c>
      <c r="D17" s="44">
        <f>'sample processing comments'!D16</f>
        <v>7</v>
      </c>
      <c r="E17" s="208">
        <f>'mass filt'!V19</f>
        <v>629.85714285714278</v>
      </c>
      <c r="F17" s="44">
        <v>0.5</v>
      </c>
      <c r="G17" s="44" t="str">
        <f>'sample processing comments'!H16</f>
        <v>IN2022_V03 carboy 8 12/5/22 04:35 46˚ 46.723, 141˚ 141.228</v>
      </c>
      <c r="H17" s="117">
        <f t="shared" si="0"/>
        <v>17</v>
      </c>
      <c r="I17" s="44">
        <f t="shared" si="1"/>
        <v>74.100840336134439</v>
      </c>
      <c r="J17" s="44">
        <f t="shared" si="2"/>
        <v>27.065331932773105</v>
      </c>
      <c r="L17" s="44">
        <v>1</v>
      </c>
      <c r="M17" s="208">
        <f>'CHN data'!E120</f>
        <v>13.522268295288086</v>
      </c>
      <c r="N17" s="208">
        <f>'CHN data'!F120</f>
        <v>0.67188370227813721</v>
      </c>
      <c r="O17" s="208">
        <f>'CHN data'!D120</f>
        <v>0.61902719736099243</v>
      </c>
      <c r="P17" s="44">
        <v>3</v>
      </c>
      <c r="Q17" s="64"/>
      <c r="R17" s="44">
        <f>pH_Sal!E13</f>
        <v>39.807465687206999</v>
      </c>
      <c r="S17" s="44">
        <f>pH_Sal!M13</f>
        <v>8.58</v>
      </c>
      <c r="T17" s="63">
        <f>Schedule!B27</f>
        <v>44866</v>
      </c>
      <c r="U17" s="63">
        <f>Schedule!B28</f>
        <v>44883</v>
      </c>
      <c r="V17" s="63">
        <f t="shared" si="3"/>
        <v>44874.5</v>
      </c>
      <c r="W17" s="117">
        <f t="shared" si="4"/>
        <v>187</v>
      </c>
      <c r="X17">
        <f t="shared" si="10"/>
        <v>170</v>
      </c>
      <c r="Y17" s="44">
        <f t="shared" si="5"/>
        <v>0.82352941176470584</v>
      </c>
      <c r="AB17" s="44">
        <f>'BSi data'!$W32</f>
        <v>4.2591301201049454</v>
      </c>
      <c r="AC17" s="44">
        <f>'BSi data'!$X32</f>
        <v>9.1111117450020025</v>
      </c>
      <c r="AF17" s="44">
        <f>'PIC data_CWE_QC'!AF18</f>
        <v>77.278267260940012</v>
      </c>
      <c r="AG17" s="44">
        <f t="shared" si="6"/>
        <v>9.2730616075019761</v>
      </c>
      <c r="AH17" s="44">
        <f t="shared" si="7"/>
        <v>4.2492066877861099</v>
      </c>
      <c r="AI17" s="208">
        <f t="shared" si="8"/>
        <v>100.43985601102169</v>
      </c>
      <c r="AJ17" s="208"/>
      <c r="AK17" s="208">
        <f t="shared" si="9"/>
        <v>8.0074318985500277</v>
      </c>
    </row>
    <row r="18" spans="1:37" s="44" customFormat="1">
      <c r="A18" s="44">
        <v>2022</v>
      </c>
      <c r="B18" s="44" t="str">
        <f>'sample processing comments'!B17</f>
        <v>47_1000</v>
      </c>
      <c r="C18" s="44" t="str">
        <f>'sample processing comments'!C17</f>
        <v>AA12</v>
      </c>
      <c r="D18" s="44">
        <f>'sample processing comments'!D17</f>
        <v>4</v>
      </c>
      <c r="E18" s="208">
        <f>'mass filt'!V20</f>
        <v>285.85714285714283</v>
      </c>
      <c r="F18" s="44">
        <v>0.5</v>
      </c>
      <c r="G18" s="44" t="str">
        <f>'sample processing comments'!H17</f>
        <v>IN2022_V03 carboy 8 12/5/22 04:35 46˚ 46.723, 141˚ 141.228</v>
      </c>
      <c r="H18" s="117">
        <f t="shared" si="0"/>
        <v>17</v>
      </c>
      <c r="I18" s="44">
        <f t="shared" si="1"/>
        <v>33.63025210084033</v>
      </c>
      <c r="J18" s="44">
        <f t="shared" si="2"/>
        <v>12.283449579831933</v>
      </c>
      <c r="L18" s="44">
        <v>1</v>
      </c>
      <c r="M18" s="208">
        <f>'CHN data'!E122</f>
        <v>13.635256767272949</v>
      </c>
      <c r="N18" s="208">
        <f>'CHN data'!F122</f>
        <v>0.69038259983062744</v>
      </c>
      <c r="O18" s="208">
        <f>'CHN data'!D122</f>
        <v>0.66877591609954834</v>
      </c>
      <c r="P18" s="44">
        <v>3</v>
      </c>
      <c r="Q18" s="64"/>
      <c r="R18" s="44">
        <f>AVERAGE(pH_Sal!E14,pH_Sal!I14)</f>
        <v>39.44434487221848</v>
      </c>
      <c r="S18" s="44">
        <f>AVERAGE(pH_Sal!M14,pH_Sal!P14)</f>
        <v>8.6149999999999984</v>
      </c>
      <c r="T18" s="63">
        <f>Schedule!B28</f>
        <v>44883</v>
      </c>
      <c r="U18" s="63">
        <f>Schedule!B29</f>
        <v>44900</v>
      </c>
      <c r="V18" s="63">
        <f t="shared" si="3"/>
        <v>44891.5</v>
      </c>
      <c r="W18" s="117">
        <f t="shared" si="4"/>
        <v>204</v>
      </c>
      <c r="X18">
        <f t="shared" si="10"/>
        <v>187</v>
      </c>
      <c r="Y18" s="44">
        <f t="shared" si="5"/>
        <v>0.47058823529411764</v>
      </c>
      <c r="AB18" s="44">
        <f>'BSi data'!$W33</f>
        <v>4.2868025379068051</v>
      </c>
      <c r="AC18" s="44">
        <f>'BSi data'!$X33</f>
        <v>9.1703084550665697</v>
      </c>
      <c r="AF18" s="44">
        <f>'PIC data_CWE_QC'!AF19</f>
        <v>76.221092576215611</v>
      </c>
      <c r="AG18" s="44">
        <f t="shared" si="6"/>
        <v>9.1462051661141412</v>
      </c>
      <c r="AH18" s="44">
        <f t="shared" si="7"/>
        <v>4.489051601158808</v>
      </c>
      <c r="AI18" s="208">
        <f t="shared" si="8"/>
        <v>99.976048483888889</v>
      </c>
      <c r="AJ18" s="208"/>
      <c r="AK18" s="208">
        <f t="shared" si="9"/>
        <v>7.8301323084481842</v>
      </c>
    </row>
    <row r="19" spans="1:37" s="44" customFormat="1">
      <c r="A19" s="44">
        <v>2022</v>
      </c>
      <c r="B19" s="44" t="str">
        <f>'sample processing comments'!B18</f>
        <v>47_1000</v>
      </c>
      <c r="C19" s="44" t="str">
        <f>'sample processing comments'!C18</f>
        <v>AA13</v>
      </c>
      <c r="D19" s="44">
        <f>'sample processing comments'!D18</f>
        <v>1</v>
      </c>
      <c r="E19" s="208">
        <f>'mass filt'!V21</f>
        <v>113.71428571428569</v>
      </c>
      <c r="F19" s="44">
        <v>0.5</v>
      </c>
      <c r="G19" s="44" t="str">
        <f>'sample processing comments'!H18</f>
        <v>IN2022_V03 carboy 8 12/5/22 04:35 46˚ 46.723, 141˚ 141.228</v>
      </c>
      <c r="H19" s="117">
        <f t="shared" si="0"/>
        <v>17</v>
      </c>
      <c r="I19" s="44">
        <f t="shared" si="1"/>
        <v>13.378151260504199</v>
      </c>
      <c r="J19" s="44">
        <f t="shared" si="2"/>
        <v>4.8863697478991597</v>
      </c>
      <c r="L19" s="44">
        <v>1</v>
      </c>
      <c r="M19" s="208">
        <f>'CHN data'!E123</f>
        <v>13.721451759338379</v>
      </c>
      <c r="N19" s="208">
        <f>'CHN data'!F123</f>
        <v>0.7594224214553833</v>
      </c>
      <c r="O19" s="208">
        <f>'CHN data'!D123</f>
        <v>0.70274358987808228</v>
      </c>
      <c r="P19" s="44">
        <v>3</v>
      </c>
      <c r="Q19" s="64"/>
      <c r="R19" s="44">
        <f>pH_Sal!E15</f>
        <v>40.098172354946087</v>
      </c>
      <c r="S19" s="44">
        <f>pH_Sal!M15</f>
        <v>8.65</v>
      </c>
      <c r="T19" s="63">
        <f>Schedule!B29</f>
        <v>44900</v>
      </c>
      <c r="U19" s="63">
        <f>Schedule!B30</f>
        <v>44917</v>
      </c>
      <c r="V19" s="63">
        <f t="shared" si="3"/>
        <v>44908.5</v>
      </c>
      <c r="W19" s="117">
        <f t="shared" si="4"/>
        <v>221</v>
      </c>
      <c r="X19">
        <f t="shared" si="10"/>
        <v>204</v>
      </c>
      <c r="Y19" s="44">
        <f t="shared" si="5"/>
        <v>0.11764705882352941</v>
      </c>
      <c r="AB19" s="44">
        <f>'BSi data'!$W34</f>
        <v>4.7014176811045587</v>
      </c>
      <c r="AC19" s="44">
        <f>'BSi data'!$X34</f>
        <v>10.057251280084476</v>
      </c>
      <c r="AF19" s="44">
        <f>'PIC data_CWE_QC'!AF20</f>
        <v>74.691523502969375</v>
      </c>
      <c r="AG19" s="44">
        <f t="shared" si="6"/>
        <v>8.9626634181962093</v>
      </c>
      <c r="AH19" s="44">
        <f t="shared" si="7"/>
        <v>4.7587883411421696</v>
      </c>
      <c r="AI19" s="208">
        <f t="shared" si="8"/>
        <v>100.02440677437592</v>
      </c>
      <c r="AJ19" s="208"/>
      <c r="AK19" s="208">
        <f t="shared" si="9"/>
        <v>7.8994094272671092</v>
      </c>
    </row>
    <row r="20" spans="1:37" s="44" customFormat="1">
      <c r="A20" s="44">
        <v>2022</v>
      </c>
      <c r="B20" s="44" t="str">
        <f>'sample processing comments'!B19</f>
        <v>47_1000</v>
      </c>
      <c r="C20" s="44" t="str">
        <f>'sample processing comments'!C19</f>
        <v>AA14</v>
      </c>
      <c r="D20" s="44">
        <f>'sample processing comments'!D19</f>
        <v>3</v>
      </c>
      <c r="E20" s="208">
        <f>'mass filt'!V22</f>
        <v>271.57142857142856</v>
      </c>
      <c r="F20" s="44">
        <v>0.5</v>
      </c>
      <c r="G20" s="44" t="str">
        <f>'sample processing comments'!H19</f>
        <v>IN2022_V03 carboy 8 12/5/22 04:35 46˚ 46.723, 141˚ 141.228</v>
      </c>
      <c r="H20" s="117">
        <f t="shared" si="0"/>
        <v>17</v>
      </c>
      <c r="I20" s="44">
        <f t="shared" si="1"/>
        <v>31.94957983193277</v>
      </c>
      <c r="J20" s="44">
        <f t="shared" si="2"/>
        <v>11.669584033613447</v>
      </c>
      <c r="L20" s="44">
        <v>1</v>
      </c>
      <c r="M20" s="208">
        <f>AVERAGE('CHN data'!E19,'CHN data'!E92)</f>
        <v>13.653738021850586</v>
      </c>
      <c r="N20" s="208">
        <f>AVERAGE('CHN data'!F19,'CHN data'!F92)</f>
        <v>0.78793787956237793</v>
      </c>
      <c r="O20" s="208">
        <f>AVERAGE('CHN data'!D19,'CHN data'!D92)</f>
        <v>0.7718701958656311</v>
      </c>
      <c r="P20" s="44">
        <v>3</v>
      </c>
      <c r="Q20" s="64" t="s">
        <v>3655</v>
      </c>
      <c r="R20" s="44">
        <f>pH_Sal!E16</f>
        <v>39.734815737579275</v>
      </c>
      <c r="S20" s="44">
        <f>pH_Sal!M16</f>
        <v>8.6300000000000008</v>
      </c>
      <c r="T20" s="63">
        <f>Schedule!B30</f>
        <v>44917</v>
      </c>
      <c r="U20" s="63">
        <f>Schedule!B31</f>
        <v>44934</v>
      </c>
      <c r="V20" s="63">
        <f t="shared" si="3"/>
        <v>44925.5</v>
      </c>
      <c r="W20" s="117">
        <f t="shared" si="4"/>
        <v>238</v>
      </c>
      <c r="X20">
        <f t="shared" si="10"/>
        <v>221</v>
      </c>
      <c r="Y20" s="44">
        <f t="shared" si="5"/>
        <v>0.35294117647058826</v>
      </c>
      <c r="AB20" s="44">
        <f>'BSi data'!$W35</f>
        <v>4.973403262402373</v>
      </c>
      <c r="AC20" s="44">
        <f>'BSi data'!$X35</f>
        <v>10.639081596217821</v>
      </c>
      <c r="AF20" s="44">
        <f>'PIC data_CWE_QC'!AF21</f>
        <v>73.843469539991347</v>
      </c>
      <c r="AG20" s="44">
        <f t="shared" si="6"/>
        <v>8.8609005691583622</v>
      </c>
      <c r="AH20" s="44">
        <f t="shared" si="7"/>
        <v>4.7928374526922237</v>
      </c>
      <c r="AI20" s="208">
        <f t="shared" si="8"/>
        <v>99.897092507716025</v>
      </c>
      <c r="AJ20" s="208"/>
      <c r="AK20" s="208">
        <f t="shared" si="9"/>
        <v>7.2434181383745582</v>
      </c>
    </row>
    <row r="21" spans="1:37" s="44" customFormat="1">
      <c r="A21" s="44">
        <v>2022</v>
      </c>
      <c r="B21" s="44" t="str">
        <f>'sample processing comments'!B20</f>
        <v>47_1000</v>
      </c>
      <c r="C21" s="44" t="str">
        <f>'sample processing comments'!C20</f>
        <v>AA15</v>
      </c>
      <c r="D21" s="44">
        <f>'sample processing comments'!D20</f>
        <v>2</v>
      </c>
      <c r="E21" s="208">
        <f>'mass filt'!V23</f>
        <v>80.857142857142861</v>
      </c>
      <c r="F21" s="44">
        <v>0.5</v>
      </c>
      <c r="G21" s="44" t="str">
        <f>'sample processing comments'!H20</f>
        <v>IN2022_V03 carboy 8 12/5/22 04:35 46˚ 46.723, 141˚ 141.228</v>
      </c>
      <c r="H21" s="117">
        <f t="shared" si="0"/>
        <v>17</v>
      </c>
      <c r="I21" s="44">
        <f t="shared" si="1"/>
        <v>9.5126050420168067</v>
      </c>
      <c r="J21" s="44">
        <f t="shared" si="2"/>
        <v>3.474478991596639</v>
      </c>
      <c r="L21" s="44">
        <v>1</v>
      </c>
      <c r="M21" s="208">
        <f>'CHN data'!E20</f>
        <v>14.125909805297852</v>
      </c>
      <c r="N21" s="208">
        <f>'CHN data'!F20</f>
        <v>0.9349522590637207</v>
      </c>
      <c r="O21" s="208">
        <f>'CHN data'!D20</f>
        <v>0.9453589916229248</v>
      </c>
      <c r="P21" s="44">
        <v>3</v>
      </c>
      <c r="Q21" s="64" t="s">
        <v>3655</v>
      </c>
      <c r="R21" s="44">
        <f>pH_Sal!E17</f>
        <v>40.025479690233652</v>
      </c>
      <c r="S21" s="44">
        <f>pH_Sal!M17</f>
        <v>8.67</v>
      </c>
      <c r="T21" s="63">
        <f>Schedule!B31</f>
        <v>44934</v>
      </c>
      <c r="U21" s="63">
        <f>Schedule!B32</f>
        <v>44951</v>
      </c>
      <c r="V21" s="63">
        <f t="shared" si="3"/>
        <v>44942.5</v>
      </c>
      <c r="W21" s="117">
        <f t="shared" si="4"/>
        <v>255</v>
      </c>
      <c r="X21">
        <f t="shared" si="10"/>
        <v>238</v>
      </c>
      <c r="Y21" s="44">
        <f t="shared" si="5"/>
        <v>0.23529411764705882</v>
      </c>
      <c r="AB21" s="44">
        <f>'BSi data'!$W36</f>
        <v>4.977959752796111</v>
      </c>
      <c r="AC21" s="44">
        <f>'BSi data'!$X36</f>
        <v>10.648828819705173</v>
      </c>
      <c r="AF21" s="44">
        <f>'PIC data_CWE_QC'!AF22</f>
        <v>71.153571201162194</v>
      </c>
      <c r="AG21" s="44">
        <f t="shared" si="6"/>
        <v>8.5381242712678489</v>
      </c>
      <c r="AH21" s="44">
        <f t="shared" si="7"/>
        <v>5.5877855340300027</v>
      </c>
      <c r="AI21" s="208">
        <f t="shared" si="8"/>
        <v>98.966899365900957</v>
      </c>
      <c r="AJ21" s="208"/>
      <c r="AK21" s="208">
        <f t="shared" si="9"/>
        <v>6.8950607606921972</v>
      </c>
    </row>
    <row r="22" spans="1:37" s="44" customFormat="1">
      <c r="A22" s="44">
        <v>2022</v>
      </c>
      <c r="B22" s="44" t="str">
        <f>'sample processing comments'!B21</f>
        <v>47_1000</v>
      </c>
      <c r="C22" s="44" t="str">
        <f>'sample processing comments'!C21</f>
        <v>AA16</v>
      </c>
      <c r="D22" s="44" t="str">
        <f>'sample processing comments'!D21</f>
        <v>&lt;1</v>
      </c>
      <c r="E22" s="208">
        <f>'mass filt'!V24</f>
        <v>13.428571428571427</v>
      </c>
      <c r="F22" s="44">
        <v>0.5</v>
      </c>
      <c r="G22" s="44" t="str">
        <f>'sample processing comments'!H21</f>
        <v>IN2022_V03 carboy 8 12/5/22 04:35 46˚ 46.723, 141˚ 141.228</v>
      </c>
      <c r="H22" s="117">
        <f t="shared" si="0"/>
        <v>17</v>
      </c>
      <c r="I22" s="44">
        <f t="shared" si="1"/>
        <v>1.579831932773109</v>
      </c>
      <c r="J22" s="44">
        <f t="shared" si="2"/>
        <v>0.57703361344537807</v>
      </c>
      <c r="L22" s="44">
        <v>0</v>
      </c>
      <c r="M22" s="208" t="s">
        <v>3656</v>
      </c>
      <c r="N22" s="208" t="s">
        <v>3656</v>
      </c>
      <c r="O22" s="208" t="s">
        <v>3656</v>
      </c>
      <c r="P22" s="44">
        <v>9</v>
      </c>
      <c r="Q22" s="64"/>
      <c r="R22" s="44">
        <f>pH_Sal!E18</f>
        <v>39.662176507611733</v>
      </c>
      <c r="S22" s="44">
        <f>pH_Sal!M18</f>
        <v>8.65</v>
      </c>
      <c r="T22" s="63">
        <f>Schedule!B32</f>
        <v>44951</v>
      </c>
      <c r="U22" s="63">
        <f>Schedule!B33</f>
        <v>44968</v>
      </c>
      <c r="V22" s="63">
        <f>AVERAGE(T22:U22)</f>
        <v>44959.5</v>
      </c>
      <c r="W22" s="117">
        <f t="shared" si="4"/>
        <v>272</v>
      </c>
      <c r="X22">
        <f t="shared" si="10"/>
        <v>255</v>
      </c>
      <c r="Y22" s="44" t="e">
        <f t="shared" si="5"/>
        <v>#VALUE!</v>
      </c>
      <c r="AB22" s="44" t="s">
        <v>3656</v>
      </c>
      <c r="AC22" s="44" t="s">
        <v>3656</v>
      </c>
      <c r="AF22" s="44" t="s">
        <v>3656</v>
      </c>
      <c r="AG22" s="44" t="s">
        <v>3656</v>
      </c>
      <c r="AH22" s="44" t="s">
        <v>3656</v>
      </c>
      <c r="AI22" s="208"/>
      <c r="AJ22" s="208"/>
      <c r="AK22" s="208"/>
    </row>
    <row r="23" spans="1:37" s="44" customFormat="1">
      <c r="A23" s="44">
        <v>2022</v>
      </c>
      <c r="B23" s="44" t="str">
        <f>'sample processing comments'!B22</f>
        <v>47_1000</v>
      </c>
      <c r="C23" s="44" t="str">
        <f>'sample processing comments'!C22</f>
        <v>AA17</v>
      </c>
      <c r="D23" s="44" t="str">
        <f>'sample processing comments'!D22</f>
        <v>&lt;1</v>
      </c>
      <c r="E23" s="208">
        <f>'mass filt'!V25</f>
        <v>5.9999999999999947</v>
      </c>
      <c r="F23" s="44">
        <v>0.5</v>
      </c>
      <c r="G23" s="44" t="str">
        <f>'sample processing comments'!H22</f>
        <v>IN2022_V03 carboy 8 12/5/22 04:35 46˚ 46.723, 141˚ 141.228</v>
      </c>
      <c r="H23" s="117">
        <f t="shared" si="0"/>
        <v>17</v>
      </c>
      <c r="I23" s="44">
        <f t="shared" si="1"/>
        <v>0.70588235294117585</v>
      </c>
      <c r="J23" s="44">
        <f t="shared" si="2"/>
        <v>0.25782352941176451</v>
      </c>
      <c r="L23" s="44">
        <v>0</v>
      </c>
      <c r="M23" s="208" t="s">
        <v>3656</v>
      </c>
      <c r="N23" s="208" t="s">
        <v>3656</v>
      </c>
      <c r="O23" s="208" t="s">
        <v>3656</v>
      </c>
      <c r="P23" s="44">
        <v>9</v>
      </c>
      <c r="Q23" s="64"/>
      <c r="R23" s="44">
        <f>pH_Sal!E19</f>
        <v>39.516930272554035</v>
      </c>
      <c r="S23" s="44">
        <f>pH_Sal!M19</f>
        <v>8.65</v>
      </c>
      <c r="T23" s="63">
        <f>Schedule!B33</f>
        <v>44968</v>
      </c>
      <c r="U23" s="63">
        <f>Schedule!B34</f>
        <v>44985</v>
      </c>
      <c r="V23" s="63">
        <f t="shared" si="3"/>
        <v>44976.5</v>
      </c>
      <c r="W23" s="117">
        <f t="shared" si="4"/>
        <v>289</v>
      </c>
      <c r="X23">
        <f t="shared" si="10"/>
        <v>272</v>
      </c>
      <c r="Y23" s="44" t="e">
        <f t="shared" si="5"/>
        <v>#VALUE!</v>
      </c>
      <c r="AB23" s="44" t="s">
        <v>3656</v>
      </c>
      <c r="AC23" s="44" t="s">
        <v>3656</v>
      </c>
      <c r="AF23" s="44" t="s">
        <v>3656</v>
      </c>
      <c r="AG23" s="44" t="s">
        <v>3656</v>
      </c>
      <c r="AH23" s="44" t="s">
        <v>3656</v>
      </c>
      <c r="AI23" s="208"/>
      <c r="AJ23" s="208"/>
      <c r="AK23" s="208"/>
    </row>
    <row r="24" spans="1:37" s="44" customFormat="1">
      <c r="A24" s="44">
        <v>2022</v>
      </c>
      <c r="B24" s="44" t="str">
        <f>'sample processing comments'!B23</f>
        <v>47_1000</v>
      </c>
      <c r="C24" s="44" t="str">
        <f>'sample processing comments'!C23</f>
        <v>AA18</v>
      </c>
      <c r="D24" s="44" t="str">
        <f>'sample processing comments'!D23</f>
        <v>&lt;1</v>
      </c>
      <c r="E24" s="208">
        <f>'mass filt'!V26</f>
        <v>26.999999999999996</v>
      </c>
      <c r="F24" s="44">
        <v>0.5</v>
      </c>
      <c r="G24" s="44" t="str">
        <f>'sample processing comments'!H23</f>
        <v>IN2022_V03 carboy 8 12/5/22 04:35 46˚ 46.723, 141˚ 141.228</v>
      </c>
      <c r="H24" s="117">
        <f t="shared" si="0"/>
        <v>17</v>
      </c>
      <c r="I24" s="44">
        <f t="shared" si="1"/>
        <v>3.1764705882352935</v>
      </c>
      <c r="J24" s="44">
        <f t="shared" si="2"/>
        <v>1.1602058823529411</v>
      </c>
      <c r="L24" s="44">
        <v>1</v>
      </c>
      <c r="M24" s="208">
        <f>'CHN data'!E22</f>
        <v>14.696099281311035</v>
      </c>
      <c r="N24" s="208">
        <f>'CHN data'!F22</f>
        <v>0.99246484041213989</v>
      </c>
      <c r="O24" s="208">
        <f>'CHN data'!D22</f>
        <v>1.2483048439025879</v>
      </c>
      <c r="P24" s="44">
        <v>3</v>
      </c>
      <c r="Q24" s="64" t="s">
        <v>3655</v>
      </c>
      <c r="R24" s="44">
        <f>pH_Sal!E20</f>
        <v>38.646362168235825</v>
      </c>
      <c r="S24" s="44">
        <f>pH_Sal!M20</f>
        <v>8.66</v>
      </c>
      <c r="T24" s="63">
        <f>Schedule!B34</f>
        <v>44985</v>
      </c>
      <c r="U24" s="63">
        <f>Schedule!B35</f>
        <v>45002</v>
      </c>
      <c r="V24" s="63">
        <f t="shared" si="3"/>
        <v>44993.5</v>
      </c>
      <c r="W24" s="117">
        <f t="shared" si="4"/>
        <v>306</v>
      </c>
      <c r="X24">
        <f t="shared" si="10"/>
        <v>289</v>
      </c>
      <c r="Y24" s="44" t="e">
        <f t="shared" si="5"/>
        <v>#VALUE!</v>
      </c>
      <c r="AB24" s="44">
        <f>'BSi data'!$W39</f>
        <v>4.2674737577164423</v>
      </c>
      <c r="AC24" s="44">
        <f>'BSi data'!$X39</f>
        <v>9.1289604165603784</v>
      </c>
      <c r="AF24" s="44">
        <f>'PIC data_CWE_QC'!AF25</f>
        <v>70.446478281874576</v>
      </c>
      <c r="AG24" s="44">
        <f t="shared" si="6"/>
        <v>8.4532761446834073</v>
      </c>
      <c r="AH24" s="44">
        <f t="shared" si="7"/>
        <v>6.2428231366276279</v>
      </c>
      <c r="AI24" s="208">
        <f t="shared" si="8"/>
        <v>98.013835244837381</v>
      </c>
      <c r="AJ24" s="208"/>
      <c r="AK24" s="208">
        <f t="shared" si="9"/>
        <v>5.8338532916448109</v>
      </c>
    </row>
    <row r="25" spans="1:37" s="44" customFormat="1">
      <c r="A25" s="44">
        <v>2022</v>
      </c>
      <c r="B25" s="44" t="str">
        <f>'sample processing comments'!B24</f>
        <v>47_1000</v>
      </c>
      <c r="C25" s="44" t="str">
        <f>'sample processing comments'!C24</f>
        <v>AA19</v>
      </c>
      <c r="D25" s="44" t="str">
        <f>'sample processing comments'!D24</f>
        <v>&lt;1</v>
      </c>
      <c r="E25" s="208">
        <f>'mass filt'!V27</f>
        <v>28.428571428571438</v>
      </c>
      <c r="F25" s="44">
        <v>0.5</v>
      </c>
      <c r="G25" s="44" t="str">
        <f>'sample processing comments'!H24</f>
        <v>IN2022_V03 carboy 8 12/5/22 04:35 46˚ 46.723, 141˚ 141.228</v>
      </c>
      <c r="H25" s="117">
        <f t="shared" si="0"/>
        <v>17</v>
      </c>
      <c r="I25" s="44">
        <f t="shared" si="1"/>
        <v>3.3445378151260514</v>
      </c>
      <c r="J25" s="44">
        <f t="shared" si="2"/>
        <v>1.2215924369747904</v>
      </c>
      <c r="L25" s="44">
        <v>1</v>
      </c>
      <c r="M25" s="208">
        <f>'CHN data'!E23</f>
        <v>14.053082466125488</v>
      </c>
      <c r="N25" s="208">
        <f>'CHN data'!F23</f>
        <v>0.92834818363189697</v>
      </c>
      <c r="O25" s="208">
        <f>'CHN data'!D23</f>
        <v>0.86163246631622314</v>
      </c>
      <c r="P25" s="44">
        <v>3</v>
      </c>
      <c r="Q25" s="64" t="s">
        <v>3655</v>
      </c>
      <c r="R25" s="44">
        <f>pH_Sal!E21</f>
        <v>39.444323300545072</v>
      </c>
      <c r="S25" s="44">
        <f>pH_Sal!M21</f>
        <v>8.67</v>
      </c>
      <c r="T25" s="63">
        <f>Schedule!B35</f>
        <v>45002</v>
      </c>
      <c r="U25" s="63">
        <f>Schedule!B36</f>
        <v>45019</v>
      </c>
      <c r="V25" s="63">
        <f t="shared" si="3"/>
        <v>45010.5</v>
      </c>
      <c r="W25" s="117">
        <f t="shared" si="4"/>
        <v>323</v>
      </c>
      <c r="X25">
        <f t="shared" si="10"/>
        <v>306</v>
      </c>
      <c r="Y25" s="44" t="e">
        <f t="shared" si="5"/>
        <v>#VALUE!</v>
      </c>
      <c r="AB25" s="44">
        <f>'BSi data'!$W40</f>
        <v>5.1010525235217781</v>
      </c>
      <c r="AC25" s="44">
        <f>'BSi data'!$X40</f>
        <v>10.912148313934626</v>
      </c>
      <c r="AF25" s="44">
        <f>'PIC data_CWE_QC'!AF26</f>
        <v>70.987032078938213</v>
      </c>
      <c r="AG25" s="44">
        <f t="shared" si="6"/>
        <v>8.5181402887695388</v>
      </c>
      <c r="AH25" s="44">
        <f t="shared" si="7"/>
        <v>5.5349421773559495</v>
      </c>
      <c r="AI25" s="208">
        <f t="shared" si="8"/>
        <v>98.976389497588755</v>
      </c>
      <c r="AJ25" s="208"/>
      <c r="AK25" s="208">
        <f t="shared" si="9"/>
        <v>7.4935250130126922</v>
      </c>
    </row>
    <row r="26" spans="1:37" s="44" customFormat="1">
      <c r="A26" s="44">
        <v>2022</v>
      </c>
      <c r="B26" s="44" t="str">
        <f>'sample processing comments'!B25</f>
        <v>47_1000</v>
      </c>
      <c r="C26" s="44" t="str">
        <f>'sample processing comments'!C25</f>
        <v>AA20</v>
      </c>
      <c r="D26" s="44" t="str">
        <f>'sample processing comments'!D25</f>
        <v>&lt;1</v>
      </c>
      <c r="E26" s="208">
        <f>'mass filt'!V28</f>
        <v>25.571428571428577</v>
      </c>
      <c r="F26" s="44">
        <v>0.5</v>
      </c>
      <c r="G26" s="44" t="str">
        <f>'sample processing comments'!H25</f>
        <v>IN2022_V03 carboy 8 12/5/22 04:35 46˚ 46.723, 141˚ 141.228</v>
      </c>
      <c r="H26" s="117">
        <f t="shared" si="0"/>
        <v>17</v>
      </c>
      <c r="I26" s="44">
        <f t="shared" si="1"/>
        <v>3.0084033613445382</v>
      </c>
      <c r="J26" s="44">
        <f t="shared" si="2"/>
        <v>1.0988193277310927</v>
      </c>
      <c r="L26" s="44">
        <v>1</v>
      </c>
      <c r="M26" s="208">
        <f>'CHN data'!E24</f>
        <v>15.229901313781738</v>
      </c>
      <c r="N26" s="208">
        <f>'CHN data'!F24</f>
        <v>1.1962739229202271</v>
      </c>
      <c r="O26" s="208">
        <f>'CHN data'!D24</f>
        <v>1.1338266134262085</v>
      </c>
      <c r="P26" s="44">
        <v>3</v>
      </c>
      <c r="Q26" s="64" t="s">
        <v>3655</v>
      </c>
      <c r="R26" s="44">
        <f>pH_Sal!E22</f>
        <v>39.516930272554035</v>
      </c>
      <c r="S26" s="44">
        <f>pH_Sal!M22</f>
        <v>8.66</v>
      </c>
      <c r="T26" s="63">
        <f>Schedule!B36</f>
        <v>45019</v>
      </c>
      <c r="U26" s="63">
        <f>Schedule!B37</f>
        <v>45036</v>
      </c>
      <c r="V26" s="63">
        <f t="shared" si="3"/>
        <v>45027.5</v>
      </c>
      <c r="W26" s="117">
        <f t="shared" si="4"/>
        <v>340</v>
      </c>
      <c r="X26">
        <f t="shared" si="10"/>
        <v>323</v>
      </c>
      <c r="Y26" s="44" t="e">
        <f t="shared" si="5"/>
        <v>#VALUE!</v>
      </c>
      <c r="AB26" s="44">
        <f>'BSi data'!$W41</f>
        <v>5.4600241216327543</v>
      </c>
      <c r="AC26" s="44">
        <f>'BSi data'!$X41</f>
        <v>11.680058720858391</v>
      </c>
      <c r="AF26" s="44">
        <f>'PIC data_CWE_QC'!AF27</f>
        <v>64.74330861420539</v>
      </c>
      <c r="AG26" s="44">
        <f t="shared" si="6"/>
        <v>7.7689201729357862</v>
      </c>
      <c r="AH26" s="44">
        <f t="shared" si="7"/>
        <v>7.4609811408459521</v>
      </c>
      <c r="AI26" s="208">
        <f t="shared" si="8"/>
        <v>97.822332304219302</v>
      </c>
      <c r="AJ26" s="208"/>
      <c r="AK26" s="208">
        <f t="shared" si="9"/>
        <v>7.6761671582158888</v>
      </c>
    </row>
    <row r="27" spans="1:37" s="44" customFormat="1">
      <c r="A27" s="44">
        <v>2022</v>
      </c>
      <c r="B27" s="44" t="str">
        <f>'sample processing comments'!B26</f>
        <v>47_1000</v>
      </c>
      <c r="C27" s="44" t="str">
        <f>'sample processing comments'!C26</f>
        <v>AA21</v>
      </c>
      <c r="D27" s="44" t="str">
        <f>'sample processing comments'!D26</f>
        <v>&lt;1</v>
      </c>
      <c r="E27" s="208">
        <f>'mass filt'!V29</f>
        <v>22.142857142857146</v>
      </c>
      <c r="F27" s="44">
        <v>0.5</v>
      </c>
      <c r="G27" s="44" t="str">
        <f>'sample processing comments'!H26</f>
        <v>IN2022_V03 carboy 8 12/5/22 04:35 46˚ 46.723, 141˚ 141.228</v>
      </c>
      <c r="H27" s="117">
        <f t="shared" si="0"/>
        <v>17</v>
      </c>
      <c r="I27" s="44">
        <f t="shared" si="1"/>
        <v>2.6050420168067232</v>
      </c>
      <c r="J27" s="44">
        <f t="shared" si="2"/>
        <v>0.95149159663865557</v>
      </c>
      <c r="L27" s="44">
        <v>1</v>
      </c>
      <c r="M27" s="208">
        <f>'CHN data'!E25</f>
        <v>14.040099143981934</v>
      </c>
      <c r="N27" s="208">
        <f>'CHN data'!F25</f>
        <v>0.97634279727935791</v>
      </c>
      <c r="O27" s="208">
        <f>'CHN data'!D25</f>
        <v>0.89570164680480957</v>
      </c>
      <c r="P27" s="44">
        <v>3</v>
      </c>
      <c r="Q27" s="64" t="s">
        <v>3655</v>
      </c>
      <c r="R27" s="44">
        <f>pH_Sal!E23</f>
        <v>39.516930272554035</v>
      </c>
      <c r="S27" s="44">
        <f>pH_Sal!M23</f>
        <v>8.65</v>
      </c>
      <c r="T27" s="63">
        <f>Schedule!B37</f>
        <v>45036</v>
      </c>
      <c r="U27" s="63">
        <f>Schedule!B38</f>
        <v>45053</v>
      </c>
      <c r="V27" s="63">
        <f t="shared" si="3"/>
        <v>45044.5</v>
      </c>
      <c r="W27" s="117">
        <f t="shared" si="4"/>
        <v>357</v>
      </c>
      <c r="X27">
        <f t="shared" si="10"/>
        <v>340</v>
      </c>
      <c r="Y27" s="44" t="e">
        <f t="shared" si="5"/>
        <v>#VALUE!</v>
      </c>
      <c r="AB27" s="44">
        <f>'BSi data'!$W42</f>
        <v>5.6766506118327262</v>
      </c>
      <c r="AC27" s="44">
        <f>'BSi data'!$X42</f>
        <v>12.143465121574531</v>
      </c>
      <c r="AF27" s="44">
        <f>'PIC data_CWE_QC'!AF28</f>
        <v>70.123018513013619</v>
      </c>
      <c r="AG27" s="44">
        <f t="shared" si="6"/>
        <v>8.4144623556258971</v>
      </c>
      <c r="AH27" s="44">
        <f t="shared" si="7"/>
        <v>5.6256367883560365</v>
      </c>
      <c r="AI27" s="208">
        <f t="shared" si="8"/>
        <v>99.678665732344641</v>
      </c>
      <c r="AJ27" s="208"/>
      <c r="AK27" s="208">
        <f t="shared" si="9"/>
        <v>7.3266162402280273</v>
      </c>
    </row>
    <row r="28" spans="1:37" s="44" customFormat="1">
      <c r="A28" s="64" t="str">
        <f>'sample processing comments'!A27</f>
        <v>Pick up 20/05/2022 IN2023_V03</v>
      </c>
    </row>
    <row r="30" spans="1:37" s="27" customFormat="1">
      <c r="A30" s="205" t="str">
        <f>'sample processing comments'!A29</f>
        <v>Deployment 8/5/2022 IN2022_V03</v>
      </c>
      <c r="B30" s="205" t="str">
        <f>'sample processing comments'!B29</f>
        <v>McLane-PARFLUX-Mark78H-21 ; frame# 12419-02, controller# 12419-02 and Motor # 12419-02 Cup set ABx21</v>
      </c>
      <c r="C30" s="160"/>
      <c r="D30" s="160"/>
      <c r="E30" s="160"/>
      <c r="F30" s="160"/>
      <c r="G30" s="160"/>
      <c r="I30" s="160"/>
      <c r="J30" s="160"/>
      <c r="K30" s="160"/>
      <c r="L30" s="160"/>
      <c r="M30" s="160"/>
      <c r="N30" s="160"/>
      <c r="O30" s="160"/>
      <c r="P30" s="160"/>
      <c r="Q30" s="160"/>
      <c r="S30" s="160"/>
      <c r="T30" s="160"/>
      <c r="U30" s="160"/>
      <c r="V30" s="166"/>
      <c r="W30" s="151">
        <v>0</v>
      </c>
      <c r="X30" s="462"/>
      <c r="Z30" s="160"/>
      <c r="AA30" s="160"/>
      <c r="AB30" s="160"/>
      <c r="AC30" s="160"/>
      <c r="AD30" s="160"/>
      <c r="AE30" s="160"/>
      <c r="AF30" s="160"/>
      <c r="AG30" s="160"/>
      <c r="AH30" s="160"/>
      <c r="AI30" s="160"/>
      <c r="AJ30" s="160"/>
      <c r="AK30" s="160"/>
    </row>
    <row r="31" spans="1:37" s="44" customFormat="1">
      <c r="A31" s="44">
        <v>2022</v>
      </c>
      <c r="B31" s="44" t="str">
        <f>'[1]sample processing comments'!B30</f>
        <v>47_2000</v>
      </c>
      <c r="C31" s="44" t="s">
        <v>3023</v>
      </c>
      <c r="D31" s="44">
        <f>'sample processing comments'!D30</f>
        <v>3</v>
      </c>
      <c r="E31" s="44">
        <f>'mass filt'!V32</f>
        <v>350.42857142857144</v>
      </c>
      <c r="F31" s="44">
        <v>0.5</v>
      </c>
      <c r="G31" s="44" t="str">
        <f>'sample processing comments'!H30</f>
        <v>IN2022_V03 carboy 8 12/5/22 04:35 46˚ 46.723, 141˚ 141.228</v>
      </c>
      <c r="H31" s="117">
        <f>U31-T31</f>
        <v>17</v>
      </c>
      <c r="I31" s="44">
        <f>E31/F31/H31</f>
        <v>41.226890756302524</v>
      </c>
      <c r="J31" s="44">
        <f>0.001*365.25*E31/F31/H31</f>
        <v>15.058121848739498</v>
      </c>
      <c r="L31" s="44">
        <v>1</v>
      </c>
      <c r="M31" s="208">
        <f>'CHN data'!E26</f>
        <v>14.247434616088867</v>
      </c>
      <c r="N31" s="208">
        <f>'CHN data'!F26</f>
        <v>0.87097489833831787</v>
      </c>
      <c r="O31" s="208">
        <f>'CHN data'!D26</f>
        <v>0.78490573167800903</v>
      </c>
      <c r="R31" s="44">
        <f>pH_Sal!E24</f>
        <v>39.516930272554035</v>
      </c>
      <c r="S31" s="44">
        <f>pH_Sal!M24</f>
        <v>8.5299999999999994</v>
      </c>
      <c r="T31" s="63">
        <f>Schedule!B17</f>
        <v>44696</v>
      </c>
      <c r="U31" s="63">
        <f>Schedule!B18</f>
        <v>44713</v>
      </c>
      <c r="V31" s="63">
        <f>AVERAGE(T31:U31)</f>
        <v>44704.5</v>
      </c>
      <c r="W31" s="117">
        <f>H31+W30</f>
        <v>17</v>
      </c>
      <c r="X31">
        <v>0</v>
      </c>
      <c r="Y31" s="44">
        <f>D31/0.5/H31</f>
        <v>0.35294117647058826</v>
      </c>
      <c r="AB31" s="44">
        <f>'BSi data'!$W43</f>
        <v>3.3140649126838242</v>
      </c>
      <c r="AC31" s="44">
        <f>'BSi data'!$X43</f>
        <v>7.0894325597426491</v>
      </c>
      <c r="AF31" s="44">
        <f>'PIC data_CWE_QC'!AF29</f>
        <v>73.22242712567386</v>
      </c>
      <c r="AG31" s="44">
        <f>AF31*12.01/100.0869</f>
        <v>8.7863781351939476</v>
      </c>
      <c r="AH31" s="208">
        <f>M31-AG31</f>
        <v>5.4610564808949196</v>
      </c>
      <c r="AI31" s="208">
        <f>AF31+(AC31*1.11)+(AH31*2.2)+3.7</f>
        <v>96.806021524957032</v>
      </c>
      <c r="AK31" s="208">
        <f t="shared" ref="AK31:AK51" si="13">(AH31/12.01)/(O31/14.01)</f>
        <v>8.1162290647293602</v>
      </c>
    </row>
    <row r="32" spans="1:37" s="44" customFormat="1">
      <c r="A32" s="44">
        <v>2022</v>
      </c>
      <c r="B32" s="44" t="str">
        <f>'[1]sample processing comments'!B31</f>
        <v>47_2000</v>
      </c>
      <c r="C32" s="44" t="s">
        <v>3024</v>
      </c>
      <c r="D32" s="44">
        <f>'sample processing comments'!D31</f>
        <v>5</v>
      </c>
      <c r="E32" s="44">
        <f>'mass filt'!V33</f>
        <v>292.82857142857142</v>
      </c>
      <c r="F32" s="44">
        <v>0.5</v>
      </c>
      <c r="G32" s="44" t="str">
        <f>'sample processing comments'!H31</f>
        <v>IN2022_V03 carboy 8 12/5/22 04:35 46˚ 46.723, 141˚ 141.228</v>
      </c>
      <c r="H32" s="117">
        <f t="shared" ref="H32:H51" si="14">U32-T32</f>
        <v>17</v>
      </c>
      <c r="I32" s="44">
        <f t="shared" ref="I32:I51" si="15">E32/F32/H32</f>
        <v>34.450420168067225</v>
      </c>
      <c r="J32" s="44">
        <f t="shared" ref="J32:J51" si="16">0.001*365.25*E32/F32/H32</f>
        <v>12.583015966386554</v>
      </c>
      <c r="L32" s="44">
        <v>1</v>
      </c>
      <c r="M32" s="208">
        <f>'CHN data'!E27</f>
        <v>14.521237373352051</v>
      </c>
      <c r="N32" s="208">
        <f>'CHN data'!F27</f>
        <v>0.90399563312530518</v>
      </c>
      <c r="O32" s="208">
        <f>'CHN data'!D27</f>
        <v>0.97619426250457764</v>
      </c>
      <c r="R32" s="44">
        <f>pH_Sal!E25</f>
        <v>39.154003437760188</v>
      </c>
      <c r="S32" s="44">
        <f>pH_Sal!M25</f>
        <v>8.5399999999999991</v>
      </c>
      <c r="T32" s="63">
        <f>Schedule!B18</f>
        <v>44713</v>
      </c>
      <c r="U32" s="63">
        <f>Schedule!B19</f>
        <v>44730</v>
      </c>
      <c r="V32" s="63">
        <f t="shared" ref="V32:V43" si="17">AVERAGE(T32:U32)</f>
        <v>44721.5</v>
      </c>
      <c r="W32" s="117">
        <f t="shared" ref="W32:W51" si="18">H32+W31</f>
        <v>34</v>
      </c>
      <c r="X32">
        <f>X31+H32</f>
        <v>17</v>
      </c>
      <c r="Y32" s="44">
        <f t="shared" ref="Y32:Y51" si="19">D32/0.5/H32</f>
        <v>0.58823529411764708</v>
      </c>
      <c r="AB32" s="44">
        <f>'BSi data'!$W44</f>
        <v>3.2412076763807076</v>
      </c>
      <c r="AC32" s="44">
        <f>'BSi data'!$X44</f>
        <v>6.9335766918375477</v>
      </c>
      <c r="AF32" s="44">
        <f>'PIC data_CWE_QC'!AF30</f>
        <v>73.803397573722236</v>
      </c>
      <c r="AG32" s="44">
        <f t="shared" ref="AG32" si="20">AF32*12.01/100.0869</f>
        <v>8.8560921045651728</v>
      </c>
      <c r="AH32" s="208">
        <f t="shared" ref="AH32:AH51" si="21">M32-AG32</f>
        <v>5.665145268786878</v>
      </c>
      <c r="AI32" s="208">
        <f t="shared" ref="AI32:AI51" si="22">AF32+(AC32*1.11)+(AH32*2.2)+3.7</f>
        <v>97.662987292993051</v>
      </c>
      <c r="AK32" s="208">
        <f t="shared" si="13"/>
        <v>6.7697078646755688</v>
      </c>
    </row>
    <row r="33" spans="1:37" s="44" customFormat="1">
      <c r="A33" s="44">
        <v>2022</v>
      </c>
      <c r="B33" s="44" t="str">
        <f>'[1]sample processing comments'!B32</f>
        <v>47_2000</v>
      </c>
      <c r="C33" s="44" t="s">
        <v>3025</v>
      </c>
      <c r="D33" s="44">
        <f>'sample processing comments'!D32</f>
        <v>2</v>
      </c>
      <c r="E33" s="44">
        <f>'mass filt'!V34</f>
        <v>196.11428571428573</v>
      </c>
      <c r="F33" s="44">
        <v>0.5</v>
      </c>
      <c r="G33" s="44" t="str">
        <f>'sample processing comments'!H32</f>
        <v>IN2022_V03 carboy 8 12/5/22 04:35 46˚ 46.723, 141˚ 141.228</v>
      </c>
      <c r="H33" s="117">
        <f t="shared" si="14"/>
        <v>17</v>
      </c>
      <c r="I33" s="44">
        <f t="shared" si="15"/>
        <v>23.072268907563029</v>
      </c>
      <c r="J33" s="44">
        <f t="shared" si="16"/>
        <v>8.4271462184873958</v>
      </c>
      <c r="L33" s="44">
        <v>1</v>
      </c>
      <c r="M33" s="208">
        <f>AVERAGE('CHN data'!E28,'CHN data'!E44)</f>
        <v>14.124810218811035</v>
      </c>
      <c r="N33" s="208">
        <f>AVERAGE('CHN data'!F28,'CHN data'!F44)</f>
        <v>0.8437289297580719</v>
      </c>
      <c r="O33" s="208">
        <f>AVERAGE('CHN data'!D28,'CHN data'!D44)</f>
        <v>0.89117813110351563</v>
      </c>
      <c r="R33" s="44">
        <f>AVERAGE(pH_Sal!E26,pH_Sal!I26)</f>
        <v>39.662176507611733</v>
      </c>
      <c r="S33" s="44">
        <f>AVERAGE(pH_Sal!M26,pH_Sal!P26)</f>
        <v>8.6</v>
      </c>
      <c r="T33" s="63">
        <f>Schedule!B19</f>
        <v>44730</v>
      </c>
      <c r="U33" s="63">
        <f>Schedule!B20</f>
        <v>44747</v>
      </c>
      <c r="V33" s="63">
        <f t="shared" si="17"/>
        <v>44738.5</v>
      </c>
      <c r="W33" s="117">
        <f t="shared" si="18"/>
        <v>51</v>
      </c>
      <c r="X33">
        <f t="shared" ref="X33:X51" si="23">X32+H33</f>
        <v>34</v>
      </c>
      <c r="Y33" s="44">
        <f t="shared" si="19"/>
        <v>0.23529411764705882</v>
      </c>
      <c r="AB33" s="44">
        <f>'BSi data'!$W45</f>
        <v>3.26793294016983</v>
      </c>
      <c r="AC33" s="44">
        <f>'BSi data'!$X45</f>
        <v>6.9907472543540434</v>
      </c>
      <c r="AF33" s="44">
        <f>'PIC data_CWE_QC'!AF31</f>
        <v>71.855473522521095</v>
      </c>
      <c r="AG33" s="44">
        <f t="shared" ref="AG33" si="24">AF33*12.01/100.0869</f>
        <v>8.6223495482973131</v>
      </c>
      <c r="AH33" s="208">
        <f t="shared" si="21"/>
        <v>5.502460670513722</v>
      </c>
      <c r="AI33" s="208">
        <f t="shared" si="22"/>
        <v>95.42061644998428</v>
      </c>
      <c r="AK33" s="208">
        <f t="shared" si="13"/>
        <v>7.2025711028887613</v>
      </c>
    </row>
    <row r="34" spans="1:37" s="44" customFormat="1">
      <c r="A34" s="44">
        <v>2022</v>
      </c>
      <c r="B34" s="44" t="str">
        <f>'[1]sample processing comments'!B33</f>
        <v>47_2000</v>
      </c>
      <c r="C34" s="44" t="s">
        <v>3026</v>
      </c>
      <c r="D34" s="44">
        <f>'sample processing comments'!D33</f>
        <v>1</v>
      </c>
      <c r="E34" s="44">
        <f>'mass filt'!V36</f>
        <v>128.21428571428572</v>
      </c>
      <c r="F34" s="44">
        <v>0.5</v>
      </c>
      <c r="G34" s="44" t="str">
        <f>'sample processing comments'!H33</f>
        <v>IN2022_V03 carboy 8 12/5/22 04:35 46˚ 46.723, 141˚ 141.228</v>
      </c>
      <c r="H34" s="117">
        <f t="shared" si="14"/>
        <v>17</v>
      </c>
      <c r="I34" s="44">
        <f t="shared" si="15"/>
        <v>15.08403361344538</v>
      </c>
      <c r="J34" s="44">
        <f t="shared" si="16"/>
        <v>5.5094432773109254</v>
      </c>
      <c r="L34" s="44">
        <v>1</v>
      </c>
      <c r="M34" s="208">
        <f>'CHN data'!E30</f>
        <v>13.998252868652344</v>
      </c>
      <c r="N34" s="208">
        <f>'CHN data'!F30</f>
        <v>0.88012850284576416</v>
      </c>
      <c r="O34" s="208">
        <f>'CHN data'!D30</f>
        <v>0.89602220058441162</v>
      </c>
      <c r="R34" s="44">
        <f>pH_Sal!E27</f>
        <v>39.734815737579275</v>
      </c>
      <c r="S34" s="44">
        <f>pH_Sal!M27</f>
        <v>8.59</v>
      </c>
      <c r="T34" s="63">
        <f>Schedule!B20</f>
        <v>44747</v>
      </c>
      <c r="U34" s="63">
        <f>Schedule!B21</f>
        <v>44764</v>
      </c>
      <c r="V34" s="63">
        <f t="shared" si="17"/>
        <v>44755.5</v>
      </c>
      <c r="W34" s="117">
        <f t="shared" si="18"/>
        <v>68</v>
      </c>
      <c r="X34">
        <f t="shared" si="23"/>
        <v>51</v>
      </c>
      <c r="Y34" s="44">
        <f t="shared" si="19"/>
        <v>0.11764705882352941</v>
      </c>
      <c r="AB34" s="44">
        <f>'BSi data'!$W46</f>
        <v>3.793839700254102</v>
      </c>
      <c r="AC34" s="44">
        <f>'BSi data'!$X46</f>
        <v>8.1157645990839811</v>
      </c>
      <c r="AF34" s="44">
        <f>'PIC data_CWE_QC'!AF32</f>
        <v>70.84442953702181</v>
      </c>
      <c r="AG34" s="44">
        <f t="shared" ref="AG34" si="25">AF34*12.01/100.0869</f>
        <v>8.5010285935485257</v>
      </c>
      <c r="AH34" s="208">
        <f t="shared" si="21"/>
        <v>5.4972242751038181</v>
      </c>
      <c r="AI34" s="208">
        <f t="shared" si="22"/>
        <v>95.646821647233438</v>
      </c>
      <c r="AK34" s="208">
        <f t="shared" si="13"/>
        <v>7.1568153658731068</v>
      </c>
    </row>
    <row r="35" spans="1:37" s="44" customFormat="1">
      <c r="A35" s="44">
        <v>2022</v>
      </c>
      <c r="B35" s="44" t="str">
        <f>'[1]sample processing comments'!B34</f>
        <v>47_2000</v>
      </c>
      <c r="C35" s="44" t="s">
        <v>3027</v>
      </c>
      <c r="D35" s="44">
        <f>'sample processing comments'!D34</f>
        <v>3</v>
      </c>
      <c r="E35" s="44">
        <f>'mass filt'!V37</f>
        <v>361.92857142857133</v>
      </c>
      <c r="F35" s="44">
        <v>0.5</v>
      </c>
      <c r="G35" s="44" t="str">
        <f>'sample processing comments'!H34</f>
        <v>IN2022_V03 carboy 8 12/5/22 04:35 46˚ 46.723, 141˚ 141.228</v>
      </c>
      <c r="H35" s="117">
        <f t="shared" si="14"/>
        <v>17</v>
      </c>
      <c r="I35" s="44">
        <f t="shared" si="15"/>
        <v>42.579831932773097</v>
      </c>
      <c r="J35" s="44">
        <f t="shared" si="16"/>
        <v>15.552283613445374</v>
      </c>
      <c r="L35" s="44">
        <v>1</v>
      </c>
      <c r="M35" s="208">
        <f>'CHN data'!E31</f>
        <v>13.26401424407959</v>
      </c>
      <c r="N35" s="208">
        <f>'CHN data'!F31</f>
        <v>0.7707405686378479</v>
      </c>
      <c r="O35" s="208">
        <f>'CHN data'!D31</f>
        <v>0.72803771495819092</v>
      </c>
      <c r="R35" s="44">
        <f>pH_Sal!E28</f>
        <v>38.791347926916671</v>
      </c>
      <c r="S35" s="44">
        <f>pH_Sal!M28</f>
        <v>8.59</v>
      </c>
      <c r="T35" s="63">
        <f>Schedule!B21</f>
        <v>44764</v>
      </c>
      <c r="U35" s="63">
        <f>Schedule!B22</f>
        <v>44781</v>
      </c>
      <c r="V35" s="63">
        <f t="shared" si="17"/>
        <v>44772.5</v>
      </c>
      <c r="W35" s="117">
        <f t="shared" si="18"/>
        <v>85</v>
      </c>
      <c r="X35">
        <f t="shared" si="23"/>
        <v>68</v>
      </c>
      <c r="Y35" s="44">
        <f t="shared" si="19"/>
        <v>0.35294117647058826</v>
      </c>
      <c r="AB35" s="44">
        <f>'BSi data'!$W47</f>
        <v>4.1620038469748124</v>
      </c>
      <c r="AC35" s="44">
        <f>'BSi data'!$X47</f>
        <v>8.9033396641052516</v>
      </c>
      <c r="AF35" s="44">
        <f>'PIC data_CWE_QC'!AF33</f>
        <v>72.170712113184663</v>
      </c>
      <c r="AG35" s="44">
        <f t="shared" ref="AG35" si="26">AF35*12.01/100.0869</f>
        <v>8.6601768311272291</v>
      </c>
      <c r="AH35" s="208">
        <f t="shared" si="21"/>
        <v>4.6038374129523607</v>
      </c>
      <c r="AI35" s="208">
        <f t="shared" si="22"/>
        <v>95.881861448836688</v>
      </c>
      <c r="AK35" s="208">
        <f t="shared" si="13"/>
        <v>7.3766848181729179</v>
      </c>
    </row>
    <row r="36" spans="1:37" s="44" customFormat="1">
      <c r="A36" s="44">
        <v>2022</v>
      </c>
      <c r="B36" s="44" t="str">
        <f>'[1]sample processing comments'!B35</f>
        <v>47_2000</v>
      </c>
      <c r="C36" s="44" t="s">
        <v>3028</v>
      </c>
      <c r="D36" s="44">
        <f>'sample processing comments'!D35</f>
        <v>2</v>
      </c>
      <c r="E36" s="44">
        <f>'mass filt'!V38</f>
        <v>217.92857142857144</v>
      </c>
      <c r="F36" s="44">
        <v>0.5</v>
      </c>
      <c r="G36" s="44" t="str">
        <f>'sample processing comments'!H35</f>
        <v>IN2022_V03 carboy 8 12/5/22 04:35 46˚ 46.723, 141˚ 141.228</v>
      </c>
      <c r="H36" s="117">
        <f t="shared" si="14"/>
        <v>17</v>
      </c>
      <c r="I36" s="44">
        <f t="shared" si="15"/>
        <v>25.638655462184875</v>
      </c>
      <c r="J36" s="44">
        <f t="shared" si="16"/>
        <v>9.364518907563026</v>
      </c>
      <c r="L36" s="44">
        <v>1</v>
      </c>
      <c r="M36" s="208">
        <f>'CHN data'!E32</f>
        <v>13.046916007995605</v>
      </c>
      <c r="N36" s="208">
        <f>'CHN data'!F32</f>
        <v>0.77816194295883179</v>
      </c>
      <c r="O36" s="208">
        <f>'CHN data'!D32</f>
        <v>0.71530050039291382</v>
      </c>
      <c r="R36" s="44">
        <f>pH_Sal!E29</f>
        <v>39.299141730671622</v>
      </c>
      <c r="S36" s="44">
        <f>pH_Sal!M29</f>
        <v>8.6</v>
      </c>
      <c r="T36" s="63">
        <f>Schedule!B22</f>
        <v>44781</v>
      </c>
      <c r="U36" s="63">
        <f>Schedule!B23</f>
        <v>44798</v>
      </c>
      <c r="V36" s="63">
        <f t="shared" si="17"/>
        <v>44789.5</v>
      </c>
      <c r="W36" s="117">
        <f t="shared" si="18"/>
        <v>102</v>
      </c>
      <c r="X36">
        <f t="shared" si="23"/>
        <v>85</v>
      </c>
      <c r="Y36" s="44">
        <f t="shared" si="19"/>
        <v>0.23529411764705882</v>
      </c>
      <c r="AB36" s="44">
        <f>'BSi data'!$W48</f>
        <v>5.2782304471750763</v>
      </c>
      <c r="AC36" s="44">
        <f>'BSi data'!$X48</f>
        <v>11.291166520852631</v>
      </c>
      <c r="AF36" s="44">
        <f>'PIC data_CWE_QC'!AF34</f>
        <v>71.421985541200854</v>
      </c>
      <c r="AG36" s="44">
        <f t="shared" ref="AG36" si="27">AF36*12.01/100.0869</f>
        <v>8.5703328442565638</v>
      </c>
      <c r="AH36" s="208">
        <f t="shared" si="21"/>
        <v>4.4765831637390416</v>
      </c>
      <c r="AI36" s="208">
        <f t="shared" si="22"/>
        <v>97.503663339573166</v>
      </c>
      <c r="AK36" s="208">
        <f t="shared" si="13"/>
        <v>7.3005109389090155</v>
      </c>
    </row>
    <row r="37" spans="1:37" s="44" customFormat="1">
      <c r="A37" s="44">
        <v>2022</v>
      </c>
      <c r="B37" s="44" t="str">
        <f>'[1]sample processing comments'!B36</f>
        <v>47_2000</v>
      </c>
      <c r="C37" s="44" t="s">
        <v>3029</v>
      </c>
      <c r="D37" s="44">
        <f>'sample processing comments'!D36</f>
        <v>4</v>
      </c>
      <c r="E37" s="44">
        <f>'mass filt'!V39</f>
        <v>240.57142857142853</v>
      </c>
      <c r="F37" s="44">
        <v>0.5</v>
      </c>
      <c r="G37" s="44" t="str">
        <f>'sample processing comments'!H36</f>
        <v>IN2022_V03 carboy 8 12/5/22 04:35 46˚ 46.723, 141˚ 141.228</v>
      </c>
      <c r="H37" s="117">
        <f t="shared" si="14"/>
        <v>17</v>
      </c>
      <c r="I37" s="44">
        <f t="shared" si="15"/>
        <v>28.302521008403357</v>
      </c>
      <c r="J37" s="44">
        <f t="shared" si="16"/>
        <v>10.337495798319326</v>
      </c>
      <c r="L37" s="44">
        <v>1</v>
      </c>
      <c r="M37" s="208">
        <f>'CHN data'!E33</f>
        <v>13.122382164001465</v>
      </c>
      <c r="N37" s="208">
        <f>'CHN data'!F33</f>
        <v>0.81378859281539917</v>
      </c>
      <c r="O37" s="208">
        <f>'CHN data'!D33</f>
        <v>0.75174504518508911</v>
      </c>
      <c r="R37" s="44">
        <f>pH_Sal!E30</f>
        <v>39.807465687206999</v>
      </c>
      <c r="S37" s="44">
        <f>pH_Sal!M30</f>
        <v>8.6199999999999992</v>
      </c>
      <c r="T37" s="63">
        <f>Schedule!B23</f>
        <v>44798</v>
      </c>
      <c r="U37" s="63">
        <f>Schedule!B24</f>
        <v>44815</v>
      </c>
      <c r="V37" s="63">
        <f t="shared" si="17"/>
        <v>44806.5</v>
      </c>
      <c r="W37" s="117">
        <f t="shared" si="18"/>
        <v>119</v>
      </c>
      <c r="X37">
        <f t="shared" si="23"/>
        <v>102</v>
      </c>
      <c r="Y37" s="44">
        <f t="shared" si="19"/>
        <v>0.47058823529411764</v>
      </c>
      <c r="AB37" s="44">
        <f>'BSi data'!$W49</f>
        <v>5.5786419239799363</v>
      </c>
      <c r="AC37" s="44">
        <f>'BSi data'!$X49</f>
        <v>11.933805383124044</v>
      </c>
      <c r="AF37" s="44">
        <f>'PIC data_CWE_QC'!AF35</f>
        <v>69.913179121790151</v>
      </c>
      <c r="AG37" s="44">
        <f t="shared" ref="AG37" si="28">AF37*12.01/100.0869</f>
        <v>8.3892825260118933</v>
      </c>
      <c r="AH37" s="208">
        <f t="shared" si="21"/>
        <v>4.7330996379895716</v>
      </c>
      <c r="AI37" s="208">
        <f t="shared" si="22"/>
        <v>97.272522300634904</v>
      </c>
      <c r="AK37" s="208">
        <f t="shared" si="13"/>
        <v>7.3446347075047171</v>
      </c>
    </row>
    <row r="38" spans="1:37" s="44" customFormat="1">
      <c r="A38" s="44">
        <v>2022</v>
      </c>
      <c r="B38" s="44" t="str">
        <f>'[1]sample processing comments'!B37</f>
        <v>47_2000</v>
      </c>
      <c r="C38" s="44" t="s">
        <v>3030</v>
      </c>
      <c r="D38" s="44">
        <f>'sample processing comments'!D37</f>
        <v>5</v>
      </c>
      <c r="E38" s="44">
        <f>'mass filt'!V40</f>
        <v>370.7714285714286</v>
      </c>
      <c r="F38" s="44">
        <v>0.5</v>
      </c>
      <c r="G38" s="44" t="str">
        <f>'sample processing comments'!H37</f>
        <v>IN2022_V03 carboy 8 12/5/22 04:35 46˚ 46.723, 141˚ 141.228</v>
      </c>
      <c r="H38" s="117">
        <f t="shared" si="14"/>
        <v>17</v>
      </c>
      <c r="I38" s="44">
        <f t="shared" si="15"/>
        <v>43.620168067226892</v>
      </c>
      <c r="J38" s="44">
        <f t="shared" si="16"/>
        <v>15.932266386554625</v>
      </c>
      <c r="K38" s="30" t="s">
        <v>3657</v>
      </c>
      <c r="L38" s="44">
        <v>1</v>
      </c>
      <c r="M38" s="208">
        <f>'CHN data'!E34</f>
        <v>12.903997421264648</v>
      </c>
      <c r="N38" s="208">
        <f>'CHN data'!F34</f>
        <v>0.79861712455749512</v>
      </c>
      <c r="O38" s="208">
        <f>'CHN data'!D34</f>
        <v>0.71574407815933228</v>
      </c>
      <c r="R38" s="44">
        <f>pH_Sal!E31</f>
        <v>39.807465687206999</v>
      </c>
      <c r="S38" s="44">
        <f>pH_Sal!M31</f>
        <v>8.6</v>
      </c>
      <c r="T38" s="63">
        <f>Schedule!B24</f>
        <v>44815</v>
      </c>
      <c r="U38" s="63">
        <f>Schedule!B25</f>
        <v>44832</v>
      </c>
      <c r="V38" s="63">
        <f t="shared" si="17"/>
        <v>44823.5</v>
      </c>
      <c r="W38" s="117">
        <f t="shared" si="18"/>
        <v>136</v>
      </c>
      <c r="X38">
        <f t="shared" si="23"/>
        <v>119</v>
      </c>
      <c r="Y38" s="44">
        <f t="shared" si="19"/>
        <v>0.58823529411764708</v>
      </c>
      <c r="AB38" s="44">
        <f>'BSi data'!$W50</f>
        <v>6.1372690011809432</v>
      </c>
      <c r="AC38" s="44">
        <f>'BSi data'!$X50</f>
        <v>13.128817881130752</v>
      </c>
      <c r="AF38" s="44">
        <f>'PIC data_CWE_QC'!AF36</f>
        <v>69.919599299434765</v>
      </c>
      <c r="AG38" s="44">
        <f t="shared" ref="AG38" si="29">AF38*12.01/100.0869</f>
        <v>8.3900529198747442</v>
      </c>
      <c r="AH38" s="208">
        <f t="shared" si="21"/>
        <v>4.5139445013899042</v>
      </c>
      <c r="AI38" s="208">
        <f t="shared" si="22"/>
        <v>98.123265050547687</v>
      </c>
      <c r="AK38" s="208">
        <f t="shared" si="13"/>
        <v>7.3568784303076917</v>
      </c>
    </row>
    <row r="39" spans="1:37" s="44" customFormat="1">
      <c r="A39" s="44">
        <v>2022</v>
      </c>
      <c r="B39" s="44" t="str">
        <f>'[1]sample processing comments'!B38</f>
        <v>47_2000</v>
      </c>
      <c r="C39" s="44" t="s">
        <v>3031</v>
      </c>
      <c r="D39" s="44">
        <f>'sample processing comments'!D38</f>
        <v>2</v>
      </c>
      <c r="E39" s="44">
        <f>'mass filt'!V41</f>
        <v>386.44285714285718</v>
      </c>
      <c r="F39" s="44">
        <v>0.5</v>
      </c>
      <c r="G39" s="44" t="str">
        <f>'sample processing comments'!H38</f>
        <v>IN2022_V03 carboy 8 12/5/22 04:35 46˚ 46.723, 141˚ 141.228</v>
      </c>
      <c r="H39" s="117">
        <f t="shared" si="14"/>
        <v>17</v>
      </c>
      <c r="I39" s="44">
        <f t="shared" si="15"/>
        <v>45.463865546218493</v>
      </c>
      <c r="J39" s="44">
        <f t="shared" si="16"/>
        <v>16.605676890756307</v>
      </c>
      <c r="L39" s="44">
        <v>1</v>
      </c>
      <c r="M39" s="208">
        <f>'CHN data'!E35</f>
        <v>12.563013076782227</v>
      </c>
      <c r="N39" s="208">
        <f>'CHN data'!F35</f>
        <v>0.69049811363220215</v>
      </c>
      <c r="O39" s="208">
        <f>'CHN data'!D35</f>
        <v>0.59883177280426025</v>
      </c>
      <c r="R39" s="44">
        <f>pH_Sal!E32</f>
        <v>39.516930272554035</v>
      </c>
      <c r="S39" s="44">
        <f>pH_Sal!M32</f>
        <v>8.61</v>
      </c>
      <c r="T39" s="63">
        <f>Schedule!B25</f>
        <v>44832</v>
      </c>
      <c r="U39" s="63">
        <f>Schedule!B26</f>
        <v>44849</v>
      </c>
      <c r="V39" s="63">
        <f t="shared" si="17"/>
        <v>44840.5</v>
      </c>
      <c r="W39" s="117">
        <f t="shared" si="18"/>
        <v>153</v>
      </c>
      <c r="X39">
        <f t="shared" si="23"/>
        <v>136</v>
      </c>
      <c r="Y39" s="44">
        <f t="shared" si="19"/>
        <v>0.23529411764705882</v>
      </c>
      <c r="AB39" s="44">
        <f>'BSi data'!$W51</f>
        <v>5.7415043245843318</v>
      </c>
      <c r="AC39" s="44">
        <f>'BSi data'!$X51</f>
        <v>12.282199888368549</v>
      </c>
      <c r="AF39" s="44">
        <f>'PIC data_CWE_QC'!AF37</f>
        <v>72.45048363979042</v>
      </c>
      <c r="AG39" s="44">
        <f t="shared" ref="AG39" si="30">AF39*12.01/100.0869</f>
        <v>8.6937482179374417</v>
      </c>
      <c r="AH39" s="208">
        <f t="shared" si="21"/>
        <v>3.8692648588447849</v>
      </c>
      <c r="AI39" s="208">
        <f t="shared" si="22"/>
        <v>98.296108205338044</v>
      </c>
      <c r="AK39" s="208">
        <f t="shared" si="13"/>
        <v>7.537351205905221</v>
      </c>
    </row>
    <row r="40" spans="1:37" s="44" customFormat="1">
      <c r="A40" s="44">
        <v>2022</v>
      </c>
      <c r="B40" s="44" t="str">
        <f>'[1]sample processing comments'!B39</f>
        <v>47_2000</v>
      </c>
      <c r="C40" s="44" t="s">
        <v>3032</v>
      </c>
      <c r="D40" s="44">
        <f>'sample processing comments'!D39</f>
        <v>3</v>
      </c>
      <c r="E40" s="44">
        <f>'mass filt'!V42</f>
        <v>388.2</v>
      </c>
      <c r="F40" s="44">
        <v>0.5</v>
      </c>
      <c r="G40" s="44" t="str">
        <f>'sample processing comments'!H39</f>
        <v>IN2022_V03 carboy 6 12/5/22 03:43 46˚ 46.711, 141˚ 141.645</v>
      </c>
      <c r="H40" s="117">
        <f t="shared" si="14"/>
        <v>17</v>
      </c>
      <c r="I40" s="44">
        <f t="shared" si="15"/>
        <v>45.670588235294119</v>
      </c>
      <c r="J40" s="44">
        <f t="shared" si="16"/>
        <v>16.681182352941178</v>
      </c>
      <c r="L40" s="44">
        <v>1</v>
      </c>
      <c r="M40" s="208">
        <f>'CHN data'!E36</f>
        <v>13.241850852966309</v>
      </c>
      <c r="N40" s="208">
        <f>'CHN data'!F36</f>
        <v>0.73611801862716675</v>
      </c>
      <c r="O40" s="208">
        <f>'CHN data'!D36</f>
        <v>0.69182890653610229</v>
      </c>
      <c r="R40" s="44">
        <f>pH_Sal!E33</f>
        <v>39.662176507611733</v>
      </c>
      <c r="S40" s="44">
        <f>pH_Sal!M33</f>
        <v>8.52</v>
      </c>
      <c r="T40" s="63">
        <f>Schedule!B26</f>
        <v>44849</v>
      </c>
      <c r="U40" s="63">
        <f>Schedule!B27</f>
        <v>44866</v>
      </c>
      <c r="V40" s="63">
        <f t="shared" si="17"/>
        <v>44857.5</v>
      </c>
      <c r="W40" s="117">
        <f t="shared" si="18"/>
        <v>170</v>
      </c>
      <c r="X40">
        <f t="shared" si="23"/>
        <v>153</v>
      </c>
      <c r="Y40" s="44">
        <f t="shared" si="19"/>
        <v>0.35294117647058826</v>
      </c>
      <c r="AB40" s="44">
        <f>'BSi data'!$W52</f>
        <v>4.3357834628471599</v>
      </c>
      <c r="AC40" s="44">
        <f>'BSi data'!$X52</f>
        <v>9.2750882265035894</v>
      </c>
      <c r="AF40" s="44">
        <f>'PIC data_CWE_QC'!AF38</f>
        <v>75.652797991872973</v>
      </c>
      <c r="AG40" s="44">
        <f t="shared" ref="AG40" si="31">AF40*12.01/100.0869</f>
        <v>9.078012246182011</v>
      </c>
      <c r="AH40" s="208">
        <f t="shared" si="21"/>
        <v>4.1638386067842976</v>
      </c>
      <c r="AI40" s="208">
        <f t="shared" si="22"/>
        <v>98.808590858217414</v>
      </c>
      <c r="AK40" s="208">
        <f t="shared" si="13"/>
        <v>7.0208599736623318</v>
      </c>
    </row>
    <row r="41" spans="1:37" s="44" customFormat="1">
      <c r="A41" s="44">
        <v>2022</v>
      </c>
      <c r="B41" s="44" t="str">
        <f>'[1]sample processing comments'!B40</f>
        <v>47_2000</v>
      </c>
      <c r="C41" s="44" t="s">
        <v>3034</v>
      </c>
      <c r="D41" s="44">
        <f>'sample processing comments'!D40</f>
        <v>3</v>
      </c>
      <c r="E41" s="44">
        <f>'mass filt'!V43</f>
        <v>298.42857142857144</v>
      </c>
      <c r="F41" s="44">
        <v>0.5</v>
      </c>
      <c r="G41" s="44" t="str">
        <f>'sample processing comments'!H40</f>
        <v>IN2022_V03 carboy 6 12/5/22 03:43 46˚ 46.711, 141˚ 141.645</v>
      </c>
      <c r="H41" s="117">
        <f t="shared" si="14"/>
        <v>17</v>
      </c>
      <c r="I41" s="44">
        <f t="shared" si="15"/>
        <v>35.109243697478995</v>
      </c>
      <c r="J41" s="44">
        <f t="shared" si="16"/>
        <v>12.823651260504203</v>
      </c>
      <c r="L41" s="44">
        <v>1</v>
      </c>
      <c r="M41" s="208">
        <f>'CHN data'!E37</f>
        <v>12.646408081054688</v>
      </c>
      <c r="N41" s="208">
        <f>'CHN data'!F37</f>
        <v>0.56469756364822388</v>
      </c>
      <c r="O41" s="208">
        <f>'CHN data'!D37</f>
        <v>0.47727426886558533</v>
      </c>
      <c r="R41" s="44">
        <f>pH_Sal!E34</f>
        <v>39.880126340086932</v>
      </c>
      <c r="S41" s="44">
        <f>pH_Sal!M34</f>
        <v>8.59</v>
      </c>
      <c r="T41" s="63">
        <f>Schedule!B27</f>
        <v>44866</v>
      </c>
      <c r="U41" s="63">
        <f>Schedule!B28</f>
        <v>44883</v>
      </c>
      <c r="V41" s="63">
        <f t="shared" si="17"/>
        <v>44874.5</v>
      </c>
      <c r="W41" s="117">
        <f t="shared" si="18"/>
        <v>187</v>
      </c>
      <c r="X41">
        <f t="shared" si="23"/>
        <v>170</v>
      </c>
      <c r="Y41" s="44">
        <f t="shared" si="19"/>
        <v>0.35294117647058826</v>
      </c>
      <c r="AB41" s="44">
        <f>'BSi data'!$W53</f>
        <v>3.8108573990090702</v>
      </c>
      <c r="AC41" s="44">
        <f>'BSi data'!$X53</f>
        <v>8.1521687827146696</v>
      </c>
      <c r="AF41" s="44">
        <f>'PIC data_CWE_QC'!AF39</f>
        <v>79.730332793076599</v>
      </c>
      <c r="AG41" s="44">
        <f t="shared" ref="AG41" si="32">AF41*12.01/100.0869</f>
        <v>9.5672989856299875</v>
      </c>
      <c r="AH41" s="208">
        <f t="shared" ref="AH41" si="33">M41-AG41</f>
        <v>3.0791090954247</v>
      </c>
      <c r="AI41" s="208">
        <f t="shared" ref="AI41" si="34">AF41+(AC41*1.11)+(AH41*2.2)+3.7</f>
        <v>99.253280151824228</v>
      </c>
      <c r="AK41" s="208">
        <f t="shared" ref="AK41" si="35">(AH41/12.01)/(O41/14.01)</f>
        <v>7.5257915228493681</v>
      </c>
    </row>
    <row r="42" spans="1:37" s="44" customFormat="1">
      <c r="A42" s="44">
        <v>2022</v>
      </c>
      <c r="B42" s="44" t="str">
        <f>'[1]sample processing comments'!B41</f>
        <v>47_2000</v>
      </c>
      <c r="C42" s="44" t="s">
        <v>3035</v>
      </c>
      <c r="D42" s="44">
        <f>'sample processing comments'!D41</f>
        <v>2</v>
      </c>
      <c r="E42" s="44">
        <f>'mass filt'!V44</f>
        <v>533.55714285714282</v>
      </c>
      <c r="F42" s="44">
        <v>0.5</v>
      </c>
      <c r="G42" s="44" t="str">
        <f>'sample processing comments'!H41</f>
        <v>IN2022_V03 carboy 6 12/5/22 03:43 46˚ 46.711, 141˚ 141.645</v>
      </c>
      <c r="H42" s="117">
        <f t="shared" si="14"/>
        <v>17</v>
      </c>
      <c r="I42" s="44">
        <f t="shared" si="15"/>
        <v>62.771428571428565</v>
      </c>
      <c r="J42" s="44">
        <f t="shared" si="16"/>
        <v>22.927264285714287</v>
      </c>
      <c r="L42" s="44">
        <v>1</v>
      </c>
      <c r="M42" s="208">
        <f>'CHN data'!E38</f>
        <v>12.868570327758789</v>
      </c>
      <c r="N42" s="208">
        <f>'CHN data'!F38</f>
        <v>0.62590712308883667</v>
      </c>
      <c r="O42" s="208">
        <f>'CHN data'!D38</f>
        <v>0.57263672351837158</v>
      </c>
      <c r="R42" s="44">
        <f>pH_Sal!E35</f>
        <v>39.807465687206999</v>
      </c>
      <c r="S42" s="44">
        <f>pH_Sal!M35</f>
        <v>8.56</v>
      </c>
      <c r="T42" s="63">
        <f>Schedule!B28</f>
        <v>44883</v>
      </c>
      <c r="U42" s="63">
        <f>Schedule!B29</f>
        <v>44900</v>
      </c>
      <c r="V42" s="63">
        <f t="shared" si="17"/>
        <v>44891.5</v>
      </c>
      <c r="W42" s="117">
        <f t="shared" si="18"/>
        <v>204</v>
      </c>
      <c r="X42">
        <f t="shared" si="23"/>
        <v>187</v>
      </c>
      <c r="Y42" s="44">
        <f t="shared" si="19"/>
        <v>0.23529411764705882</v>
      </c>
      <c r="AB42" s="44">
        <f>'BSi data'!$W54</f>
        <v>3.8582195390873464</v>
      </c>
      <c r="AC42" s="44">
        <f>'BSi data'!$X54</f>
        <v>8.253485656951181</v>
      </c>
      <c r="AF42" s="44">
        <f>'PIC data_CWE_QC'!AF40</f>
        <v>76.615845940403659</v>
      </c>
      <c r="AG42" s="44">
        <f t="shared" ref="AG42" si="36">AF42*12.01/100.0869</f>
        <v>9.1935738817392476</v>
      </c>
      <c r="AH42" s="208">
        <f t="shared" si="21"/>
        <v>3.6749964460195415</v>
      </c>
      <c r="AI42" s="208">
        <f t="shared" si="22"/>
        <v>97.562207200862474</v>
      </c>
      <c r="AK42" s="208">
        <f t="shared" si="13"/>
        <v>7.4863970235250203</v>
      </c>
    </row>
    <row r="43" spans="1:37" s="44" customFormat="1">
      <c r="A43" s="44">
        <v>2022</v>
      </c>
      <c r="B43" s="44" t="str">
        <f>'[1]sample processing comments'!B42</f>
        <v>47_2000</v>
      </c>
      <c r="C43" s="44" t="s">
        <v>3036</v>
      </c>
      <c r="D43" s="44">
        <f>'sample processing comments'!D42</f>
        <v>1</v>
      </c>
      <c r="E43" s="44">
        <f>'mass filt'!V45</f>
        <v>916.82857142857142</v>
      </c>
      <c r="F43" s="44">
        <v>0.5</v>
      </c>
      <c r="G43" s="44" t="str">
        <f>'sample processing comments'!H42</f>
        <v>IN2022_V03 carboy 6 12/5/22 03:43 46˚ 46.711, 141˚ 141.645</v>
      </c>
      <c r="H43" s="117">
        <f t="shared" si="14"/>
        <v>17</v>
      </c>
      <c r="I43" s="44">
        <f t="shared" si="15"/>
        <v>107.86218487394957</v>
      </c>
      <c r="J43" s="44">
        <f t="shared" si="16"/>
        <v>39.396663025210088</v>
      </c>
      <c r="L43" s="44">
        <v>1</v>
      </c>
      <c r="M43" s="208">
        <f>AVERAGE('CHN data'!E40,'CHN data'!E41)</f>
        <v>13.390506744384766</v>
      </c>
      <c r="N43" s="208">
        <f>AVERAGE('CHN data'!F40,'CHN data'!F41)</f>
        <v>0.70632770657539368</v>
      </c>
      <c r="O43" s="208">
        <f>AVERAGE('CHN data'!D40,'CHN data'!D41)</f>
        <v>0.71725532412528992</v>
      </c>
      <c r="R43" s="44">
        <f>AVERAGE(pH_Sal!E36,pH_Sal!I36)</f>
        <v>39.226567166210792</v>
      </c>
      <c r="S43" s="44">
        <f>AVERAGE(pH_Sal!M36,pH_Sal!P36)</f>
        <v>8.5949999999999989</v>
      </c>
      <c r="T43" s="63">
        <f>Schedule!B29</f>
        <v>44900</v>
      </c>
      <c r="U43" s="63">
        <f>Schedule!B30</f>
        <v>44917</v>
      </c>
      <c r="V43" s="63">
        <f t="shared" si="17"/>
        <v>44908.5</v>
      </c>
      <c r="W43" s="117">
        <f t="shared" si="18"/>
        <v>221</v>
      </c>
      <c r="X43">
        <f t="shared" si="23"/>
        <v>204</v>
      </c>
      <c r="Y43" s="44">
        <f t="shared" si="19"/>
        <v>0.11764705882352941</v>
      </c>
      <c r="AB43" s="44">
        <f>'BSi data'!$W55</f>
        <v>4.0036366194561639</v>
      </c>
      <c r="AC43" s="44">
        <f>'BSi data'!$X55</f>
        <v>8.5645612126422535</v>
      </c>
      <c r="AF43" s="44">
        <f>'PIC data_CWE_QC'!AF41</f>
        <v>76.617145424792767</v>
      </c>
      <c r="AG43" s="44">
        <f t="shared" ref="AG43" si="37">AF43*12.01/100.0869</f>
        <v>9.193729814308977</v>
      </c>
      <c r="AH43" s="208">
        <f t="shared" si="21"/>
        <v>4.1967769300757887</v>
      </c>
      <c r="AI43" s="208">
        <f t="shared" si="22"/>
        <v>99.056717616992415</v>
      </c>
      <c r="AK43" s="208">
        <f t="shared" si="13"/>
        <v>6.8255434107433803</v>
      </c>
    </row>
    <row r="44" spans="1:37" s="30" customFormat="1">
      <c r="A44" s="30">
        <v>2022</v>
      </c>
      <c r="B44" s="30" t="s">
        <v>76</v>
      </c>
      <c r="C44" s="30" t="s">
        <v>3037</v>
      </c>
      <c r="E44" s="30" t="s">
        <v>3656</v>
      </c>
      <c r="F44" s="30">
        <v>0.5</v>
      </c>
      <c r="H44" s="117">
        <v>17</v>
      </c>
      <c r="I44" s="44" t="s">
        <v>3656</v>
      </c>
      <c r="J44" s="44" t="s">
        <v>3656</v>
      </c>
      <c r="L44" s="30">
        <v>0</v>
      </c>
      <c r="M44" s="44" t="s">
        <v>3656</v>
      </c>
      <c r="N44" s="44" t="s">
        <v>3656</v>
      </c>
      <c r="O44" s="44" t="s">
        <v>3656</v>
      </c>
      <c r="R44" s="44"/>
      <c r="T44" s="63">
        <f>Schedule!B30</f>
        <v>44917</v>
      </c>
      <c r="U44" s="63">
        <f>Schedule!B31</f>
        <v>44934</v>
      </c>
      <c r="V44" s="63">
        <f t="shared" ref="V44" si="38">AVERAGE(T44:U44)</f>
        <v>44925.5</v>
      </c>
      <c r="W44" s="117">
        <f t="shared" si="18"/>
        <v>238</v>
      </c>
      <c r="X44">
        <f t="shared" si="23"/>
        <v>221</v>
      </c>
      <c r="Y44" s="44">
        <f t="shared" si="19"/>
        <v>0</v>
      </c>
      <c r="Z44" s="44" t="s">
        <v>3658</v>
      </c>
      <c r="AB44" s="44" t="s">
        <v>3656</v>
      </c>
      <c r="AC44" s="44" t="s">
        <v>3656</v>
      </c>
      <c r="AF44" s="44" t="s">
        <v>3656</v>
      </c>
      <c r="AG44" s="44" t="s">
        <v>3656</v>
      </c>
      <c r="AH44" s="44" t="s">
        <v>3656</v>
      </c>
      <c r="AI44" s="208"/>
      <c r="AJ44" s="44"/>
      <c r="AK44" s="208"/>
    </row>
    <row r="45" spans="1:37" s="30" customFormat="1">
      <c r="A45" s="30">
        <v>2022</v>
      </c>
      <c r="B45" s="30" t="str">
        <f>'[1]sample processing comments'!B44</f>
        <v>47_2000</v>
      </c>
      <c r="C45" s="30" t="s">
        <v>3038</v>
      </c>
      <c r="D45" s="30" t="str">
        <f>'sample processing comments'!D44</f>
        <v>&lt;1</v>
      </c>
      <c r="E45" s="30" t="s">
        <v>3656</v>
      </c>
      <c r="F45" s="30">
        <v>0.5</v>
      </c>
      <c r="G45" s="30" t="str">
        <f>'sample processing comments'!H44</f>
        <v>IN2022_V03 carboy 6 12/5/22 03:43 46˚ 46.711, 141˚ 141.645</v>
      </c>
      <c r="H45" s="117">
        <f t="shared" si="14"/>
        <v>17</v>
      </c>
      <c r="I45" s="44" t="s">
        <v>3656</v>
      </c>
      <c r="J45" s="44" t="s">
        <v>3656</v>
      </c>
      <c r="L45" s="30">
        <v>0</v>
      </c>
      <c r="M45" s="44" t="s">
        <v>3656</v>
      </c>
      <c r="N45" s="44" t="s">
        <v>3656</v>
      </c>
      <c r="O45" s="44" t="s">
        <v>3656</v>
      </c>
      <c r="R45" s="44">
        <f>pH_Sal!E38</f>
        <v>39.516930272554035</v>
      </c>
      <c r="S45" s="30">
        <f>pH_Sal!M38</f>
        <v>8.64</v>
      </c>
      <c r="T45" s="312">
        <f>Schedule!B31</f>
        <v>44934</v>
      </c>
      <c r="U45" s="312">
        <f>Schedule!B32</f>
        <v>44951</v>
      </c>
      <c r="V45" s="312">
        <f>AVERAGE(T45:U45)</f>
        <v>44942.5</v>
      </c>
      <c r="W45" s="117">
        <f t="shared" si="18"/>
        <v>255</v>
      </c>
      <c r="X45">
        <f t="shared" si="23"/>
        <v>238</v>
      </c>
      <c r="Y45" s="44" t="e">
        <f t="shared" si="19"/>
        <v>#VALUE!</v>
      </c>
      <c r="Z45" s="30" t="s">
        <v>3659</v>
      </c>
      <c r="AB45" s="44" t="s">
        <v>3656</v>
      </c>
      <c r="AC45" s="44" t="s">
        <v>3656</v>
      </c>
      <c r="AF45" s="44" t="s">
        <v>3656</v>
      </c>
      <c r="AG45" s="44" t="s">
        <v>3656</v>
      </c>
      <c r="AH45" s="44" t="s">
        <v>3656</v>
      </c>
      <c r="AI45" s="208"/>
      <c r="AJ45" s="44"/>
      <c r="AK45" s="208"/>
    </row>
    <row r="46" spans="1:37" s="27" customFormat="1">
      <c r="A46" s="27">
        <v>2022</v>
      </c>
      <c r="B46" s="27" t="str">
        <f>'[1]sample processing comments'!B45</f>
        <v>47_2000</v>
      </c>
      <c r="C46" s="27" t="s">
        <v>3039</v>
      </c>
      <c r="D46" s="27" t="str">
        <f>'sample processing comments'!D45</f>
        <v>&lt;1</v>
      </c>
      <c r="E46" s="349">
        <f>'mass filt'!V48</f>
        <v>33.999999999999993</v>
      </c>
      <c r="F46" s="27">
        <v>0.5</v>
      </c>
      <c r="G46" s="27" t="str">
        <f>'sample processing comments'!H45</f>
        <v>IN2022_V03 carboy 6 12/5/22 03:43 46˚ 46.711, 141˚ 141.645</v>
      </c>
      <c r="H46" s="117">
        <f t="shared" si="14"/>
        <v>17</v>
      </c>
      <c r="I46" s="401">
        <f>E46/(F46+H47+H48+H49)/H46</f>
        <v>3.8834951456310669E-2</v>
      </c>
      <c r="J46" s="27">
        <f>0.001*365.25*E46/(F46+H47+H48+H49)/H46</f>
        <v>1.4184466019417474E-2</v>
      </c>
      <c r="L46" s="27">
        <v>1</v>
      </c>
      <c r="M46" s="220">
        <f>'CHN data'!E43</f>
        <v>13.844083786010742</v>
      </c>
      <c r="N46" s="220">
        <f>'CHN data'!F43</f>
        <v>0.95539230108261108</v>
      </c>
      <c r="O46" s="220">
        <f>'CHN data'!D43</f>
        <v>0.86480331420898438</v>
      </c>
      <c r="R46" s="27">
        <f>pH_Sal!E39</f>
        <v>38.791347926916671</v>
      </c>
      <c r="S46" s="27">
        <f>pH_Sal!M39</f>
        <v>8.66</v>
      </c>
      <c r="T46" s="221">
        <f>Schedule!B32</f>
        <v>44951</v>
      </c>
      <c r="U46" s="221">
        <f>Schedule!B33</f>
        <v>44968</v>
      </c>
      <c r="V46" s="63">
        <f>AVERAGE(T46,U46)</f>
        <v>44959.5</v>
      </c>
      <c r="W46" s="117">
        <f t="shared" si="18"/>
        <v>272</v>
      </c>
      <c r="X46">
        <f t="shared" si="23"/>
        <v>255</v>
      </c>
      <c r="Y46" s="44" t="e">
        <f>D46/0.5/(H46+H47+H48+H49)</f>
        <v>#VALUE!</v>
      </c>
      <c r="Z46" s="27" t="s">
        <v>3660</v>
      </c>
      <c r="AB46" s="44">
        <f>'BSi data'!$W58</f>
        <v>5.1309134890670283</v>
      </c>
      <c r="AC46" s="44">
        <f>'BSi data'!$X58</f>
        <v>10.976026755359126</v>
      </c>
      <c r="AF46" s="44">
        <f>'PIC data_CWE_QC'!AF44</f>
        <v>69.361820952840063</v>
      </c>
      <c r="AG46" s="44">
        <f t="shared" ref="AG46" si="39">AF46*12.01/100.0869</f>
        <v>8.3231219035019492</v>
      </c>
      <c r="AH46" s="208">
        <f t="shared" si="21"/>
        <v>5.5209618825087929</v>
      </c>
      <c r="AI46" s="208">
        <f t="shared" si="22"/>
        <v>97.391326792808044</v>
      </c>
      <c r="AJ46" s="44"/>
      <c r="AK46" s="208">
        <f t="shared" si="13"/>
        <v>7.447191666185744</v>
      </c>
    </row>
    <row r="47" spans="1:37" s="44" customFormat="1">
      <c r="A47" s="44">
        <v>2022</v>
      </c>
      <c r="B47" s="44" t="str">
        <f>'[1]sample processing comments'!B46</f>
        <v>47_2000</v>
      </c>
      <c r="C47" s="44" t="s">
        <v>3040</v>
      </c>
      <c r="D47" s="44" t="str">
        <f>'sample processing comments'!D46</f>
        <v>&lt;1</v>
      </c>
      <c r="E47" s="44" t="s">
        <v>3656</v>
      </c>
      <c r="F47" s="44">
        <v>0.5</v>
      </c>
      <c r="G47" s="44" t="str">
        <f>'sample processing comments'!H46</f>
        <v>IN2022_V03 carboy 6 12/5/22 03:43 46˚ 46.711, 141˚ 141.645</v>
      </c>
      <c r="H47" s="117">
        <f t="shared" si="14"/>
        <v>17</v>
      </c>
      <c r="I47" s="44" t="s">
        <v>3656</v>
      </c>
      <c r="J47" s="44" t="s">
        <v>3656</v>
      </c>
      <c r="L47" s="44">
        <v>0</v>
      </c>
      <c r="M47" s="44" t="s">
        <v>3656</v>
      </c>
      <c r="N47" s="44" t="s">
        <v>3656</v>
      </c>
      <c r="O47" s="44" t="s">
        <v>3656</v>
      </c>
      <c r="R47" s="44">
        <f>pH_Sal!E40</f>
        <v>40.24358958265212</v>
      </c>
      <c r="S47" s="44">
        <f>pH_Sal!M40</f>
        <v>8.64</v>
      </c>
      <c r="T47" s="63">
        <f>Schedule!B33</f>
        <v>44968</v>
      </c>
      <c r="U47" s="63">
        <f>Schedule!B34</f>
        <v>44985</v>
      </c>
      <c r="V47" s="63">
        <f>AVERAGE(T47,U47)</f>
        <v>44976.5</v>
      </c>
      <c r="W47" s="117">
        <f t="shared" si="18"/>
        <v>289</v>
      </c>
      <c r="X47">
        <f t="shared" si="23"/>
        <v>272</v>
      </c>
      <c r="Y47" s="44" t="e">
        <f t="shared" si="19"/>
        <v>#VALUE!</v>
      </c>
      <c r="AB47" s="44" t="s">
        <v>3656</v>
      </c>
      <c r="AC47" s="44" t="s">
        <v>3656</v>
      </c>
      <c r="AF47" s="44" t="s">
        <v>3656</v>
      </c>
      <c r="AG47" s="44" t="s">
        <v>3656</v>
      </c>
      <c r="AH47" s="44" t="s">
        <v>3656</v>
      </c>
      <c r="AI47" s="208"/>
      <c r="AK47" s="208"/>
    </row>
    <row r="48" spans="1:37" s="44" customFormat="1">
      <c r="A48" s="44">
        <v>2022</v>
      </c>
      <c r="B48" s="44" t="str">
        <f>'[1]sample processing comments'!B47</f>
        <v>47_2000</v>
      </c>
      <c r="C48" s="44" t="s">
        <v>3041</v>
      </c>
      <c r="D48" s="44" t="str">
        <f>'sample processing comments'!D47</f>
        <v>&lt;1</v>
      </c>
      <c r="E48" s="44" t="s">
        <v>3656</v>
      </c>
      <c r="F48" s="44">
        <v>0.5</v>
      </c>
      <c r="G48" s="44" t="str">
        <f>'sample processing comments'!H47</f>
        <v>IN2022_V03 carboy 6 12/5/22 03:43 46˚ 46.711, 141˚ 141.645</v>
      </c>
      <c r="H48" s="117">
        <f t="shared" si="14"/>
        <v>17</v>
      </c>
      <c r="I48" s="44" t="s">
        <v>3656</v>
      </c>
      <c r="J48" s="44" t="s">
        <v>3656</v>
      </c>
      <c r="L48" s="44">
        <v>0</v>
      </c>
      <c r="M48" s="44" t="s">
        <v>3656</v>
      </c>
      <c r="N48" s="44" t="s">
        <v>3656</v>
      </c>
      <c r="O48" s="44" t="s">
        <v>3656</v>
      </c>
      <c r="R48" s="44">
        <f>pH_Sal!E41</f>
        <v>39.516930272554035</v>
      </c>
      <c r="S48" s="44">
        <f>pH_Sal!M41</f>
        <v>8.66</v>
      </c>
      <c r="T48" s="63">
        <f>Schedule!B34</f>
        <v>44985</v>
      </c>
      <c r="U48" s="63">
        <f>Schedule!B35</f>
        <v>45002</v>
      </c>
      <c r="V48" s="63">
        <f>AVERAGE(T48,U48)</f>
        <v>44993.5</v>
      </c>
      <c r="W48" s="117">
        <f t="shared" si="18"/>
        <v>306</v>
      </c>
      <c r="X48">
        <f t="shared" si="23"/>
        <v>289</v>
      </c>
      <c r="Y48" s="44" t="e">
        <f t="shared" si="19"/>
        <v>#VALUE!</v>
      </c>
      <c r="AB48" s="44" t="s">
        <v>3656</v>
      </c>
      <c r="AC48" s="44" t="s">
        <v>3656</v>
      </c>
      <c r="AF48" s="44" t="s">
        <v>3656</v>
      </c>
      <c r="AG48" s="44" t="s">
        <v>3656</v>
      </c>
      <c r="AH48" s="44" t="s">
        <v>3656</v>
      </c>
      <c r="AI48" s="208"/>
      <c r="AK48" s="208"/>
    </row>
    <row r="49" spans="1:37" s="44" customFormat="1">
      <c r="A49" s="44">
        <v>2022</v>
      </c>
      <c r="B49" s="44" t="str">
        <f>'[1]sample processing comments'!B48</f>
        <v>47_2000</v>
      </c>
      <c r="C49" s="44" t="s">
        <v>3042</v>
      </c>
      <c r="D49" s="44" t="str">
        <f>'sample processing comments'!D48</f>
        <v>&lt;1</v>
      </c>
      <c r="E49" s="44" t="s">
        <v>3656</v>
      </c>
      <c r="F49" s="44">
        <v>0.5</v>
      </c>
      <c r="G49" s="44" t="str">
        <f>'sample processing comments'!H48</f>
        <v>IN2022_V03 carboy 6 12/5/22 03:43 46˚ 46.711, 141˚ 141.645</v>
      </c>
      <c r="H49" s="117">
        <f t="shared" si="14"/>
        <v>17</v>
      </c>
      <c r="I49" s="44" t="s">
        <v>3656</v>
      </c>
      <c r="J49" s="44" t="s">
        <v>3656</v>
      </c>
      <c r="L49" s="44">
        <v>0</v>
      </c>
      <c r="M49" s="44" t="s">
        <v>3656</v>
      </c>
      <c r="N49" s="44" t="s">
        <v>3656</v>
      </c>
      <c r="O49" s="44" t="s">
        <v>3656</v>
      </c>
      <c r="R49" s="44">
        <f>pH_Sal!E42</f>
        <v>40.24358958265212</v>
      </c>
      <c r="S49" s="44">
        <f>pH_Sal!M42</f>
        <v>8.65</v>
      </c>
      <c r="T49" s="63">
        <f>Schedule!B35</f>
        <v>45002</v>
      </c>
      <c r="U49" s="63">
        <f>Schedule!B36</f>
        <v>45019</v>
      </c>
      <c r="V49" s="63">
        <f>AVERAGE(T49,U49)</f>
        <v>45010.5</v>
      </c>
      <c r="W49" s="117">
        <f t="shared" si="18"/>
        <v>323</v>
      </c>
      <c r="X49">
        <f t="shared" si="23"/>
        <v>306</v>
      </c>
      <c r="Y49" s="44" t="e">
        <f t="shared" si="19"/>
        <v>#VALUE!</v>
      </c>
      <c r="AB49" s="44" t="s">
        <v>3656</v>
      </c>
      <c r="AC49" s="44" t="s">
        <v>3656</v>
      </c>
      <c r="AF49" s="44" t="s">
        <v>3656</v>
      </c>
      <c r="AG49" s="44" t="s">
        <v>3656</v>
      </c>
      <c r="AH49" s="44" t="s">
        <v>3656</v>
      </c>
      <c r="AI49" s="208"/>
      <c r="AK49" s="208"/>
    </row>
    <row r="50" spans="1:37" s="44" customFormat="1">
      <c r="A50" s="44">
        <v>2022</v>
      </c>
      <c r="B50" s="44" t="str">
        <f>'[1]sample processing comments'!B49</f>
        <v>47_2000</v>
      </c>
      <c r="C50" s="44" t="s">
        <v>3044</v>
      </c>
      <c r="D50" s="44">
        <f>'sample processing comments'!D49</f>
        <v>11</v>
      </c>
      <c r="E50" s="44">
        <f>'mass filt'!V52</f>
        <v>235.82857142857142</v>
      </c>
      <c r="F50" s="44">
        <v>0.5</v>
      </c>
      <c r="G50" s="44" t="str">
        <f>'sample processing comments'!H49</f>
        <v>IN2022_V03 carboy 6 12/5/22 03:43 46˚ 46.711, 141˚ 141.645</v>
      </c>
      <c r="H50" s="117">
        <f t="shared" si="14"/>
        <v>17</v>
      </c>
      <c r="I50" s="44">
        <f t="shared" si="15"/>
        <v>27.744537815126051</v>
      </c>
      <c r="J50" s="44">
        <f t="shared" si="16"/>
        <v>10.13369243697479</v>
      </c>
      <c r="L50" s="44">
        <v>1</v>
      </c>
      <c r="M50" s="208">
        <f>'CHN data'!E45</f>
        <v>15.185502052307129</v>
      </c>
      <c r="N50" s="208">
        <f>'CHN data'!F45</f>
        <v>1.4797039031982422</v>
      </c>
      <c r="O50" s="208">
        <f>'CHN data'!D45</f>
        <v>1.3417773246765137</v>
      </c>
      <c r="R50" s="44">
        <f>pH_Sal!E43</f>
        <v>39.734815737579275</v>
      </c>
      <c r="S50" s="44">
        <f>pH_Sal!M43</f>
        <v>8.61</v>
      </c>
      <c r="T50" s="63">
        <f>Schedule!B36</f>
        <v>45019</v>
      </c>
      <c r="U50" s="63">
        <f>Schedule!B37</f>
        <v>45036</v>
      </c>
      <c r="V50" s="63">
        <f t="shared" ref="V50:V51" si="40">AVERAGE(T50,U50)</f>
        <v>45027.5</v>
      </c>
      <c r="W50" s="117">
        <f t="shared" si="18"/>
        <v>340</v>
      </c>
      <c r="X50">
        <f t="shared" si="23"/>
        <v>323</v>
      </c>
      <c r="Y50" s="44">
        <f t="shared" si="19"/>
        <v>1.2941176470588236</v>
      </c>
      <c r="AB50" s="44">
        <f>'BSi data'!$W62</f>
        <v>8.4289366031335415</v>
      </c>
      <c r="AC50" s="44">
        <f>'BSi data'!$X62</f>
        <v>18.031142772598596</v>
      </c>
      <c r="AF50" s="44">
        <f>'PIC data_CWE_QC'!AF48</f>
        <v>52.769539895909041</v>
      </c>
      <c r="AG50" s="44">
        <f t="shared" ref="AG50" si="41">AF50*12.01/100.0869</f>
        <v>6.3321191299747275</v>
      </c>
      <c r="AH50" s="208">
        <f t="shared" si="21"/>
        <v>8.8533829223324005</v>
      </c>
      <c r="AI50" s="208">
        <f t="shared" si="22"/>
        <v>95.961550802624771</v>
      </c>
      <c r="AK50" s="208">
        <f t="shared" si="13"/>
        <v>7.6970432724654412</v>
      </c>
    </row>
    <row r="51" spans="1:37" s="44" customFormat="1">
      <c r="A51" s="44">
        <v>2022</v>
      </c>
      <c r="B51" s="44" t="str">
        <f>'[1]sample processing comments'!B50</f>
        <v>47_2000</v>
      </c>
      <c r="C51" s="44" t="s">
        <v>3045</v>
      </c>
      <c r="D51" s="44">
        <f>'sample processing comments'!D50</f>
        <v>2</v>
      </c>
      <c r="E51" s="44">
        <f>'mass filt'!V54</f>
        <v>27.142857142857146</v>
      </c>
      <c r="F51" s="44">
        <v>0.5</v>
      </c>
      <c r="G51" s="44" t="str">
        <f>'sample processing comments'!H50</f>
        <v>IN2022_V03 carboy 6 12/5/22 03:43 46˚ 46.711, 141˚ 141.645</v>
      </c>
      <c r="H51" s="117">
        <f t="shared" si="14"/>
        <v>17</v>
      </c>
      <c r="I51" s="44">
        <f t="shared" si="15"/>
        <v>3.1932773109243699</v>
      </c>
      <c r="J51" s="44">
        <f t="shared" si="16"/>
        <v>1.1663445378151263</v>
      </c>
      <c r="L51" s="44">
        <v>1</v>
      </c>
      <c r="M51" s="208">
        <f>'CHN data'!E46</f>
        <v>15.645127296447754</v>
      </c>
      <c r="N51" s="208">
        <f>'CHN data'!F46</f>
        <v>1.5493061542510986</v>
      </c>
      <c r="O51" s="208">
        <f>'CHN data'!D46</f>
        <v>1.4059737920761108</v>
      </c>
      <c r="R51" s="44">
        <f>pH_Sal!E44</f>
        <v>39.952797679863593</v>
      </c>
      <c r="S51" s="44">
        <f>pH_Sal!M44</f>
        <v>8.66</v>
      </c>
      <c r="T51" s="63">
        <f>Schedule!B37</f>
        <v>45036</v>
      </c>
      <c r="U51" s="63">
        <f>Schedule!B38</f>
        <v>45053</v>
      </c>
      <c r="V51" s="63">
        <f t="shared" si="40"/>
        <v>45044.5</v>
      </c>
      <c r="W51" s="117">
        <f t="shared" si="18"/>
        <v>357</v>
      </c>
      <c r="X51">
        <f t="shared" si="23"/>
        <v>340</v>
      </c>
      <c r="Y51" s="44">
        <f t="shared" si="19"/>
        <v>0.23529411764705882</v>
      </c>
      <c r="AB51" s="44">
        <f>'BSi data'!$W63</f>
        <v>6.8890644374282441</v>
      </c>
      <c r="AC51" s="44">
        <f>'BSi data'!$X63</f>
        <v>14.737055252583239</v>
      </c>
      <c r="AF51" s="44">
        <f>'PIC data_CWE_QC'!AF49</f>
        <v>53.656208178012044</v>
      </c>
      <c r="AG51" s="44">
        <f t="shared" ref="AG51" si="42">AF51*12.01/100.0869</f>
        <v>6.4385155321817802</v>
      </c>
      <c r="AH51" s="208">
        <f t="shared" si="21"/>
        <v>9.2066117642659737</v>
      </c>
      <c r="AI51" s="208">
        <f t="shared" si="22"/>
        <v>93.96888538976458</v>
      </c>
      <c r="AK51" s="208">
        <f t="shared" si="13"/>
        <v>7.6386697159312114</v>
      </c>
    </row>
    <row r="52" spans="1:37" s="44" customFormat="1">
      <c r="A52" s="64" t="str">
        <f>'sample processing comments'!A51</f>
        <v>Pick up 20/05/2022 IN2023_V03</v>
      </c>
      <c r="T52" s="63"/>
      <c r="U52" s="63"/>
      <c r="V52" s="63"/>
      <c r="W52" s="398"/>
    </row>
    <row r="54" spans="1:37" s="27" customFormat="1">
      <c r="A54" s="205" t="str">
        <f>'sample processing comments'!A53</f>
        <v>Deployment 8/5/2022 IN2022_V03</v>
      </c>
      <c r="B54" s="205" t="str">
        <f>'sample processing comments'!B53</f>
        <v>McLane-PARFLUX-Mark78H-21 ; frame# 12993-01, controller# 12993-01 and Motor # 12993-01 Cup set ACx21</v>
      </c>
      <c r="C54" s="160"/>
      <c r="D54" s="160"/>
      <c r="E54" s="160"/>
      <c r="F54" s="160"/>
      <c r="G54" s="160"/>
      <c r="I54" s="160"/>
      <c r="J54" s="160"/>
      <c r="K54" s="160"/>
      <c r="L54" s="160"/>
      <c r="M54" s="160"/>
      <c r="N54" s="160"/>
      <c r="O54" s="160"/>
      <c r="P54" s="160"/>
      <c r="Q54" s="160"/>
      <c r="S54" s="160"/>
      <c r="T54" s="160"/>
      <c r="U54" s="160"/>
      <c r="V54" s="160"/>
      <c r="W54" s="151">
        <v>0</v>
      </c>
      <c r="X54" s="462"/>
      <c r="Z54" s="160"/>
      <c r="AA54" s="160"/>
      <c r="AB54" s="160"/>
      <c r="AC54" s="160"/>
      <c r="AD54" s="160"/>
      <c r="AE54" s="160"/>
      <c r="AF54" s="160"/>
      <c r="AG54" s="160"/>
      <c r="AH54" s="160"/>
      <c r="AI54" s="160"/>
      <c r="AJ54" s="160"/>
      <c r="AK54" s="160"/>
    </row>
    <row r="55" spans="1:37" s="44" customFormat="1">
      <c r="A55" s="44">
        <v>2022</v>
      </c>
      <c r="B55" s="44" t="str">
        <f>'[1]sample processing comments'!B54</f>
        <v>47_3800</v>
      </c>
      <c r="C55" s="44" t="s">
        <v>3047</v>
      </c>
      <c r="D55" s="44">
        <f>'sample processing comments'!D54</f>
        <v>3</v>
      </c>
      <c r="E55" s="44">
        <f>'mass filt'!V57</f>
        <v>351.81428571428569</v>
      </c>
      <c r="F55" s="44">
        <v>0.5</v>
      </c>
      <c r="G55" s="44" t="str">
        <f>'sample processing comments'!H54</f>
        <v>IN2022_V03 carboy 6 12/5/22 03:43 46˚ 46.711, 141˚ 141.645</v>
      </c>
      <c r="H55" s="117">
        <f>U55-T55</f>
        <v>17</v>
      </c>
      <c r="I55" s="44">
        <f>E55/F55/H55</f>
        <v>41.389915966386553</v>
      </c>
      <c r="J55" s="44">
        <f>0.001*365.25*E55/F55/H55</f>
        <v>15.117666806722688</v>
      </c>
      <c r="L55" s="44">
        <v>1</v>
      </c>
      <c r="M55" s="208">
        <f>'CHN data'!E47</f>
        <v>13.722061157226563</v>
      </c>
      <c r="N55" s="208">
        <f>'CHN data'!F47</f>
        <v>0.75116705894470215</v>
      </c>
      <c r="O55" s="208">
        <f>'CHN data'!D47</f>
        <v>0.75171852111816406</v>
      </c>
      <c r="R55" s="44">
        <f>pH_Sal!E45</f>
        <v>38.791347926916671</v>
      </c>
      <c r="S55" s="44">
        <f>pH_Sal!M45</f>
        <v>8.5399999999999991</v>
      </c>
      <c r="T55" s="63">
        <f>Schedule!B17</f>
        <v>44696</v>
      </c>
      <c r="U55" s="63">
        <f>Schedule!B18</f>
        <v>44713</v>
      </c>
      <c r="V55" s="63">
        <f>AVERAGE(T55:U55)</f>
        <v>44704.5</v>
      </c>
      <c r="W55" s="117">
        <f>H55+W54</f>
        <v>17</v>
      </c>
      <c r="X55">
        <v>0</v>
      </c>
      <c r="Y55" s="44">
        <f>D55/0.5/H55</f>
        <v>0.35294117647058826</v>
      </c>
      <c r="AB55" s="44">
        <f>'BSi data'!$W64</f>
        <v>2.9817780428992289</v>
      </c>
      <c r="AC55" s="44">
        <f>'BSi data'!$X64</f>
        <v>6.3786060020581932</v>
      </c>
      <c r="AF55" s="44">
        <f>'PIC data_CWE_QC'!AF50</f>
        <v>77.489697265803002</v>
      </c>
      <c r="AG55" s="44">
        <f>AF55*12.01/100.0869</f>
        <v>9.2984323039508077</v>
      </c>
      <c r="AH55" s="44">
        <f>M55-AG55</f>
        <v>4.4236288532757548</v>
      </c>
      <c r="AI55" s="208">
        <f>AF55+(AC55*1.11)+(AH55*2.2)+3.7</f>
        <v>98.001933405294253</v>
      </c>
      <c r="AJ55" s="208"/>
      <c r="AK55" s="208">
        <f>(AH55/12.01)/(O55/14.01)</f>
        <v>6.8646525295364427</v>
      </c>
    </row>
    <row r="56" spans="1:37" s="44" customFormat="1">
      <c r="A56" s="44">
        <v>2022</v>
      </c>
      <c r="B56" s="44" t="str">
        <f>'[1]sample processing comments'!B55</f>
        <v>47_3800</v>
      </c>
      <c r="C56" s="44" t="s">
        <v>3048</v>
      </c>
      <c r="D56" s="44">
        <f>'sample processing comments'!D55</f>
        <v>3</v>
      </c>
      <c r="E56" s="44">
        <f>'mass filt'!V58</f>
        <v>293.91428571428571</v>
      </c>
      <c r="F56" s="44">
        <v>0.5</v>
      </c>
      <c r="G56" s="44" t="str">
        <f>'sample processing comments'!H55</f>
        <v>IN2022_V03 carboy 6 12/5/22 03:43 46˚ 46.711, 141˚ 141.645</v>
      </c>
      <c r="H56" s="117">
        <f t="shared" ref="H56:H75" si="43">U56-T56</f>
        <v>17</v>
      </c>
      <c r="I56" s="44">
        <f t="shared" ref="I56:I75" si="44">E56/F56/H56</f>
        <v>34.5781512605042</v>
      </c>
      <c r="J56" s="44">
        <f t="shared" ref="J56:J75" si="45">0.001*365.25*E56/F56/H56</f>
        <v>12.629669747899161</v>
      </c>
      <c r="L56" s="44">
        <v>1</v>
      </c>
      <c r="M56" s="208">
        <f>'CHN data'!E48</f>
        <v>13.56171989440918</v>
      </c>
      <c r="N56" s="208">
        <f>'CHN data'!F48</f>
        <v>0.7453194260597229</v>
      </c>
      <c r="O56" s="208">
        <f>'CHN data'!D48</f>
        <v>0.72249287366867065</v>
      </c>
      <c r="R56" s="44">
        <f>pH_Sal!E46</f>
        <v>38.936377437123824</v>
      </c>
      <c r="S56" s="44">
        <f>pH_Sal!M46</f>
        <v>8.56</v>
      </c>
      <c r="T56" s="63">
        <f>Schedule!B18</f>
        <v>44713</v>
      </c>
      <c r="U56" s="63">
        <f>Schedule!B19</f>
        <v>44730</v>
      </c>
      <c r="V56" s="63">
        <f t="shared" ref="V56:V75" si="46">AVERAGE(T56:U56)</f>
        <v>44721.5</v>
      </c>
      <c r="W56" s="117">
        <f t="shared" ref="W56:W75" si="47">H56+W55</f>
        <v>34</v>
      </c>
      <c r="X56">
        <f>X55+H56</f>
        <v>17</v>
      </c>
      <c r="Y56" s="44">
        <f t="shared" ref="Y56:Y75" si="48">D56/0.5/H56</f>
        <v>0.35294117647058826</v>
      </c>
      <c r="AB56" s="44">
        <f>'BSi data'!$W65</f>
        <v>3.1893919758275429</v>
      </c>
      <c r="AC56" s="44">
        <f>'BSi data'!$X65</f>
        <v>6.8227327813270584</v>
      </c>
      <c r="AF56" s="44">
        <f>'PIC data_CWE_QC'!AF51</f>
        <v>74.926814619169619</v>
      </c>
      <c r="AG56" s="44">
        <f t="shared" ref="AG56:AG75" si="49">AF56*12.01/100.0869</f>
        <v>8.9908973459686248</v>
      </c>
      <c r="AH56" s="44">
        <f t="shared" ref="AH56:AH75" si="50">M56-AG56</f>
        <v>4.5708225484405549</v>
      </c>
      <c r="AI56" s="208">
        <f t="shared" ref="AI56:AI75" si="51">AF56+(AC56*1.11)+(AH56*2.2)+3.7</f>
        <v>96.255857613011884</v>
      </c>
      <c r="AJ56" s="208"/>
      <c r="AK56" s="208">
        <f t="shared" ref="AK56:AK75" si="52">(AH56/12.01)/(O56/14.01)</f>
        <v>7.3799925133711755</v>
      </c>
    </row>
    <row r="57" spans="1:37" s="44" customFormat="1">
      <c r="A57" s="44">
        <v>2022</v>
      </c>
      <c r="B57" s="44" t="str">
        <f>'[1]sample processing comments'!B56</f>
        <v>47_3800</v>
      </c>
      <c r="C57" s="44" t="s">
        <v>3049</v>
      </c>
      <c r="D57" s="44">
        <f>'sample processing comments'!D56</f>
        <v>2</v>
      </c>
      <c r="E57" s="44">
        <f>'mass filt'!V59</f>
        <v>214.01428571428571</v>
      </c>
      <c r="F57" s="44">
        <v>0.5</v>
      </c>
      <c r="G57" s="44" t="str">
        <f>'sample processing comments'!H56</f>
        <v>IN2022_V03 carboy 6 12/5/22 03:43 46˚ 46.711, 141˚ 141.645</v>
      </c>
      <c r="H57" s="117">
        <f t="shared" si="43"/>
        <v>17</v>
      </c>
      <c r="I57" s="44">
        <f t="shared" si="44"/>
        <v>25.178151260504201</v>
      </c>
      <c r="J57" s="44">
        <f t="shared" si="45"/>
        <v>9.1963197478991585</v>
      </c>
      <c r="L57" s="44">
        <v>1</v>
      </c>
      <c r="M57" s="208">
        <f>'CHN data'!E49</f>
        <v>13.43907642364502</v>
      </c>
      <c r="N57" s="208">
        <f>'CHN data'!F49</f>
        <v>0.70241934061050415</v>
      </c>
      <c r="O57" s="208">
        <f>'CHN data'!D49</f>
        <v>0.66684079170227051</v>
      </c>
      <c r="R57" s="44">
        <f>AVERAGE(pH_Sal!E47,pH_Sal!I47)</f>
        <v>39.081455997028186</v>
      </c>
      <c r="S57" s="44">
        <f>AVERAGE(pH_Sal!M47,pH_Sal!P47)</f>
        <v>8.5949999999999989</v>
      </c>
      <c r="T57" s="63">
        <f>Schedule!B19</f>
        <v>44730</v>
      </c>
      <c r="U57" s="63">
        <f>Schedule!B20</f>
        <v>44747</v>
      </c>
      <c r="V57" s="63">
        <f t="shared" si="46"/>
        <v>44738.5</v>
      </c>
      <c r="W57" s="117">
        <f t="shared" si="47"/>
        <v>51</v>
      </c>
      <c r="X57">
        <f t="shared" ref="X57:X75" si="53">X56+H57</f>
        <v>34</v>
      </c>
      <c r="Y57" s="44">
        <f t="shared" si="48"/>
        <v>0.23529411764705882</v>
      </c>
      <c r="AB57" s="44">
        <f>'BSi data'!$W66</f>
        <v>2.8857565008631845</v>
      </c>
      <c r="AC57" s="44">
        <f>'BSi data'!$X66</f>
        <v>6.1731971568838997</v>
      </c>
      <c r="AF57" s="44">
        <f>'PIC data_CWE_QC'!AF52</f>
        <v>75.648154819494309</v>
      </c>
      <c r="AG57" s="44">
        <f t="shared" si="49"/>
        <v>9.0774550853520957</v>
      </c>
      <c r="AH57" s="44">
        <f t="shared" si="50"/>
        <v>4.3616213382929239</v>
      </c>
      <c r="AI57" s="208">
        <f t="shared" si="51"/>
        <v>95.79597060787988</v>
      </c>
      <c r="AJ57" s="208"/>
      <c r="AK57" s="208">
        <f t="shared" si="52"/>
        <v>7.6299365830271411</v>
      </c>
    </row>
    <row r="58" spans="1:37" s="44" customFormat="1">
      <c r="A58" s="44">
        <v>2022</v>
      </c>
      <c r="B58" s="44" t="str">
        <f>'[1]sample processing comments'!B57</f>
        <v>47_3800</v>
      </c>
      <c r="C58" s="44" t="s">
        <v>3050</v>
      </c>
      <c r="D58" s="44">
        <f>'sample processing comments'!D57</f>
        <v>2</v>
      </c>
      <c r="E58" s="44">
        <f>'mass filt'!V60</f>
        <v>205.2285714285714</v>
      </c>
      <c r="F58" s="44">
        <v>0.5</v>
      </c>
      <c r="G58" s="44" t="str">
        <f>'sample processing comments'!H57</f>
        <v>IN2022_V03 carboy 6 12/5/22 03:43 46˚ 46.711, 141˚ 141.645</v>
      </c>
      <c r="H58" s="117">
        <f t="shared" si="43"/>
        <v>17</v>
      </c>
      <c r="I58" s="44">
        <f t="shared" si="44"/>
        <v>24.144537815126046</v>
      </c>
      <c r="J58" s="44">
        <f t="shared" si="45"/>
        <v>8.818792436974789</v>
      </c>
      <c r="L58" s="44">
        <v>1</v>
      </c>
      <c r="M58" s="208">
        <f>'CHN data'!E50</f>
        <v>15.685426712036133</v>
      </c>
      <c r="N58" s="208">
        <f>'CHN data'!F50</f>
        <v>1.1622022390365601</v>
      </c>
      <c r="O58" s="208">
        <f>'CHN data'!D50</f>
        <v>1.2000707387924194</v>
      </c>
      <c r="R58" s="44">
        <f>pH_Sal!E48</f>
        <v>39.008908556296177</v>
      </c>
      <c r="S58" s="44">
        <f>pH_Sal!M48</f>
        <v>8.56</v>
      </c>
      <c r="T58" s="63">
        <f>Schedule!B20</f>
        <v>44747</v>
      </c>
      <c r="U58" s="63">
        <f>Schedule!B21</f>
        <v>44764</v>
      </c>
      <c r="V58" s="63">
        <f t="shared" si="46"/>
        <v>44755.5</v>
      </c>
      <c r="W58" s="117">
        <f t="shared" si="47"/>
        <v>68</v>
      </c>
      <c r="X58">
        <f t="shared" si="53"/>
        <v>51</v>
      </c>
      <c r="Y58" s="44">
        <f t="shared" si="48"/>
        <v>0.23529411764705882</v>
      </c>
      <c r="AB58" s="44">
        <f>'BSi data'!$W67</f>
        <v>3.1093136535900041</v>
      </c>
      <c r="AC58" s="44">
        <f>'BSi data'!$X67</f>
        <v>6.6514295992959536</v>
      </c>
      <c r="AF58" s="44">
        <f>'PIC data_CWE_QC'!AF53</f>
        <v>66.848783464945782</v>
      </c>
      <c r="AG58" s="44">
        <f t="shared" si="49"/>
        <v>8.0215681514164068</v>
      </c>
      <c r="AH58" s="44">
        <f t="shared" si="50"/>
        <v>7.663858560619726</v>
      </c>
      <c r="AI58" s="208">
        <f t="shared" si="51"/>
        <v>94.792359153527698</v>
      </c>
      <c r="AJ58" s="208"/>
      <c r="AK58" s="208">
        <f t="shared" si="52"/>
        <v>7.4496481692413203</v>
      </c>
    </row>
    <row r="59" spans="1:37" s="44" customFormat="1">
      <c r="A59" s="44">
        <v>2022</v>
      </c>
      <c r="B59" s="44" t="str">
        <f>'[1]sample processing comments'!B58</f>
        <v>47_3800</v>
      </c>
      <c r="C59" s="44" t="s">
        <v>3051</v>
      </c>
      <c r="D59" s="44">
        <f>'sample processing comments'!D58</f>
        <v>6</v>
      </c>
      <c r="E59" s="44">
        <f>'mass filt'!V61</f>
        <v>329.88571428571436</v>
      </c>
      <c r="F59" s="44">
        <v>0.5</v>
      </c>
      <c r="G59" s="44" t="str">
        <f>'sample processing comments'!H58</f>
        <v>IN2022_V03 carboy 6 12/5/22 03:43 46˚ 46.711, 141˚ 141.645</v>
      </c>
      <c r="H59" s="117">
        <f t="shared" si="43"/>
        <v>17</v>
      </c>
      <c r="I59" s="44">
        <f t="shared" si="44"/>
        <v>38.810084033613457</v>
      </c>
      <c r="J59" s="44">
        <f t="shared" si="45"/>
        <v>14.175383193277314</v>
      </c>
      <c r="L59" s="44">
        <v>1</v>
      </c>
      <c r="M59" s="208">
        <f>'CHN data'!E51</f>
        <v>12.691935539245605</v>
      </c>
      <c r="N59" s="208">
        <f>'CHN data'!F51</f>
        <v>0.62336349487304688</v>
      </c>
      <c r="O59" s="208">
        <f>'CHN data'!D51</f>
        <v>0.53777742385864258</v>
      </c>
      <c r="R59" s="44">
        <f>pH_Sal!E49</f>
        <v>38.501420298682284</v>
      </c>
      <c r="S59" s="44">
        <f>pH_Sal!M49</f>
        <v>8.56</v>
      </c>
      <c r="T59" s="63">
        <f>Schedule!B21</f>
        <v>44764</v>
      </c>
      <c r="U59" s="63">
        <f>Schedule!B22</f>
        <v>44781</v>
      </c>
      <c r="V59" s="63">
        <f t="shared" si="46"/>
        <v>44772.5</v>
      </c>
      <c r="W59" s="117">
        <f t="shared" si="47"/>
        <v>85</v>
      </c>
      <c r="X59">
        <f t="shared" si="53"/>
        <v>68</v>
      </c>
      <c r="Y59" s="44">
        <f t="shared" si="48"/>
        <v>0.70588235294117652</v>
      </c>
      <c r="AB59" s="44">
        <f>'BSi data'!$W68</f>
        <v>3.5649032282377582</v>
      </c>
      <c r="AC59" s="44">
        <f>'BSi data'!$X68</f>
        <v>7.6260247413601601</v>
      </c>
      <c r="AF59" s="44">
        <f>'PIC data_CWE_QC'!AF54</f>
        <v>76.970075613599562</v>
      </c>
      <c r="AG59" s="44">
        <f t="shared" si="49"/>
        <v>9.236079927736105</v>
      </c>
      <c r="AH59" s="44">
        <f t="shared" si="50"/>
        <v>3.4558556115095005</v>
      </c>
      <c r="AI59" s="208">
        <f t="shared" si="51"/>
        <v>96.737845421830258</v>
      </c>
      <c r="AJ59" s="208"/>
      <c r="AK59" s="208">
        <f t="shared" si="52"/>
        <v>7.496320573555626</v>
      </c>
    </row>
    <row r="60" spans="1:37" s="44" customFormat="1">
      <c r="A60" s="44">
        <v>2022</v>
      </c>
      <c r="B60" s="44" t="str">
        <f>'[1]sample processing comments'!B59</f>
        <v>47_3800</v>
      </c>
      <c r="C60" s="44" t="s">
        <v>3052</v>
      </c>
      <c r="D60" s="44">
        <f>'sample processing comments'!D59</f>
        <v>2</v>
      </c>
      <c r="E60" s="44">
        <f>'mass filt'!V62</f>
        <v>196</v>
      </c>
      <c r="F60" s="44">
        <v>0.5</v>
      </c>
      <c r="G60" s="44" t="str">
        <f>'sample processing comments'!H59</f>
        <v>IN2022_V03 carboy 6 12/5/22 03:43 46˚ 46.711, 141˚ 141.645</v>
      </c>
      <c r="H60" s="117">
        <f t="shared" si="43"/>
        <v>17</v>
      </c>
      <c r="I60" s="44">
        <f t="shared" si="44"/>
        <v>23.058823529411764</v>
      </c>
      <c r="J60" s="44">
        <f t="shared" si="45"/>
        <v>8.4222352941176464</v>
      </c>
      <c r="L60" s="44">
        <v>1</v>
      </c>
      <c r="M60" s="208">
        <f>'CHN data'!E53</f>
        <v>11.987616539001465</v>
      </c>
      <c r="N60" s="208">
        <f>'CHN data'!F53</f>
        <v>0.58083021640777588</v>
      </c>
      <c r="O60" s="208">
        <f>'CHN data'!D53</f>
        <v>0.45570942759513855</v>
      </c>
      <c r="R60" s="44">
        <f>pH_Sal!E50</f>
        <v>39.008908556296177</v>
      </c>
      <c r="S60" s="44">
        <f>pH_Sal!M50</f>
        <v>8.61</v>
      </c>
      <c r="T60" s="63">
        <f>Schedule!B22</f>
        <v>44781</v>
      </c>
      <c r="U60" s="63">
        <f>Schedule!B23</f>
        <v>44798</v>
      </c>
      <c r="V60" s="63">
        <f t="shared" si="46"/>
        <v>44789.5</v>
      </c>
      <c r="W60" s="117">
        <f t="shared" si="47"/>
        <v>102</v>
      </c>
      <c r="X60">
        <f t="shared" si="53"/>
        <v>85</v>
      </c>
      <c r="Y60" s="44">
        <f t="shared" si="48"/>
        <v>0.23529411764705882</v>
      </c>
      <c r="AB60" s="44">
        <f>'BSi data'!$W69</f>
        <v>4.8161621418845755</v>
      </c>
      <c r="AC60" s="44">
        <f>'BSi data'!$X69</f>
        <v>10.302712107719621</v>
      </c>
      <c r="AF60" s="44">
        <f>'PIC data_CWE_QC'!AF55</f>
        <v>75.414397032601002</v>
      </c>
      <c r="AG60" s="44">
        <f t="shared" si="49"/>
        <v>9.0494051505395614</v>
      </c>
      <c r="AH60" s="44">
        <f t="shared" si="50"/>
        <v>2.9382113884619034</v>
      </c>
      <c r="AI60" s="208">
        <f t="shared" si="51"/>
        <v>97.014472526785966</v>
      </c>
      <c r="AJ60" s="208"/>
      <c r="AK60" s="208">
        <f>(AH60/12.01)/(O60/14.01)</f>
        <v>7.5212522143748473</v>
      </c>
    </row>
    <row r="61" spans="1:37" s="44" customFormat="1">
      <c r="A61" s="44">
        <v>2022</v>
      </c>
      <c r="B61" s="44" t="str">
        <f>'[1]sample processing comments'!B60</f>
        <v>47_3800</v>
      </c>
      <c r="C61" s="44" t="s">
        <v>3053</v>
      </c>
      <c r="D61" s="44">
        <f>'sample processing comments'!D60</f>
        <v>2</v>
      </c>
      <c r="E61" s="44">
        <f>'mass filt'!V63</f>
        <v>277.94285714285712</v>
      </c>
      <c r="F61" s="44">
        <v>0.5</v>
      </c>
      <c r="G61" s="44" t="str">
        <f>'sample processing comments'!H60</f>
        <v>IN2022_V03 carboy 6 12/5/22 03:43 46˚ 46.711, 141˚ 141.645</v>
      </c>
      <c r="H61" s="117">
        <f t="shared" si="43"/>
        <v>17</v>
      </c>
      <c r="I61" s="44">
        <f t="shared" si="44"/>
        <v>32.699159663865544</v>
      </c>
      <c r="J61" s="44">
        <f t="shared" si="45"/>
        <v>11.94336806722689</v>
      </c>
      <c r="L61" s="44">
        <v>1</v>
      </c>
      <c r="M61" s="208">
        <f>'CHN data'!E54</f>
        <v>11.95491886138916</v>
      </c>
      <c r="N61" s="208">
        <f>'CHN data'!F54</f>
        <v>0.56883180141448975</v>
      </c>
      <c r="O61" s="208">
        <f>'CHN data'!D54</f>
        <v>0.55595111846923828</v>
      </c>
      <c r="R61" s="44">
        <f>pH_Sal!E51</f>
        <v>38.936377437123824</v>
      </c>
      <c r="S61" s="44">
        <f>pH_Sal!M51</f>
        <v>8.6300000000000008</v>
      </c>
      <c r="T61" s="63">
        <f>Schedule!B23</f>
        <v>44798</v>
      </c>
      <c r="U61" s="63">
        <f>Schedule!B24</f>
        <v>44815</v>
      </c>
      <c r="V61" s="63">
        <f t="shared" si="46"/>
        <v>44806.5</v>
      </c>
      <c r="W61" s="117">
        <f t="shared" si="47"/>
        <v>119</v>
      </c>
      <c r="X61">
        <f t="shared" si="53"/>
        <v>102</v>
      </c>
      <c r="Y61" s="44">
        <f t="shared" si="48"/>
        <v>0.23529411764705882</v>
      </c>
      <c r="AB61" s="44">
        <f>'BSi data'!$W70</f>
        <v>4.8313627272540316</v>
      </c>
      <c r="AC61" s="44">
        <f>'BSi data'!$X70</f>
        <v>10.335229130676211</v>
      </c>
      <c r="AF61" s="44">
        <f>'PIC data_CWE_QC'!AF56</f>
        <v>74.20951087100832</v>
      </c>
      <c r="AG61" s="44">
        <f t="shared" si="49"/>
        <v>8.9048239635837447</v>
      </c>
      <c r="AH61" s="44">
        <f t="shared" si="50"/>
        <v>3.0500948978054154</v>
      </c>
      <c r="AI61" s="208">
        <f t="shared" si="51"/>
        <v>96.091823981230846</v>
      </c>
      <c r="AJ61" s="208"/>
      <c r="AK61" s="208">
        <f t="shared" si="52"/>
        <v>6.3998805968252848</v>
      </c>
    </row>
    <row r="62" spans="1:37" s="44" customFormat="1">
      <c r="A62" s="44">
        <v>2022</v>
      </c>
      <c r="B62" s="44" t="str">
        <f>'[1]sample processing comments'!B61</f>
        <v>47_3800</v>
      </c>
      <c r="C62" s="44" t="s">
        <v>3054</v>
      </c>
      <c r="D62" s="44">
        <f>'sample processing comments'!D61</f>
        <v>2</v>
      </c>
      <c r="E62" s="44">
        <f>'mass filt'!V64</f>
        <v>210.02857142857141</v>
      </c>
      <c r="F62" s="44">
        <v>0.5</v>
      </c>
      <c r="G62" s="44" t="str">
        <f>'sample processing comments'!H61</f>
        <v>IN2022_V03 carboy 6 12/5/22 03:43 46˚ 46.711, 141˚ 141.645</v>
      </c>
      <c r="H62" s="117">
        <f t="shared" si="43"/>
        <v>17</v>
      </c>
      <c r="I62" s="44">
        <f t="shared" si="44"/>
        <v>24.709243697478989</v>
      </c>
      <c r="J62" s="44">
        <f t="shared" si="45"/>
        <v>9.0250512605042008</v>
      </c>
      <c r="L62" s="44">
        <v>1</v>
      </c>
      <c r="M62" s="208">
        <f>'CHN data'!E55</f>
        <v>12.301887512207031</v>
      </c>
      <c r="N62" s="208">
        <f>'CHN data'!F55</f>
        <v>0.62987852096557617</v>
      </c>
      <c r="O62" s="208">
        <f>'CHN data'!D55</f>
        <v>0.58643555641174316</v>
      </c>
      <c r="R62" s="44">
        <f>pH_Sal!E52</f>
        <v>39.008908556296177</v>
      </c>
      <c r="S62" s="44">
        <f>pH_Sal!M52</f>
        <v>8.61</v>
      </c>
      <c r="T62" s="63">
        <f>Schedule!B24</f>
        <v>44815</v>
      </c>
      <c r="U62" s="63">
        <f>Schedule!B25</f>
        <v>44832</v>
      </c>
      <c r="V62" s="63">
        <f t="shared" si="46"/>
        <v>44823.5</v>
      </c>
      <c r="W62" s="117">
        <f t="shared" si="47"/>
        <v>136</v>
      </c>
      <c r="X62">
        <f t="shared" si="53"/>
        <v>119</v>
      </c>
      <c r="Y62" s="44">
        <f t="shared" si="48"/>
        <v>0.23529411764705882</v>
      </c>
      <c r="AB62" s="44">
        <f>'BSi data'!$W71</f>
        <v>4.9919887118528061</v>
      </c>
      <c r="AC62" s="44">
        <f>'BSi data'!$X71</f>
        <v>10.678839504992348</v>
      </c>
      <c r="AF62" s="44">
        <f>'PIC data_CWE_QC'!AF57</f>
        <v>72.132016068871607</v>
      </c>
      <c r="AG62" s="44">
        <f t="shared" si="49"/>
        <v>8.655533471284933</v>
      </c>
      <c r="AH62" s="44">
        <f t="shared" si="50"/>
        <v>3.6463540409220982</v>
      </c>
      <c r="AI62" s="208">
        <f t="shared" si="51"/>
        <v>95.707506809441739</v>
      </c>
      <c r="AJ62" s="208"/>
      <c r="AK62" s="208">
        <f t="shared" si="52"/>
        <v>7.2532670495881559</v>
      </c>
    </row>
    <row r="63" spans="1:37" s="44" customFormat="1">
      <c r="A63" s="44">
        <v>2022</v>
      </c>
      <c r="B63" s="44" t="str">
        <f>'[1]sample processing comments'!B62</f>
        <v>47_3800</v>
      </c>
      <c r="C63" s="44" t="s">
        <v>3055</v>
      </c>
      <c r="D63" s="44">
        <f>'sample processing comments'!D62</f>
        <v>2</v>
      </c>
      <c r="E63" s="44">
        <f>'mass filt'!V65</f>
        <v>308.02857142857141</v>
      </c>
      <c r="F63" s="44">
        <v>0.5</v>
      </c>
      <c r="G63" s="44" t="str">
        <f>'sample processing comments'!H62</f>
        <v>IN2022_V03 carboy 6 12/5/22 03:43 46˚ 46.711, 141˚ 141.645</v>
      </c>
      <c r="H63" s="117">
        <f t="shared" si="43"/>
        <v>17</v>
      </c>
      <c r="I63" s="44">
        <f t="shared" si="44"/>
        <v>36.238655462184873</v>
      </c>
      <c r="J63" s="44">
        <f t="shared" si="45"/>
        <v>13.236168907563027</v>
      </c>
      <c r="L63" s="44">
        <v>1</v>
      </c>
      <c r="M63" s="208">
        <f>'CHN data'!E56</f>
        <v>12.759530067443848</v>
      </c>
      <c r="N63" s="208">
        <f>'CHN data'!F56</f>
        <v>0.69448685646057129</v>
      </c>
      <c r="O63" s="208">
        <f>'CHN data'!D56</f>
        <v>0.63776969909667969</v>
      </c>
      <c r="R63" s="44">
        <f>pH_Sal!E53</f>
        <v>38.936377437123824</v>
      </c>
      <c r="S63" s="44">
        <f>pH_Sal!M53</f>
        <v>8.61</v>
      </c>
      <c r="T63" s="63">
        <f>Schedule!B25</f>
        <v>44832</v>
      </c>
      <c r="U63" s="63">
        <f>Schedule!B26</f>
        <v>44849</v>
      </c>
      <c r="V63" s="63">
        <f t="shared" si="46"/>
        <v>44840.5</v>
      </c>
      <c r="W63" s="117">
        <f t="shared" si="47"/>
        <v>153</v>
      </c>
      <c r="X63">
        <f t="shared" si="53"/>
        <v>136</v>
      </c>
      <c r="Y63" s="44">
        <f t="shared" si="48"/>
        <v>0.23529411764705882</v>
      </c>
      <c r="AB63" s="44">
        <f>'BSi data'!$W72</f>
        <v>5.1377537829064073</v>
      </c>
      <c r="AC63" s="44">
        <f>'BSi data'!$X72</f>
        <v>10.990659480770596</v>
      </c>
      <c r="AF63" s="44">
        <f>'PIC data_CWE_QC'!AF58</f>
        <v>72.860644900303129</v>
      </c>
      <c r="AG63" s="44">
        <f t="shared" si="49"/>
        <v>8.7429658152329672</v>
      </c>
      <c r="AH63" s="44">
        <f t="shared" si="50"/>
        <v>4.0165642522108804</v>
      </c>
      <c r="AI63" s="208">
        <f t="shared" si="51"/>
        <v>97.596718278822436</v>
      </c>
      <c r="AJ63" s="208"/>
      <c r="AK63" s="208">
        <f t="shared" si="52"/>
        <v>7.3465927317691504</v>
      </c>
    </row>
    <row r="64" spans="1:37" s="44" customFormat="1">
      <c r="A64" s="44">
        <v>2022</v>
      </c>
      <c r="B64" s="44" t="str">
        <f>'[1]sample processing comments'!B63</f>
        <v>47_3800</v>
      </c>
      <c r="C64" s="44" t="s">
        <v>3056</v>
      </c>
      <c r="D64" s="44">
        <f>'sample processing comments'!D63</f>
        <v>3</v>
      </c>
      <c r="E64" s="44">
        <f>'mass filt'!V66</f>
        <v>279.45714285714286</v>
      </c>
      <c r="F64" s="44">
        <v>0.5</v>
      </c>
      <c r="G64" s="44" t="str">
        <f>'sample processing comments'!H63</f>
        <v>IN2022_V03 carboy 6 12/5/22 03:43 46˚ 46.711, 141˚ 141.645</v>
      </c>
      <c r="H64" s="117">
        <f t="shared" si="43"/>
        <v>17</v>
      </c>
      <c r="I64" s="44">
        <f t="shared" si="44"/>
        <v>32.877310924369745</v>
      </c>
      <c r="J64" s="44">
        <f t="shared" si="45"/>
        <v>12.008437815126051</v>
      </c>
      <c r="L64" s="44">
        <v>1</v>
      </c>
      <c r="M64" s="208">
        <f>'CHN data'!E58</f>
        <v>12.43962574005127</v>
      </c>
      <c r="N64" s="208">
        <f>'CHN data'!F58</f>
        <v>0.56315791606903076</v>
      </c>
      <c r="O64" s="208">
        <f>'CHN data'!D58</f>
        <v>0.49478974938392639</v>
      </c>
      <c r="R64" s="44">
        <f>pH_Sal!E54</f>
        <v>39.081450562157663</v>
      </c>
      <c r="S64" s="44">
        <f>pH_Sal!M54</f>
        <v>8.59</v>
      </c>
      <c r="T64" s="63">
        <f>Schedule!B26</f>
        <v>44849</v>
      </c>
      <c r="U64" s="63">
        <f>Schedule!B27</f>
        <v>44866</v>
      </c>
      <c r="V64" s="63">
        <f t="shared" si="46"/>
        <v>44857.5</v>
      </c>
      <c r="W64" s="117">
        <f t="shared" si="47"/>
        <v>170</v>
      </c>
      <c r="X64">
        <f t="shared" si="53"/>
        <v>153</v>
      </c>
      <c r="Y64" s="44">
        <f t="shared" si="48"/>
        <v>0.35294117647058826</v>
      </c>
      <c r="AB64" s="44">
        <f>'BSi data'!$W73</f>
        <v>4.5738479734292179</v>
      </c>
      <c r="AC64" s="44">
        <f>'BSi data'!$X73</f>
        <v>9.784354742732706</v>
      </c>
      <c r="AF64" s="44">
        <f>'PIC data_CWE_QC'!AF59</f>
        <v>77.050570104651754</v>
      </c>
      <c r="AG64" s="44">
        <f t="shared" si="49"/>
        <v>9.2457389224450708</v>
      </c>
      <c r="AH64" s="44">
        <f t="shared" si="50"/>
        <v>3.1938868176061987</v>
      </c>
      <c r="AI64" s="208">
        <f t="shared" si="51"/>
        <v>98.6377548678187</v>
      </c>
      <c r="AJ64" s="208"/>
      <c r="AK64" s="208">
        <f t="shared" si="52"/>
        <v>7.5299823123052789</v>
      </c>
    </row>
    <row r="65" spans="1:37" s="44" customFormat="1">
      <c r="A65" s="44">
        <v>2022</v>
      </c>
      <c r="B65" s="44" t="str">
        <f>'[1]sample processing comments'!B64</f>
        <v>47_3800</v>
      </c>
      <c r="C65" s="44" t="s">
        <v>3057</v>
      </c>
      <c r="D65" s="44">
        <f>'sample processing comments'!D64</f>
        <v>2</v>
      </c>
      <c r="E65" s="44">
        <f>'mass filt'!V67</f>
        <v>228.74285714285716</v>
      </c>
      <c r="F65" s="44">
        <v>0.5</v>
      </c>
      <c r="G65" s="44" t="str">
        <f>'sample processing comments'!H64</f>
        <v>IN2022_V03 carboy 6 12/5/22 03:43 46˚ 46.711, 141˚ 141.645</v>
      </c>
      <c r="H65" s="117">
        <f t="shared" si="43"/>
        <v>17</v>
      </c>
      <c r="I65" s="44">
        <f t="shared" si="44"/>
        <v>26.910924369747903</v>
      </c>
      <c r="J65" s="44">
        <f t="shared" si="45"/>
        <v>9.8292151260504212</v>
      </c>
      <c r="L65" s="44">
        <v>1</v>
      </c>
      <c r="M65" s="208">
        <f>'CHN data'!E59</f>
        <v>12.442903518676758</v>
      </c>
      <c r="N65" s="208">
        <f>'CHN data'!F59</f>
        <v>0.53769987821578979</v>
      </c>
      <c r="O65" s="208">
        <f>'CHN data'!D59</f>
        <v>0.44762051105499268</v>
      </c>
      <c r="R65" s="44">
        <f>pH_Sal!E55</f>
        <v>38.501420298682284</v>
      </c>
      <c r="S65" s="44">
        <f>pH_Sal!M55</f>
        <v>8.6199999999999992</v>
      </c>
      <c r="T65" s="63">
        <f>Schedule!B27</f>
        <v>44866</v>
      </c>
      <c r="U65" s="63">
        <f>Schedule!B28</f>
        <v>44883</v>
      </c>
      <c r="V65" s="63">
        <f t="shared" si="46"/>
        <v>44874.5</v>
      </c>
      <c r="W65" s="117">
        <f t="shared" si="47"/>
        <v>187</v>
      </c>
      <c r="X65">
        <f t="shared" si="53"/>
        <v>170</v>
      </c>
      <c r="Y65" s="44">
        <f t="shared" si="48"/>
        <v>0.23529411764705882</v>
      </c>
      <c r="AB65" s="44">
        <f>'BSi data'!$W74</f>
        <v>4.3048398969958983</v>
      </c>
      <c r="AC65" s="44">
        <f>'BSi data'!$X74</f>
        <v>9.208893891437647</v>
      </c>
      <c r="AF65" s="44">
        <f>'PIC data_CWE_QC'!AF60</f>
        <v>78.872279924359887</v>
      </c>
      <c r="AG65" s="44">
        <f t="shared" si="49"/>
        <v>9.4643363106616576</v>
      </c>
      <c r="AH65" s="44">
        <f t="shared" si="50"/>
        <v>2.9785672080151002</v>
      </c>
      <c r="AI65" s="208">
        <f t="shared" si="51"/>
        <v>99.347000001488908</v>
      </c>
      <c r="AJ65" s="208"/>
      <c r="AK65" s="208">
        <f t="shared" si="52"/>
        <v>7.7623380626435887</v>
      </c>
    </row>
    <row r="66" spans="1:37" s="44" customFormat="1">
      <c r="A66" s="44">
        <v>2022</v>
      </c>
      <c r="B66" s="44" t="str">
        <f>'[1]sample processing comments'!B65</f>
        <v>47_3800</v>
      </c>
      <c r="C66" s="44" t="s">
        <v>3058</v>
      </c>
      <c r="D66" s="44">
        <f>'sample processing comments'!D65</f>
        <v>2</v>
      </c>
      <c r="E66" s="44">
        <f>'mass filt'!V68</f>
        <v>196.8</v>
      </c>
      <c r="F66" s="44">
        <v>0.5</v>
      </c>
      <c r="G66" s="44" t="str">
        <f>'sample processing comments'!H65</f>
        <v>IN2022_V03 carboy 6 12/5/22 03:43 46˚ 46.711, 141˚ 141.645</v>
      </c>
      <c r="H66" s="117">
        <f t="shared" si="43"/>
        <v>17</v>
      </c>
      <c r="I66" s="44">
        <f t="shared" si="44"/>
        <v>23.152941176470591</v>
      </c>
      <c r="J66" s="44">
        <f t="shared" si="45"/>
        <v>8.4566117647058832</v>
      </c>
      <c r="L66" s="44">
        <v>1</v>
      </c>
      <c r="M66" s="208">
        <f>'CHN data'!E60</f>
        <v>13.223359107971191</v>
      </c>
      <c r="N66" s="208">
        <f>'CHN data'!F60</f>
        <v>0.67851835489273071</v>
      </c>
      <c r="O66" s="208">
        <f>'CHN data'!D60</f>
        <v>0.65887707471847534</v>
      </c>
      <c r="R66" s="44">
        <f>AVERAGE(pH_Sal!E56,pH_Sal!I56)</f>
        <v>38.863862682020248</v>
      </c>
      <c r="S66" s="44">
        <f>AVERAGE(pH_Sal!P56,pH_Sal!M56)</f>
        <v>8.5949999999999989</v>
      </c>
      <c r="T66" s="63">
        <f>Schedule!B28</f>
        <v>44883</v>
      </c>
      <c r="U66" s="63">
        <f>Schedule!B29</f>
        <v>44900</v>
      </c>
      <c r="V66" s="63">
        <f t="shared" si="46"/>
        <v>44891.5</v>
      </c>
      <c r="W66" s="117">
        <f t="shared" si="47"/>
        <v>204</v>
      </c>
      <c r="X66">
        <f t="shared" si="53"/>
        <v>187</v>
      </c>
      <c r="Y66" s="44">
        <f t="shared" si="48"/>
        <v>0.23529411764705882</v>
      </c>
      <c r="AB66" s="44">
        <f>'BSi data'!$W75</f>
        <v>3.847949771234386</v>
      </c>
      <c r="AC66" s="44">
        <f>'BSi data'!$X75</f>
        <v>8.2315166163572187</v>
      </c>
      <c r="AF66" s="44">
        <f>'PIC data_CWE_QC'!AF61</f>
        <v>75.89706552902544</v>
      </c>
      <c r="AG66" s="44">
        <f>AF66*12.01/100.0869</f>
        <v>9.1073233060829697</v>
      </c>
      <c r="AH66" s="44">
        <f t="shared" si="50"/>
        <v>4.1160358018882217</v>
      </c>
      <c r="AI66" s="208">
        <f>AF66+(AC66*1.11)+(AH66*2.2)+3.7</f>
        <v>97.789327737336052</v>
      </c>
      <c r="AJ66" s="208"/>
      <c r="AK66" s="208">
        <f t="shared" si="52"/>
        <v>7.2873541324508508</v>
      </c>
    </row>
    <row r="67" spans="1:37" s="44" customFormat="1">
      <c r="A67" s="44">
        <v>2022</v>
      </c>
      <c r="B67" s="44" t="str">
        <f>'[1]sample processing comments'!B66</f>
        <v>47_3800</v>
      </c>
      <c r="C67" s="44" t="s">
        <v>3059</v>
      </c>
      <c r="D67" s="44">
        <f>'sample processing comments'!D66</f>
        <v>13</v>
      </c>
      <c r="E67" s="44">
        <f>'mass filt'!V69</f>
        <v>510.01428571428568</v>
      </c>
      <c r="F67" s="44">
        <v>0.5</v>
      </c>
      <c r="G67" s="44" t="str">
        <f>'sample processing comments'!H66</f>
        <v>IN2022_V03 carboy 6 12/5/22 03:43 46˚ 46.711, 141˚ 141.645</v>
      </c>
      <c r="H67" s="117">
        <f t="shared" si="43"/>
        <v>17</v>
      </c>
      <c r="I67" s="44">
        <f t="shared" si="44"/>
        <v>60.001680672268904</v>
      </c>
      <c r="J67" s="44">
        <f t="shared" si="45"/>
        <v>21.915613865546216</v>
      </c>
      <c r="L67" s="44">
        <v>1</v>
      </c>
      <c r="M67" s="208">
        <f>'CHN data'!E61</f>
        <v>12.236926078796387</v>
      </c>
      <c r="N67" s="208">
        <f>'CHN data'!F61</f>
        <v>0.78714656829833984</v>
      </c>
      <c r="O67" s="208">
        <f>'CHN data'!D61</f>
        <v>0.67238980531692505</v>
      </c>
      <c r="R67" s="44">
        <f>pH_Sal!E57</f>
        <v>38.718849570056641</v>
      </c>
      <c r="S67" s="44">
        <f>pH_Sal!M57</f>
        <v>8.57</v>
      </c>
      <c r="T67" s="63">
        <f>Schedule!B29</f>
        <v>44900</v>
      </c>
      <c r="U67" s="63">
        <f>Schedule!B30</f>
        <v>44917</v>
      </c>
      <c r="V67" s="63">
        <f t="shared" si="46"/>
        <v>44908.5</v>
      </c>
      <c r="W67" s="117">
        <f t="shared" si="47"/>
        <v>221</v>
      </c>
      <c r="X67">
        <f t="shared" si="53"/>
        <v>204</v>
      </c>
      <c r="Y67" s="44">
        <f t="shared" si="48"/>
        <v>1.5294117647058822</v>
      </c>
      <c r="AB67" s="44">
        <f>'BSi data'!$W76</f>
        <v>7.3716944065287597</v>
      </c>
      <c r="AC67" s="44">
        <f>'BSi data'!$X76</f>
        <v>15.769495083243617</v>
      </c>
      <c r="AF67" s="44">
        <f>'PIC data_CWE_QC'!AF62</f>
        <v>67.236085237491039</v>
      </c>
      <c r="AG67" s="44">
        <f t="shared" si="49"/>
        <v>8.0680427079095001</v>
      </c>
      <c r="AH67" s="44">
        <f t="shared" si="50"/>
        <v>4.1688833708868867</v>
      </c>
      <c r="AI67" s="208">
        <f t="shared" si="51"/>
        <v>97.611768195842615</v>
      </c>
      <c r="AJ67" s="208"/>
      <c r="AK67" s="208">
        <f t="shared" si="52"/>
        <v>7.2325884451372904</v>
      </c>
    </row>
    <row r="68" spans="1:37" s="44" customFormat="1">
      <c r="A68" s="44">
        <v>2022</v>
      </c>
      <c r="B68" s="44" t="str">
        <f>'[1]sample processing comments'!B67</f>
        <v>47_3800</v>
      </c>
      <c r="C68" s="44" t="s">
        <v>3060</v>
      </c>
      <c r="D68" s="44">
        <f>'sample processing comments'!D67</f>
        <v>15</v>
      </c>
      <c r="E68" s="44">
        <f>'mass filt'!V70</f>
        <v>621.44285714285718</v>
      </c>
      <c r="F68" s="44">
        <v>0.5</v>
      </c>
      <c r="G68" s="44" t="str">
        <f>'sample processing comments'!H67</f>
        <v>IN2022_V03 carboy 6 12/5/22 03:43 46˚ 46.711, 141˚ 141.645</v>
      </c>
      <c r="H68" s="117">
        <f t="shared" si="43"/>
        <v>17</v>
      </c>
      <c r="I68" s="44">
        <f t="shared" si="44"/>
        <v>73.110924369747906</v>
      </c>
      <c r="J68" s="44">
        <f t="shared" si="45"/>
        <v>26.703765126050424</v>
      </c>
      <c r="L68" s="44">
        <v>1</v>
      </c>
      <c r="M68" s="208">
        <f>'CHN data'!E62</f>
        <v>11.76308536529541</v>
      </c>
      <c r="N68" s="208">
        <f>'CHN data'!F62</f>
        <v>0.85527735948562622</v>
      </c>
      <c r="O68" s="208">
        <f>'CHN data'!D62</f>
        <v>0.66294419765472412</v>
      </c>
      <c r="R68" s="44">
        <f>pH_Sal!E58</f>
        <v>38.646362168235825</v>
      </c>
      <c r="S68" s="44">
        <f>pH_Sal!M58</f>
        <v>8.56</v>
      </c>
      <c r="T68" s="63">
        <f>Schedule!B30</f>
        <v>44917</v>
      </c>
      <c r="U68" s="63">
        <f>Schedule!B31</f>
        <v>44934</v>
      </c>
      <c r="V68" s="63">
        <f t="shared" si="46"/>
        <v>44925.5</v>
      </c>
      <c r="W68" s="117">
        <f t="shared" si="47"/>
        <v>238</v>
      </c>
      <c r="X68">
        <f t="shared" si="53"/>
        <v>221</v>
      </c>
      <c r="Y68" s="44">
        <f t="shared" si="48"/>
        <v>1.7647058823529411</v>
      </c>
      <c r="AB68" s="44">
        <f>'BSi data'!$W77</f>
        <v>9.5316443569085969</v>
      </c>
      <c r="AC68" s="44">
        <f>'BSi data'!$X77</f>
        <v>20.390050174675601</v>
      </c>
      <c r="AF68" s="44">
        <f>'PIC data_CWE_QC'!AF63</f>
        <v>62.362810057453608</v>
      </c>
      <c r="AG68" s="44">
        <f t="shared" si="49"/>
        <v>7.4832705258132464</v>
      </c>
      <c r="AH68" s="44">
        <f t="shared" si="50"/>
        <v>4.2798148394821638</v>
      </c>
      <c r="AI68" s="208">
        <f t="shared" si="51"/>
        <v>98.111358398204288</v>
      </c>
      <c r="AJ68" s="208"/>
      <c r="AK68" s="208">
        <f t="shared" si="52"/>
        <v>7.5308350334762162</v>
      </c>
    </row>
    <row r="69" spans="1:37" s="44" customFormat="1">
      <c r="A69" s="44">
        <v>2022</v>
      </c>
      <c r="B69" s="44" t="str">
        <f>'[1]sample processing comments'!B68</f>
        <v>47_3800</v>
      </c>
      <c r="C69" s="44" t="s">
        <v>3061</v>
      </c>
      <c r="D69" s="44">
        <f>'sample processing comments'!D68</f>
        <v>31</v>
      </c>
      <c r="E69" s="44">
        <f>'mass filt'!V72</f>
        <v>1272.8571428571429</v>
      </c>
      <c r="F69" s="44">
        <v>0.5</v>
      </c>
      <c r="G69" s="44" t="str">
        <f>'sample processing comments'!H68</f>
        <v>IN2022_V03 carboy 6 12/5/22 03:43 46˚ 46.711, 141˚ 141.645</v>
      </c>
      <c r="H69" s="117">
        <f t="shared" si="43"/>
        <v>17</v>
      </c>
      <c r="I69" s="44">
        <f t="shared" si="44"/>
        <v>149.74789915966386</v>
      </c>
      <c r="J69" s="44">
        <f t="shared" si="45"/>
        <v>54.69542016806723</v>
      </c>
      <c r="L69" s="44">
        <v>1</v>
      </c>
      <c r="M69" s="208">
        <f>AVERAGE('CHN data'!E63,'CHN data'!E68)</f>
        <v>13.305138111114502</v>
      </c>
      <c r="N69" s="208">
        <f>AVERAGE('CHN data'!F63,'CHN data'!F68)</f>
        <v>1.1818159818649292</v>
      </c>
      <c r="O69" s="208">
        <f>AVERAGE('CHN data'!D63,'CHN data'!D68)</f>
        <v>1.0291791558265686</v>
      </c>
      <c r="R69" s="44">
        <f>pH_Sal!E59</f>
        <v>37.922094495813525</v>
      </c>
      <c r="S69" s="44">
        <f>pH_Sal!M59</f>
        <v>8.4499999999999993</v>
      </c>
      <c r="T69" s="63">
        <f>Schedule!B31</f>
        <v>44934</v>
      </c>
      <c r="U69" s="63">
        <f>Schedule!B32</f>
        <v>44951</v>
      </c>
      <c r="V69" s="63">
        <f t="shared" si="46"/>
        <v>44942.5</v>
      </c>
      <c r="W69" s="117">
        <f t="shared" si="47"/>
        <v>255</v>
      </c>
      <c r="X69">
        <f t="shared" si="53"/>
        <v>238</v>
      </c>
      <c r="Y69" s="44">
        <f t="shared" si="48"/>
        <v>3.6470588235294117</v>
      </c>
      <c r="AB69" s="44">
        <f>'BSi data'!$W78</f>
        <v>9.4117479666618653</v>
      </c>
      <c r="AC69" s="44">
        <f>'BSi data'!$X78</f>
        <v>20.133568363001476</v>
      </c>
      <c r="AF69" s="44">
        <f>'PIC data_CWE_QC'!AF64</f>
        <v>57.706363580897133</v>
      </c>
      <c r="AG69" s="44">
        <f t="shared" si="49"/>
        <v>6.9245168609136121</v>
      </c>
      <c r="AH69" s="44">
        <f t="shared" si="50"/>
        <v>6.3806212502008899</v>
      </c>
      <c r="AI69" s="208">
        <f t="shared" si="51"/>
        <v>97.791991214270737</v>
      </c>
      <c r="AJ69" s="208"/>
      <c r="AK69" s="208">
        <f t="shared" si="52"/>
        <v>7.2321447860490071</v>
      </c>
    </row>
    <row r="70" spans="1:37" s="44" customFormat="1">
      <c r="A70" s="44">
        <v>2022</v>
      </c>
      <c r="B70" s="44" t="str">
        <f>'[1]sample processing comments'!B69</f>
        <v>47_3800</v>
      </c>
      <c r="C70" s="44" t="s">
        <v>3063</v>
      </c>
      <c r="D70" s="44">
        <f>'sample processing comments'!D69</f>
        <v>12</v>
      </c>
      <c r="E70" s="44">
        <f>'mass filt'!V75</f>
        <v>638.87142857142862</v>
      </c>
      <c r="F70" s="44">
        <v>0.5</v>
      </c>
      <c r="G70" s="44" t="str">
        <f>'sample processing comments'!H69</f>
        <v>IN2022_V03 carboy 6 12/5/22 03:43 46˚ 46.711, 141˚ 141.645</v>
      </c>
      <c r="H70" s="117">
        <f t="shared" si="43"/>
        <v>17</v>
      </c>
      <c r="I70" s="44">
        <f t="shared" si="44"/>
        <v>75.161344537815125</v>
      </c>
      <c r="J70" s="44">
        <f t="shared" si="45"/>
        <v>27.452681092436979</v>
      </c>
      <c r="L70" s="44">
        <v>1</v>
      </c>
      <c r="M70" s="208">
        <f>'CHN data'!E67</f>
        <v>12.947148323059082</v>
      </c>
      <c r="N70" s="208">
        <f>'CHN data'!F67</f>
        <v>0.83196556568145752</v>
      </c>
      <c r="O70" s="208">
        <f>'CHN data'!D67</f>
        <v>0.78940832614898682</v>
      </c>
      <c r="R70" s="44">
        <f>pH_Sal!E60</f>
        <v>37.632698574553245</v>
      </c>
      <c r="S70" s="44">
        <f>pH_Sal!M60</f>
        <v>8.41</v>
      </c>
      <c r="T70" s="63">
        <f>Schedule!B32</f>
        <v>44951</v>
      </c>
      <c r="U70" s="63">
        <f>Schedule!B33</f>
        <v>44968</v>
      </c>
      <c r="V70" s="63">
        <f t="shared" si="46"/>
        <v>44959.5</v>
      </c>
      <c r="W70" s="117">
        <f t="shared" si="47"/>
        <v>272</v>
      </c>
      <c r="X70">
        <f t="shared" si="53"/>
        <v>255</v>
      </c>
      <c r="Y70" s="44">
        <f t="shared" si="48"/>
        <v>1.411764705882353</v>
      </c>
      <c r="Z70" s="44" t="s">
        <v>3661</v>
      </c>
      <c r="AB70" s="44">
        <f>'BSi data'!$W79</f>
        <v>6.4618643680017236</v>
      </c>
      <c r="AC70" s="44">
        <f>'BSi data'!$X79</f>
        <v>13.823190810723517</v>
      </c>
      <c r="AF70" s="44">
        <f>'PIC data_CWE_QC'!AF65</f>
        <v>68.556134240857176</v>
      </c>
      <c r="AG70" s="44">
        <f t="shared" si="49"/>
        <v>8.2264429434091237</v>
      </c>
      <c r="AH70" s="44">
        <f t="shared" si="50"/>
        <v>4.7207053796499583</v>
      </c>
      <c r="AI70" s="208">
        <f t="shared" si="51"/>
        <v>97.985427875990183</v>
      </c>
      <c r="AJ70" s="208"/>
      <c r="AK70" s="208">
        <f t="shared" si="52"/>
        <v>6.9759012156027742</v>
      </c>
    </row>
    <row r="71" spans="1:37" s="44" customFormat="1">
      <c r="A71" s="44">
        <v>2022</v>
      </c>
      <c r="B71" s="44" t="str">
        <f>'[1]sample processing comments'!B70</f>
        <v>47_3800</v>
      </c>
      <c r="C71" s="44" t="s">
        <v>3065</v>
      </c>
      <c r="D71" s="44">
        <f>'sample processing comments'!D70</f>
        <v>3</v>
      </c>
      <c r="E71" s="44">
        <f>'mass filt'!V77</f>
        <v>112.31428571428572</v>
      </c>
      <c r="F71" s="44">
        <v>0.5</v>
      </c>
      <c r="G71" s="44" t="str">
        <f>'sample processing comments'!H70</f>
        <v>IN2022_V03 carboy 6 12/5/22 03:43 46˚ 46.711, 141˚ 141.645</v>
      </c>
      <c r="H71" s="117">
        <f t="shared" si="43"/>
        <v>17</v>
      </c>
      <c r="I71" s="44">
        <f t="shared" si="44"/>
        <v>13.213445378151262</v>
      </c>
      <c r="J71" s="44">
        <f t="shared" si="45"/>
        <v>4.8262109243697484</v>
      </c>
      <c r="L71" s="44">
        <v>1</v>
      </c>
      <c r="M71" s="374">
        <f>AVERAGE('CHN data'!E69,'CHN data'!E71)</f>
        <v>13.637119121551514</v>
      </c>
      <c r="N71" s="374">
        <f>AVERAGE('CHN data'!F69,'CHN data'!F71)</f>
        <v>0.77374244213104248</v>
      </c>
      <c r="O71" s="374">
        <f>AVERAGE('CHN data'!D69,'CHN data'!D71)</f>
        <v>0.76293784379959106</v>
      </c>
      <c r="P71" s="44" t="s">
        <v>3662</v>
      </c>
      <c r="R71" s="44">
        <f>pH_Sal!E61</f>
        <v>36.476921764898364</v>
      </c>
      <c r="S71" s="44">
        <f>pH_Sal!M61</f>
        <v>8.57</v>
      </c>
      <c r="T71" s="63">
        <f>Schedule!B33</f>
        <v>44968</v>
      </c>
      <c r="U71" s="63">
        <f>Schedule!B34</f>
        <v>44985</v>
      </c>
      <c r="V71" s="63">
        <f t="shared" si="46"/>
        <v>44976.5</v>
      </c>
      <c r="W71" s="117">
        <f t="shared" si="47"/>
        <v>289</v>
      </c>
      <c r="X71">
        <f t="shared" si="53"/>
        <v>272</v>
      </c>
      <c r="Y71" s="44">
        <f t="shared" si="48"/>
        <v>0.35294117647058826</v>
      </c>
      <c r="AB71" s="44">
        <f>'BSi data'!$W80</f>
        <v>4.1185132049686688</v>
      </c>
      <c r="AC71" s="44">
        <f>'BSi data'!$X80</f>
        <v>8.8103046809030729</v>
      </c>
      <c r="AF71" s="44">
        <f>'PIC data_CWE_QC'!AF66</f>
        <v>73.514730433964701</v>
      </c>
      <c r="AG71" s="44">
        <f t="shared" si="49"/>
        <v>8.8214532822169147</v>
      </c>
      <c r="AH71" s="44">
        <f t="shared" si="50"/>
        <v>4.8156658393345992</v>
      </c>
      <c r="AI71" s="208">
        <f t="shared" si="51"/>
        <v>97.588633476303229</v>
      </c>
      <c r="AJ71" s="208"/>
      <c r="AK71" s="208">
        <f t="shared" si="52"/>
        <v>7.3631273800852739</v>
      </c>
    </row>
    <row r="72" spans="1:37" s="44" customFormat="1">
      <c r="A72" s="44">
        <v>2022</v>
      </c>
      <c r="B72" s="44" t="str">
        <f>'[1]sample processing comments'!B71</f>
        <v>47_3800</v>
      </c>
      <c r="C72" s="44" t="s">
        <v>3066</v>
      </c>
      <c r="D72" s="44">
        <f>'sample processing comments'!D71</f>
        <v>2</v>
      </c>
      <c r="E72" s="44">
        <f>'mass filt'!V78</f>
        <v>325.74285714285725</v>
      </c>
      <c r="F72" s="44">
        <v>0.5</v>
      </c>
      <c r="G72" s="44" t="str">
        <f>'sample processing comments'!H71</f>
        <v>IN2022_V03 carboy 6 12/5/22 03:43 46˚ 46.711, 141˚ 141.645</v>
      </c>
      <c r="H72" s="117">
        <f t="shared" si="43"/>
        <v>17</v>
      </c>
      <c r="I72" s="44">
        <f t="shared" si="44"/>
        <v>38.322689075630265</v>
      </c>
      <c r="J72" s="44">
        <f t="shared" si="45"/>
        <v>13.997362184873953</v>
      </c>
      <c r="L72" s="44">
        <v>1</v>
      </c>
      <c r="M72" s="208">
        <f>'CHN data'!E70</f>
        <v>12.892898559570313</v>
      </c>
      <c r="N72" s="208">
        <f>'CHN data'!F70</f>
        <v>0.70162451267242432</v>
      </c>
      <c r="O72" s="208">
        <f>'CHN data'!D70</f>
        <v>0.59488427639007568</v>
      </c>
      <c r="R72" s="44">
        <f>pH_Sal!E62</f>
        <v>38.646362168235825</v>
      </c>
      <c r="S72" s="44">
        <f>pH_Sal!M62</f>
        <v>8.61</v>
      </c>
      <c r="T72" s="63">
        <f>Schedule!B34</f>
        <v>44985</v>
      </c>
      <c r="U72" s="63">
        <f>Schedule!B35</f>
        <v>45002</v>
      </c>
      <c r="V72" s="63">
        <f t="shared" si="46"/>
        <v>44993.5</v>
      </c>
      <c r="W72" s="117">
        <f t="shared" si="47"/>
        <v>306</v>
      </c>
      <c r="X72">
        <f t="shared" si="53"/>
        <v>289</v>
      </c>
      <c r="Y72" s="44">
        <f t="shared" si="48"/>
        <v>0.23529411764705882</v>
      </c>
      <c r="AB72" s="44">
        <f>'BSi data'!$W81</f>
        <v>5.387426142924153</v>
      </c>
      <c r="AC72" s="44">
        <f>'BSi data'!$X81</f>
        <v>11.524757455618101</v>
      </c>
      <c r="AF72" s="44">
        <f>'PIC data_CWE_QC'!AF67</f>
        <v>71.572303862458924</v>
      </c>
      <c r="AG72" s="44">
        <f t="shared" si="49"/>
        <v>8.5883704000037131</v>
      </c>
      <c r="AH72" s="44">
        <f t="shared" si="50"/>
        <v>4.3045281595665994</v>
      </c>
      <c r="AI72" s="208">
        <f t="shared" si="51"/>
        <v>97.534746589241536</v>
      </c>
      <c r="AJ72" s="208"/>
      <c r="AK72" s="208">
        <f t="shared" si="52"/>
        <v>8.4408890358079596</v>
      </c>
    </row>
    <row r="73" spans="1:37" s="44" customFormat="1">
      <c r="A73" s="44">
        <v>2022</v>
      </c>
      <c r="B73" s="44" t="str">
        <f>'[1]sample processing comments'!B72</f>
        <v>47_3800</v>
      </c>
      <c r="C73" s="44" t="s">
        <v>3067</v>
      </c>
      <c r="D73" s="44">
        <f>'sample processing comments'!D72</f>
        <v>4</v>
      </c>
      <c r="E73" s="44">
        <f>'mass filt'!V79</f>
        <v>239.55714285714288</v>
      </c>
      <c r="F73" s="44">
        <v>0.5</v>
      </c>
      <c r="G73" s="44" t="str">
        <f>'sample processing comments'!H72</f>
        <v>IN2022_V03 carboy 6 12/5/22 03:43 46˚ 46.711, 141˚ 141.645</v>
      </c>
      <c r="H73" s="117">
        <f t="shared" si="43"/>
        <v>17</v>
      </c>
      <c r="I73" s="44">
        <f t="shared" si="44"/>
        <v>28.183193277310927</v>
      </c>
      <c r="J73" s="44">
        <f t="shared" si="45"/>
        <v>10.293911344537817</v>
      </c>
      <c r="L73" s="44">
        <v>1</v>
      </c>
      <c r="M73" s="208">
        <f>'CHN data'!E72</f>
        <v>12.664948463439941</v>
      </c>
      <c r="N73" s="208">
        <f>'CHN data'!F72</f>
        <v>0.71935164928436279</v>
      </c>
      <c r="O73" s="208">
        <f>'CHN data'!D72</f>
        <v>0.64429038763046265</v>
      </c>
      <c r="R73" s="44">
        <f>pH_Sal!E63</f>
        <v>38.863857221644167</v>
      </c>
      <c r="S73" s="44">
        <f>pH_Sal!M63</f>
        <v>8.6300000000000008</v>
      </c>
      <c r="T73" s="63">
        <f>Schedule!B35</f>
        <v>45002</v>
      </c>
      <c r="U73" s="63">
        <f>Schedule!B36</f>
        <v>45019</v>
      </c>
      <c r="V73" s="63">
        <f t="shared" si="46"/>
        <v>45010.5</v>
      </c>
      <c r="W73" s="117">
        <f t="shared" si="47"/>
        <v>323</v>
      </c>
      <c r="X73">
        <f t="shared" si="53"/>
        <v>306</v>
      </c>
      <c r="Y73" s="44">
        <f t="shared" si="48"/>
        <v>0.47058823529411764</v>
      </c>
      <c r="AB73" s="44">
        <f>'BSi data'!$W82</f>
        <v>5.1655244267323752</v>
      </c>
      <c r="AC73" s="44">
        <f>'BSi data'!$X82</f>
        <v>11.05006631549834</v>
      </c>
      <c r="AF73" s="44">
        <f>'PIC data_CWE_QC'!AF68</f>
        <v>71.209945716490836</v>
      </c>
      <c r="AG73" s="44">
        <f t="shared" si="49"/>
        <v>8.544888972033851</v>
      </c>
      <c r="AH73" s="44">
        <f t="shared" si="50"/>
        <v>4.1200594914060904</v>
      </c>
      <c r="AI73" s="208">
        <f t="shared" si="51"/>
        <v>96.239650207787406</v>
      </c>
      <c r="AJ73" s="208"/>
      <c r="AK73" s="208">
        <f t="shared" si="52"/>
        <v>7.4596244357450878</v>
      </c>
    </row>
    <row r="74" spans="1:37" s="44" customFormat="1">
      <c r="A74" s="44">
        <v>2022</v>
      </c>
      <c r="B74" s="44" t="str">
        <f>'[1]sample processing comments'!B73</f>
        <v>47_3800</v>
      </c>
      <c r="C74" s="44" t="s">
        <v>3068</v>
      </c>
      <c r="D74" s="44">
        <f>'sample processing comments'!D73</f>
        <v>5</v>
      </c>
      <c r="E74" s="44">
        <f>'mass filt'!V80</f>
        <v>509.21428571428572</v>
      </c>
      <c r="F74" s="44">
        <v>0.5</v>
      </c>
      <c r="G74" s="44" t="str">
        <f>'sample processing comments'!H73</f>
        <v>IN2022_V03 carboy 6 12/5/22 03:43 46˚ 46.711, 141˚ 141.645</v>
      </c>
      <c r="H74" s="117">
        <f t="shared" si="43"/>
        <v>17</v>
      </c>
      <c r="I74" s="44">
        <f t="shared" si="44"/>
        <v>59.907563025210088</v>
      </c>
      <c r="J74" s="44">
        <f t="shared" si="45"/>
        <v>21.881237394957985</v>
      </c>
      <c r="L74" s="44">
        <v>1</v>
      </c>
      <c r="M74" s="208">
        <f>'CHN data'!E73</f>
        <v>12.459025382995605</v>
      </c>
      <c r="N74" s="208">
        <f>'CHN data'!F73</f>
        <v>0.66033798456192017</v>
      </c>
      <c r="O74" s="208">
        <f>'CHN data'!D73</f>
        <v>0.57904958724975586</v>
      </c>
      <c r="R74" s="44">
        <f>pH_Sal!E64</f>
        <v>37.777374168095484</v>
      </c>
      <c r="S74" s="44">
        <f>pH_Sal!M64</f>
        <v>8.56</v>
      </c>
      <c r="T74" s="63">
        <f>Schedule!B36</f>
        <v>45019</v>
      </c>
      <c r="U74" s="63">
        <f>Schedule!B37</f>
        <v>45036</v>
      </c>
      <c r="V74" s="63">
        <f t="shared" si="46"/>
        <v>45027.5</v>
      </c>
      <c r="W74" s="117">
        <f t="shared" si="47"/>
        <v>340</v>
      </c>
      <c r="X74">
        <f t="shared" si="53"/>
        <v>323</v>
      </c>
      <c r="Y74" s="44">
        <f t="shared" si="48"/>
        <v>0.58823529411764708</v>
      </c>
      <c r="AB74" s="44">
        <f>'BSi data'!$W83</f>
        <v>4.7855142405063296</v>
      </c>
      <c r="AC74" s="44">
        <f>'BSi data'!$X83</f>
        <v>10.237150256747078</v>
      </c>
      <c r="AF74" s="44">
        <f>'PIC data_CWE_QC'!AF69</f>
        <v>72.645345110830917</v>
      </c>
      <c r="AG74" s="44">
        <f t="shared" si="49"/>
        <v>8.7171307611793285</v>
      </c>
      <c r="AH74" s="44">
        <f t="shared" si="50"/>
        <v>3.741894621816277</v>
      </c>
      <c r="AI74" s="208">
        <f t="shared" si="51"/>
        <v>95.940750063815983</v>
      </c>
      <c r="AJ74" s="208"/>
      <c r="AK74" s="208">
        <f t="shared" si="52"/>
        <v>7.5382567343274589</v>
      </c>
    </row>
    <row r="75" spans="1:37" s="44" customFormat="1">
      <c r="A75" s="44">
        <v>2022</v>
      </c>
      <c r="B75" s="44" t="str">
        <f>'[1]sample processing comments'!B74</f>
        <v>47_3800</v>
      </c>
      <c r="C75" s="44" t="s">
        <v>3069</v>
      </c>
      <c r="D75" s="44">
        <f>'sample processing comments'!D74</f>
        <v>2</v>
      </c>
      <c r="E75" s="44">
        <f>'mass filt'!V81</f>
        <v>226.87142857142857</v>
      </c>
      <c r="F75" s="44">
        <v>0.5</v>
      </c>
      <c r="G75" s="44" t="str">
        <f>'sample processing comments'!H74</f>
        <v>IN2022_V03 carboy 6 12/5/22 03:43 46˚ 46.711, 141˚ 141.645</v>
      </c>
      <c r="H75" s="117">
        <f t="shared" si="43"/>
        <v>17</v>
      </c>
      <c r="I75" s="44">
        <f t="shared" si="44"/>
        <v>26.69075630252101</v>
      </c>
      <c r="J75" s="44">
        <f t="shared" si="45"/>
        <v>9.7487987394957987</v>
      </c>
      <c r="L75" s="44">
        <v>1</v>
      </c>
      <c r="M75" s="208">
        <f>'CHN data'!E74</f>
        <v>13.983448028564453</v>
      </c>
      <c r="N75" s="208">
        <f>'CHN data'!F74</f>
        <v>0.90682899951934814</v>
      </c>
      <c r="O75" s="208">
        <f>'CHN data'!D74</f>
        <v>0.97274410724639893</v>
      </c>
      <c r="R75" s="44">
        <f>pH_Sal!E65</f>
        <v>38.428965865577133</v>
      </c>
      <c r="S75" s="44">
        <f>pH_Sal!M65</f>
        <v>8.6</v>
      </c>
      <c r="T75" s="63">
        <f>Schedule!B37</f>
        <v>45036</v>
      </c>
      <c r="U75" s="63">
        <f>Schedule!B38</f>
        <v>45053</v>
      </c>
      <c r="V75" s="63">
        <f t="shared" si="46"/>
        <v>45044.5</v>
      </c>
      <c r="W75" s="117">
        <f t="shared" si="47"/>
        <v>357</v>
      </c>
      <c r="X75">
        <f t="shared" si="53"/>
        <v>340</v>
      </c>
      <c r="Y75" s="44">
        <f t="shared" si="48"/>
        <v>0.23529411764705882</v>
      </c>
      <c r="AB75" s="44">
        <f>'BSi data'!$W84</f>
        <v>4.3909189112546629</v>
      </c>
      <c r="AC75" s="44">
        <f>'BSi data'!$X84</f>
        <v>9.3930337264967161</v>
      </c>
      <c r="AF75" s="44">
        <f>'PIC data_CWE_QC'!AF70</f>
        <v>70.36685210175213</v>
      </c>
      <c r="AG75" s="44">
        <f t="shared" si="49"/>
        <v>8.4437213435728662</v>
      </c>
      <c r="AH75" s="44">
        <f t="shared" si="50"/>
        <v>5.5397266849915869</v>
      </c>
      <c r="AI75" s="208">
        <f t="shared" si="51"/>
        <v>96.680518245144981</v>
      </c>
      <c r="AJ75" s="208"/>
      <c r="AK75" s="208">
        <f t="shared" si="52"/>
        <v>6.6433151862217246</v>
      </c>
    </row>
    <row r="76" spans="1:37">
      <c r="A76" s="373" t="str">
        <f>'sample processing comments'!A75</f>
        <v>Pick up 20/05/2022 IN2023_V03</v>
      </c>
      <c r="O76" s="208"/>
      <c r="T76" s="148"/>
      <c r="U76" s="148"/>
      <c r="V76" s="148"/>
      <c r="W76" s="117"/>
    </row>
    <row r="77" spans="1:37">
      <c r="O77" s="208"/>
    </row>
    <row r="78" spans="1:37">
      <c r="E78" s="38"/>
    </row>
    <row r="79" spans="1:37">
      <c r="A79" s="149"/>
      <c r="B79" s="149" t="s">
        <v>3663</v>
      </c>
      <c r="C79" s="53"/>
      <c r="D79" s="150" t="s">
        <v>3664</v>
      </c>
      <c r="E79" s="103"/>
      <c r="F79" s="151"/>
      <c r="G79" s="152"/>
      <c r="H79" s="153"/>
      <c r="I79" s="153"/>
      <c r="J79" s="153"/>
    </row>
    <row r="80" spans="1:37">
      <c r="A80" s="151" t="s">
        <v>46</v>
      </c>
      <c r="B80" s="53"/>
      <c r="C80" s="53"/>
      <c r="D80" s="150">
        <f>COUNT(F7:F27)</f>
        <v>21</v>
      </c>
      <c r="E80" s="103"/>
      <c r="F80" s="53"/>
      <c r="G80" s="152"/>
      <c r="H80" s="126"/>
      <c r="I80" s="153"/>
      <c r="J80" s="153"/>
    </row>
    <row r="81" spans="1:12">
      <c r="A81" s="151" t="s">
        <v>76</v>
      </c>
      <c r="B81" s="53"/>
      <c r="C81" s="53"/>
      <c r="D81" s="150">
        <f>COUNT(F31:F51)</f>
        <v>21</v>
      </c>
      <c r="E81" s="103"/>
      <c r="F81" s="53"/>
      <c r="G81" s="152"/>
      <c r="H81" s="126"/>
      <c r="I81" s="153"/>
      <c r="J81" s="153"/>
    </row>
    <row r="82" spans="1:12">
      <c r="A82" s="151" t="s">
        <v>93</v>
      </c>
      <c r="B82" s="53"/>
      <c r="C82" s="53"/>
      <c r="D82" s="150">
        <f>COUNT(F55:F75)</f>
        <v>21</v>
      </c>
      <c r="E82" s="103"/>
      <c r="F82" s="53"/>
      <c r="G82" s="152"/>
      <c r="H82" s="126"/>
      <c r="I82" s="153"/>
      <c r="J82" s="153"/>
    </row>
    <row r="83" spans="1:12">
      <c r="A83" s="149" t="s">
        <v>3665</v>
      </c>
      <c r="B83" s="53"/>
      <c r="C83" s="53"/>
      <c r="D83" s="154">
        <f>SUM(D80:D82)</f>
        <v>63</v>
      </c>
      <c r="E83" s="103"/>
      <c r="F83" s="151"/>
      <c r="G83" s="152"/>
      <c r="H83" s="153"/>
      <c r="I83" s="153"/>
      <c r="J83" s="126"/>
    </row>
    <row r="84" spans="1:12">
      <c r="A84" s="149" t="s">
        <v>3666</v>
      </c>
      <c r="B84" s="53"/>
      <c r="C84" s="53"/>
      <c r="D84" s="154">
        <f>SUM(D80:D82)</f>
        <v>63</v>
      </c>
      <c r="E84" s="103"/>
      <c r="F84" s="151"/>
      <c r="G84" s="152"/>
      <c r="H84" s="153"/>
      <c r="I84" s="153"/>
      <c r="J84" s="126"/>
    </row>
    <row r="85" spans="1:12">
      <c r="A85" s="53"/>
      <c r="B85" s="53"/>
      <c r="C85" s="53"/>
      <c r="D85" s="154" t="s">
        <v>3667</v>
      </c>
      <c r="E85" s="103" t="s">
        <v>3668</v>
      </c>
      <c r="F85" s="151" t="s">
        <v>434</v>
      </c>
      <c r="G85" s="152"/>
      <c r="H85" s="153"/>
      <c r="I85" s="153"/>
      <c r="J85" s="153"/>
    </row>
    <row r="86" spans="1:12">
      <c r="A86" s="53" t="s">
        <v>3669</v>
      </c>
      <c r="B86" s="53"/>
      <c r="C86" s="151"/>
      <c r="D86" s="154">
        <f>F86-E86</f>
        <v>63</v>
      </c>
      <c r="E86" s="104">
        <v>0</v>
      </c>
      <c r="F86" s="155">
        <f>COUNT(F7:F75)</f>
        <v>63</v>
      </c>
      <c r="G86" s="152"/>
      <c r="H86" s="156"/>
      <c r="I86" s="153"/>
      <c r="J86" s="153"/>
    </row>
    <row r="87" spans="1:12">
      <c r="A87" s="157"/>
      <c r="B87" s="157"/>
      <c r="C87" s="158"/>
      <c r="D87" s="156"/>
      <c r="E87" s="159"/>
      <c r="F87" s="156"/>
      <c r="G87" s="152"/>
      <c r="H87" s="156"/>
      <c r="I87" s="153"/>
      <c r="J87" s="153"/>
    </row>
    <row r="88" spans="1:12">
      <c r="A88" s="157"/>
      <c r="B88" s="157"/>
      <c r="C88" s="157"/>
      <c r="D88" s="156"/>
      <c r="E88" s="103" t="s">
        <v>3670</v>
      </c>
      <c r="F88" s="151" t="s">
        <v>3602</v>
      </c>
      <c r="G88" s="149"/>
      <c r="H88" s="53" t="s">
        <v>3671</v>
      </c>
      <c r="I88" s="104" t="s">
        <v>3672</v>
      </c>
      <c r="J88" s="53" t="s">
        <v>3671</v>
      </c>
    </row>
    <row r="89" spans="1:12">
      <c r="A89" s="157"/>
      <c r="B89" s="157"/>
      <c r="C89" s="157"/>
      <c r="D89" s="156"/>
      <c r="E89" s="103" t="s">
        <v>3097</v>
      </c>
      <c r="F89" s="151" t="s">
        <v>3642</v>
      </c>
      <c r="G89" s="149"/>
      <c r="H89" s="53" t="s">
        <v>3643</v>
      </c>
      <c r="I89" s="104" t="s">
        <v>3645</v>
      </c>
      <c r="J89" s="151" t="s">
        <v>3673</v>
      </c>
    </row>
    <row r="90" spans="1:12">
      <c r="A90" s="151" t="s">
        <v>46</v>
      </c>
      <c r="B90" s="157"/>
      <c r="C90" s="157"/>
      <c r="D90" s="156"/>
      <c r="E90" s="103">
        <f>SUM(E7:E27)</f>
        <v>4541.4285714285716</v>
      </c>
      <c r="F90" s="149">
        <v>0.5</v>
      </c>
      <c r="G90" s="149"/>
      <c r="H90" s="151">
        <f>SUM(H7:H27)</f>
        <v>357</v>
      </c>
      <c r="I90" s="104">
        <f>0.001*365.25*E90/F90/H90</f>
        <v>9.2927551020408163</v>
      </c>
      <c r="J90" s="151">
        <f>100*H90/365</f>
        <v>97.808219178082197</v>
      </c>
    </row>
    <row r="91" spans="1:12">
      <c r="A91" s="53" t="s">
        <v>76</v>
      </c>
      <c r="B91" s="157"/>
      <c r="C91" s="157"/>
      <c r="D91" s="156"/>
      <c r="E91" s="103">
        <f>SUM(E31:E51)</f>
        <v>4979.2142857142853</v>
      </c>
      <c r="F91" s="149">
        <v>0.5</v>
      </c>
      <c r="G91" s="149"/>
      <c r="H91" s="151">
        <f>SUM(H31:H51)</f>
        <v>357</v>
      </c>
      <c r="I91" s="104">
        <f>0.001*365.25*E91/F91/H91</f>
        <v>10.188560324129652</v>
      </c>
      <c r="J91" s="151">
        <f>100*H91/365</f>
        <v>97.808219178082197</v>
      </c>
    </row>
    <row r="92" spans="1:12">
      <c r="A92" s="151" t="s">
        <v>93</v>
      </c>
      <c r="B92" s="157"/>
      <c r="C92" s="157"/>
      <c r="D92" s="156"/>
      <c r="E92" s="103">
        <f>SUM(E55:E75)</f>
        <v>7548.7428571428572</v>
      </c>
      <c r="F92" s="149">
        <v>0.5</v>
      </c>
      <c r="G92" s="149"/>
      <c r="H92" s="151">
        <f>SUM(H55:H75)</f>
        <v>357</v>
      </c>
      <c r="I92" s="104">
        <f>0.001*365.25*E92/F92/H92</f>
        <v>15.446377190876351</v>
      </c>
      <c r="J92" s="151">
        <f>100*H92/365</f>
        <v>97.808219178082197</v>
      </c>
      <c r="K92" s="44"/>
      <c r="L92" s="44"/>
    </row>
    <row r="93" spans="1:12">
      <c r="A93" s="157"/>
      <c r="B93" s="157"/>
      <c r="C93" s="157"/>
      <c r="D93" s="156"/>
      <c r="E93" s="159"/>
      <c r="F93" s="153"/>
      <c r="G93" s="152"/>
      <c r="H93" s="153"/>
      <c r="I93" s="153"/>
      <c r="J93" s="153"/>
    </row>
  </sheetData>
  <phoneticPr fontId="15" type="noConversion"/>
  <conditionalFormatting sqref="AI7:AI27">
    <cfRule type="cellIs" dxfId="5" priority="7" operator="lessThan">
      <formula>90</formula>
    </cfRule>
    <cfRule type="cellIs" dxfId="4" priority="8" operator="greaterThan">
      <formula>110</formula>
    </cfRule>
  </conditionalFormatting>
  <conditionalFormatting sqref="AI31:AI51">
    <cfRule type="cellIs" dxfId="3" priority="1" operator="lessThan">
      <formula>90</formula>
    </cfRule>
    <cfRule type="cellIs" dxfId="2" priority="2" operator="greaterThan">
      <formula>110</formula>
    </cfRule>
  </conditionalFormatting>
  <conditionalFormatting sqref="AI55:AI75">
    <cfRule type="cellIs" dxfId="1" priority="3" operator="lessThan">
      <formula>90</formula>
    </cfRule>
    <cfRule type="cellIs" dxfId="0" priority="4" operator="greaterThan">
      <formula>110</formula>
    </cfRule>
  </conditionalFormatting>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9BC15-AA8D-496F-A857-78608FBEB37F}">
  <dimension ref="A1:BD68"/>
  <sheetViews>
    <sheetView workbookViewId="0">
      <pane xSplit="3" topLeftCell="E1" activePane="topRight" state="frozen"/>
      <selection activeCell="F1" sqref="F1:F1048576"/>
      <selection pane="topRight" activeCell="A19" sqref="A19:XFD19"/>
    </sheetView>
  </sheetViews>
  <sheetFormatPr defaultRowHeight="14.5"/>
  <cols>
    <col min="4" max="4" width="97.26953125" bestFit="1" customWidth="1"/>
    <col min="6" max="6" width="9.1796875" style="519"/>
    <col min="8" max="8" width="11.26953125" bestFit="1" customWidth="1"/>
    <col min="10" max="10" width="8.54296875" style="277" bestFit="1" customWidth="1"/>
    <col min="13" max="13" width="3.7265625" style="277" customWidth="1"/>
    <col min="15" max="15" width="6.26953125" style="277" bestFit="1" customWidth="1"/>
    <col min="17" max="17" width="3.7265625" style="277" customWidth="1"/>
    <col min="19" max="19" width="3.7265625" style="277" customWidth="1"/>
    <col min="21" max="21" width="3.7265625" style="277" customWidth="1"/>
    <col min="29" max="31" width="10.7265625" bestFit="1" customWidth="1"/>
    <col min="39" max="39" width="8.7265625" style="44"/>
    <col min="41" max="41" width="32.7265625" customWidth="1"/>
    <col min="42" max="42" width="8.54296875" style="277" customWidth="1"/>
    <col min="44" max="44" width="13.26953125" style="277" customWidth="1"/>
    <col min="46" max="46" width="3.7265625" style="277" bestFit="1" customWidth="1"/>
    <col min="48" max="48" width="3.7265625" style="277" customWidth="1"/>
    <col min="50" max="50" width="3.7265625" style="277" customWidth="1"/>
  </cols>
  <sheetData>
    <row r="1" spans="1:56" s="64" customFormat="1">
      <c r="A1" s="64" t="s">
        <v>3674</v>
      </c>
      <c r="B1" s="64" t="s">
        <v>2976</v>
      </c>
      <c r="C1" s="64" t="s">
        <v>2977</v>
      </c>
      <c r="D1" s="64" t="s">
        <v>33</v>
      </c>
      <c r="E1" s="64" t="s">
        <v>3123</v>
      </c>
      <c r="F1" s="395" t="s">
        <v>3675</v>
      </c>
      <c r="G1" s="64" t="s">
        <v>3676</v>
      </c>
      <c r="H1" s="64" t="s">
        <v>3677</v>
      </c>
      <c r="I1" s="64" t="s">
        <v>3677</v>
      </c>
      <c r="J1" s="505" t="s">
        <v>3605</v>
      </c>
      <c r="K1" s="64" t="s">
        <v>3613</v>
      </c>
      <c r="L1" s="64" t="s">
        <v>3614</v>
      </c>
      <c r="M1" s="505" t="s">
        <v>3678</v>
      </c>
      <c r="N1" s="64" t="s">
        <v>3624</v>
      </c>
      <c r="O1" s="505" t="s">
        <v>3679</v>
      </c>
      <c r="P1" s="64" t="s">
        <v>3625</v>
      </c>
      <c r="Q1" s="505" t="s">
        <v>3680</v>
      </c>
      <c r="R1" s="64" t="s">
        <v>3615</v>
      </c>
      <c r="S1" s="505" t="s">
        <v>3681</v>
      </c>
      <c r="T1" s="64" t="s">
        <v>3629</v>
      </c>
      <c r="U1" s="505" t="s">
        <v>3682</v>
      </c>
      <c r="V1" s="64" t="s">
        <v>3630</v>
      </c>
      <c r="W1" s="64" t="s">
        <v>3613</v>
      </c>
      <c r="X1" s="64" t="s">
        <v>3614</v>
      </c>
      <c r="Y1" s="64" t="s">
        <v>3624</v>
      </c>
      <c r="Z1" s="64" t="s">
        <v>3625</v>
      </c>
      <c r="AA1" s="64" t="s">
        <v>3615</v>
      </c>
      <c r="AB1" s="64" t="s">
        <v>3630</v>
      </c>
      <c r="AC1" s="397" t="s">
        <v>3236</v>
      </c>
      <c r="AD1" s="397" t="s">
        <v>3236</v>
      </c>
      <c r="AE1" s="397" t="s">
        <v>3236</v>
      </c>
      <c r="AF1" s="64" t="s">
        <v>3236</v>
      </c>
      <c r="AG1" s="64" t="s">
        <v>3629</v>
      </c>
      <c r="AH1" s="64" t="s">
        <v>3683</v>
      </c>
      <c r="AI1" s="64" t="s">
        <v>3684</v>
      </c>
      <c r="AJ1" s="64" t="s">
        <v>3685</v>
      </c>
      <c r="AK1" s="64" t="s">
        <v>3686</v>
      </c>
      <c r="AL1" s="64" t="s">
        <v>3687</v>
      </c>
      <c r="AM1" s="64" t="s">
        <v>406</v>
      </c>
      <c r="AO1" s="64" t="s">
        <v>3683</v>
      </c>
      <c r="AP1" s="505" t="s">
        <v>3688</v>
      </c>
      <c r="AQ1" s="64" t="s">
        <v>3684</v>
      </c>
      <c r="AR1" s="505" t="s">
        <v>3689</v>
      </c>
      <c r="AS1" s="64" t="s">
        <v>3685</v>
      </c>
      <c r="AT1" s="505" t="s">
        <v>3690</v>
      </c>
      <c r="AU1" s="64" t="s">
        <v>3686</v>
      </c>
      <c r="AV1" s="505" t="s">
        <v>3691</v>
      </c>
      <c r="AW1" s="64" t="s">
        <v>3687</v>
      </c>
      <c r="AX1" s="505" t="s">
        <v>3692</v>
      </c>
      <c r="AY1" s="64" t="s">
        <v>3618</v>
      </c>
      <c r="AZ1" s="64" t="s">
        <v>3693</v>
      </c>
      <c r="BA1" s="64" t="s">
        <v>3694</v>
      </c>
      <c r="BB1" s="64" t="s">
        <v>3695</v>
      </c>
      <c r="BC1" s="64" t="s">
        <v>3118</v>
      </c>
      <c r="BD1" s="64" t="s">
        <v>3696</v>
      </c>
    </row>
    <row r="2" spans="1:56" s="44" customFormat="1">
      <c r="A2" s="44" t="s">
        <v>3697</v>
      </c>
      <c r="E2" s="44" t="s">
        <v>3698</v>
      </c>
      <c r="F2" s="393"/>
      <c r="H2" s="44" t="s">
        <v>3672</v>
      </c>
      <c r="I2" s="44" t="s">
        <v>3672</v>
      </c>
      <c r="J2" s="30"/>
      <c r="K2" s="44" t="s">
        <v>3610</v>
      </c>
      <c r="L2" s="44" t="s">
        <v>3610</v>
      </c>
      <c r="M2" s="30"/>
      <c r="N2" s="44" t="s">
        <v>3610</v>
      </c>
      <c r="O2" s="30"/>
      <c r="P2" s="44" t="s">
        <v>3610</v>
      </c>
      <c r="Q2" s="30"/>
      <c r="R2" s="44" t="s">
        <v>3610</v>
      </c>
      <c r="S2" s="30"/>
      <c r="T2" s="44" t="s">
        <v>3610</v>
      </c>
      <c r="U2" s="30"/>
      <c r="V2" s="44" t="s">
        <v>3610</v>
      </c>
      <c r="W2" s="44" t="s">
        <v>3672</v>
      </c>
      <c r="X2" s="44" t="s">
        <v>3672</v>
      </c>
      <c r="Y2" s="44" t="s">
        <v>3672</v>
      </c>
      <c r="Z2" s="44" t="s">
        <v>3672</v>
      </c>
      <c r="AA2" s="44" t="s">
        <v>3672</v>
      </c>
      <c r="AB2" s="44" t="s">
        <v>3672</v>
      </c>
      <c r="AC2" s="44" t="s">
        <v>3699</v>
      </c>
      <c r="AD2" s="44" t="s">
        <v>3700</v>
      </c>
      <c r="AE2" s="44" t="s">
        <v>3701</v>
      </c>
      <c r="AF2" s="44" t="s">
        <v>3702</v>
      </c>
      <c r="AG2" s="44" t="s">
        <v>3672</v>
      </c>
      <c r="AH2" s="44" t="s">
        <v>3703</v>
      </c>
      <c r="AI2" s="44" t="s">
        <v>3704</v>
      </c>
      <c r="AJ2" s="44" t="s">
        <v>3705</v>
      </c>
      <c r="AK2" s="44" t="s">
        <v>3706</v>
      </c>
      <c r="AL2" s="44" t="s">
        <v>3707</v>
      </c>
      <c r="AM2" s="44" t="s">
        <v>3708</v>
      </c>
      <c r="AO2" s="44" t="s">
        <v>3703</v>
      </c>
      <c r="AP2" s="30"/>
      <c r="AQ2" s="44" t="s">
        <v>3704</v>
      </c>
      <c r="AR2" s="30"/>
      <c r="AS2" s="44" t="s">
        <v>3705</v>
      </c>
      <c r="AT2" s="30"/>
      <c r="AU2" s="44" t="s">
        <v>3706</v>
      </c>
      <c r="AV2" s="30"/>
      <c r="AW2" s="44" t="s">
        <v>3707</v>
      </c>
      <c r="AX2" s="30"/>
    </row>
    <row r="3" spans="1:56" s="44" customFormat="1">
      <c r="F3" s="393"/>
      <c r="G3" s="44" t="s">
        <v>3634</v>
      </c>
      <c r="H3" s="44" t="s">
        <v>3634</v>
      </c>
      <c r="I3" s="44" t="s">
        <v>3634</v>
      </c>
      <c r="J3" s="30"/>
      <c r="K3" s="44" t="s">
        <v>3634</v>
      </c>
      <c r="L3" s="44" t="s">
        <v>3634</v>
      </c>
      <c r="M3" s="30"/>
      <c r="N3" s="44" t="s">
        <v>3634</v>
      </c>
      <c r="O3" s="30"/>
      <c r="P3" s="44" t="s">
        <v>3634</v>
      </c>
      <c r="Q3" s="30"/>
      <c r="R3" s="44" t="s">
        <v>3634</v>
      </c>
      <c r="S3" s="30"/>
      <c r="T3" s="44" t="s">
        <v>3634</v>
      </c>
      <c r="U3" s="30"/>
      <c r="V3" s="44" t="s">
        <v>3634</v>
      </c>
      <c r="W3" s="44" t="s">
        <v>3634</v>
      </c>
      <c r="X3" s="44" t="s">
        <v>3634</v>
      </c>
      <c r="Y3" s="44" t="s">
        <v>3634</v>
      </c>
      <c r="Z3" s="44" t="s">
        <v>3634</v>
      </c>
      <c r="AA3" s="44" t="s">
        <v>3634</v>
      </c>
      <c r="AB3" s="44" t="s">
        <v>3634</v>
      </c>
      <c r="AE3" s="44">
        <v>1</v>
      </c>
      <c r="AG3" s="44" t="s">
        <v>3634</v>
      </c>
      <c r="AH3" s="44" t="s">
        <v>3709</v>
      </c>
      <c r="AI3" s="44" t="s">
        <v>3709</v>
      </c>
      <c r="AJ3" s="44" t="s">
        <v>3709</v>
      </c>
      <c r="AK3" s="44" t="s">
        <v>3709</v>
      </c>
      <c r="AL3" s="44" t="s">
        <v>3709</v>
      </c>
      <c r="AM3" s="44" t="s">
        <v>3710</v>
      </c>
      <c r="AO3" s="44" t="s">
        <v>3711</v>
      </c>
      <c r="AP3" s="30"/>
      <c r="AQ3" s="44" t="s">
        <v>3711</v>
      </c>
      <c r="AR3" s="30"/>
      <c r="AS3" s="44" t="s">
        <v>3711</v>
      </c>
      <c r="AT3" s="30"/>
      <c r="AU3" s="44" t="s">
        <v>3711</v>
      </c>
      <c r="AV3" s="30"/>
      <c r="AW3" s="44" t="s">
        <v>3711</v>
      </c>
      <c r="AX3" s="30"/>
      <c r="AY3" s="44" t="s">
        <v>3712</v>
      </c>
    </row>
    <row r="4" spans="1:56" s="44" customFormat="1">
      <c r="E4" s="44" t="s">
        <v>3713</v>
      </c>
      <c r="F4" s="393"/>
      <c r="G4" s="44" t="s">
        <v>2989</v>
      </c>
      <c r="H4" s="44" t="s">
        <v>3644</v>
      </c>
      <c r="I4" s="44" t="s">
        <v>3645</v>
      </c>
      <c r="J4" s="30"/>
      <c r="K4" s="44" t="s">
        <v>3088</v>
      </c>
      <c r="L4" s="44" t="s">
        <v>3088</v>
      </c>
      <c r="M4" s="30"/>
      <c r="N4" s="44" t="s">
        <v>3088</v>
      </c>
      <c r="O4" s="30"/>
      <c r="P4" s="44" t="s">
        <v>3088</v>
      </c>
      <c r="Q4" s="30"/>
      <c r="R4" s="44" t="s">
        <v>3088</v>
      </c>
      <c r="S4" s="30"/>
      <c r="T4" s="44" t="s">
        <v>3088</v>
      </c>
      <c r="U4" s="30"/>
      <c r="V4" s="44" t="s">
        <v>3088</v>
      </c>
      <c r="W4" s="44" t="s">
        <v>3645</v>
      </c>
      <c r="X4" s="44" t="s">
        <v>3645</v>
      </c>
      <c r="Y4" s="44" t="s">
        <v>3645</v>
      </c>
      <c r="Z4" s="44" t="s">
        <v>3645</v>
      </c>
      <c r="AA4" s="44" t="s">
        <v>3645</v>
      </c>
      <c r="AB4" s="44" t="s">
        <v>3645</v>
      </c>
      <c r="AC4" s="44" t="s">
        <v>3072</v>
      </c>
      <c r="AD4" s="44" t="s">
        <v>3072</v>
      </c>
      <c r="AE4" s="44" t="s">
        <v>3714</v>
      </c>
      <c r="AF4" s="44" t="s">
        <v>3643</v>
      </c>
      <c r="AG4" s="44" t="s">
        <v>3645</v>
      </c>
      <c r="AH4" s="44" t="s">
        <v>3634</v>
      </c>
      <c r="AI4" s="44" t="s">
        <v>3634</v>
      </c>
      <c r="AJ4" s="44" t="s">
        <v>3634</v>
      </c>
      <c r="AK4" s="44" t="s">
        <v>3634</v>
      </c>
      <c r="AL4" s="44" t="s">
        <v>3634</v>
      </c>
      <c r="AO4" s="44" t="s">
        <v>3634</v>
      </c>
      <c r="AP4" s="30"/>
      <c r="AQ4" s="44" t="s">
        <v>3634</v>
      </c>
      <c r="AR4" s="30"/>
      <c r="AS4" s="44" t="s">
        <v>3634</v>
      </c>
      <c r="AT4" s="30"/>
      <c r="AU4" s="44" t="s">
        <v>3634</v>
      </c>
      <c r="AV4" s="30"/>
      <c r="AW4" s="44" t="s">
        <v>3634</v>
      </c>
      <c r="AX4" s="30"/>
    </row>
    <row r="5" spans="1:56" s="44" customFormat="1">
      <c r="F5" s="393"/>
      <c r="J5" s="30"/>
      <c r="M5" s="30"/>
      <c r="O5" s="30"/>
      <c r="Q5" s="30"/>
      <c r="S5" s="30"/>
      <c r="U5" s="30"/>
      <c r="AP5" s="30"/>
      <c r="AR5" s="30"/>
      <c r="AT5" s="30"/>
      <c r="AV5" s="30"/>
      <c r="AX5" s="30"/>
    </row>
    <row r="6" spans="1:56" s="44" customFormat="1">
      <c r="A6" s="44">
        <f>Main!A7</f>
        <v>2022</v>
      </c>
      <c r="B6" s="44" t="str">
        <f>Main!B7</f>
        <v>47_1000</v>
      </c>
      <c r="C6" s="44">
        <v>1</v>
      </c>
      <c r="D6" s="44" t="str">
        <f>Main!$B$6</f>
        <v>McLane-PARFLUX-Mark78H-21 ; frame# 12419-01, controller# 12419-01 and Motor # 12419-01 Cup set AAx21</v>
      </c>
      <c r="E6" s="44">
        <v>1000</v>
      </c>
      <c r="F6" s="393">
        <v>1</v>
      </c>
      <c r="G6" s="398">
        <f>Main!E7</f>
        <v>296</v>
      </c>
      <c r="H6" s="208">
        <f>Main!I7</f>
        <v>34.823529411764703</v>
      </c>
      <c r="I6" s="208">
        <f>Main!J7</f>
        <v>12.71929411764706</v>
      </c>
      <c r="J6" s="452">
        <v>1</v>
      </c>
      <c r="K6" s="399">
        <f>Main!AF7</f>
        <v>78.722118949989266</v>
      </c>
      <c r="L6" s="399">
        <f>Main!AG7</f>
        <v>9.4463176358681409</v>
      </c>
      <c r="M6" s="452">
        <v>1</v>
      </c>
      <c r="N6" s="399">
        <f>Main!M7</f>
        <v>14.902379035949707</v>
      </c>
      <c r="O6" s="452">
        <v>1</v>
      </c>
      <c r="P6" s="399">
        <f>Main!O7</f>
        <v>0.90104067325592041</v>
      </c>
      <c r="Q6" s="452">
        <v>1</v>
      </c>
      <c r="R6" s="399">
        <f>Main!AH7</f>
        <v>5.4560614000815661</v>
      </c>
      <c r="S6" s="452">
        <v>1</v>
      </c>
      <c r="T6" s="399">
        <f>Main!AB7</f>
        <v>1.8543522121202669</v>
      </c>
      <c r="U6" s="452">
        <v>1</v>
      </c>
      <c r="V6" s="399">
        <f>Main!AC7</f>
        <v>3.9668218022893145</v>
      </c>
      <c r="W6" s="399">
        <f>(K6/100)*$I6</f>
        <v>10.012897844893105</v>
      </c>
      <c r="X6" s="399">
        <f>(L6/100)*$I6</f>
        <v>1.2015049233932333</v>
      </c>
      <c r="Y6" s="399">
        <f>(N6/100)*$I6</f>
        <v>1.8954774201090197</v>
      </c>
      <c r="Z6" s="399">
        <f>(P6/100)*$I6</f>
        <v>0.11460601335104775</v>
      </c>
      <c r="AA6" s="399">
        <f>(R6/100)*$I6</f>
        <v>0.69397249671578642</v>
      </c>
      <c r="AB6" s="399">
        <f>(V6/100)*$I6</f>
        <v>0.50455173215612581</v>
      </c>
      <c r="AC6" s="63">
        <f>Main!T7</f>
        <v>44696</v>
      </c>
      <c r="AD6" s="63">
        <f>Main!U7</f>
        <v>44713</v>
      </c>
      <c r="AE6" s="63">
        <f>Main!V7</f>
        <v>44704.5</v>
      </c>
      <c r="AF6" s="398">
        <f>Main!H7</f>
        <v>17</v>
      </c>
      <c r="AG6" s="208">
        <f>(T6/100)*$I6</f>
        <v>0.23586051183667123</v>
      </c>
      <c r="AH6" s="208">
        <f>Y6/12.01</f>
        <v>0.15782493090000163</v>
      </c>
      <c r="AI6" s="208">
        <f>Z6/14.01</f>
        <v>8.1803007388328158E-3</v>
      </c>
      <c r="AJ6" s="208">
        <f>AA6/12.01</f>
        <v>5.7782888985494288E-2</v>
      </c>
      <c r="AK6" s="208">
        <f>X6/12.01</f>
        <v>0.10004204191450736</v>
      </c>
      <c r="AL6" s="208">
        <f>AG6/28.09</f>
        <v>8.3966006349829557E-3</v>
      </c>
      <c r="AM6" s="399">
        <f>depths!$B$2</f>
        <v>1273.5</v>
      </c>
      <c r="AO6" s="399">
        <f>AH6*1000</f>
        <v>157.82493090000162</v>
      </c>
      <c r="AP6" s="452">
        <v>1</v>
      </c>
      <c r="AQ6" s="399">
        <f>AI6*1000</f>
        <v>8.1803007388328162</v>
      </c>
      <c r="AR6" s="452">
        <v>1</v>
      </c>
      <c r="AS6" s="399">
        <f>AJ6*1000</f>
        <v>57.782888985494289</v>
      </c>
      <c r="AT6" s="452">
        <v>1</v>
      </c>
      <c r="AU6" s="399">
        <f>AK6*1000</f>
        <v>100.04204191450735</v>
      </c>
      <c r="AV6" s="452">
        <v>1</v>
      </c>
      <c r="AW6" s="399">
        <f>AL6*1000</f>
        <v>8.3966006349829563</v>
      </c>
      <c r="AX6" s="452">
        <v>1</v>
      </c>
      <c r="AY6" s="399">
        <f>AS6/AQ6</f>
        <v>7.0636631623080008</v>
      </c>
      <c r="AZ6" s="399">
        <f>AU6/AQ6</f>
        <v>12.229628849657864</v>
      </c>
      <c r="BA6" s="399">
        <f>Main!R7</f>
        <v>39.662176507611733</v>
      </c>
      <c r="BB6" s="400">
        <v>2</v>
      </c>
      <c r="BC6" s="399">
        <f>Main!S7</f>
        <v>8.5500000000000007</v>
      </c>
      <c r="BD6" s="400">
        <v>1</v>
      </c>
    </row>
    <row r="7" spans="1:56">
      <c r="A7" s="44">
        <f>Main!A8</f>
        <v>2022</v>
      </c>
      <c r="B7" s="44" t="str">
        <f>Main!B8</f>
        <v>47_1000</v>
      </c>
      <c r="C7" s="44">
        <v>2</v>
      </c>
      <c r="D7" s="44" t="str">
        <f>Main!$B$6</f>
        <v>McLane-PARFLUX-Mark78H-21 ; frame# 12419-01, controller# 12419-01 and Motor # 12419-01 Cup set AAx21</v>
      </c>
      <c r="E7" s="44">
        <v>1000</v>
      </c>
      <c r="F7" s="393">
        <v>1</v>
      </c>
      <c r="G7" s="398">
        <f>Main!E8</f>
        <v>196.99999999999994</v>
      </c>
      <c r="H7" s="208">
        <f>Main!I8</f>
        <v>23.176470588235286</v>
      </c>
      <c r="I7" s="208">
        <f>Main!J8</f>
        <v>8.4652058823529401</v>
      </c>
      <c r="J7" s="452">
        <v>1</v>
      </c>
      <c r="K7" s="399">
        <f>Main!AF8</f>
        <v>76.579818615124523</v>
      </c>
      <c r="L7" s="399">
        <f>Main!AG8</f>
        <v>9.1892507567688231</v>
      </c>
      <c r="M7" s="452">
        <v>1</v>
      </c>
      <c r="N7" s="399">
        <f>Main!M8</f>
        <v>14.881267070770264</v>
      </c>
      <c r="O7" s="452">
        <v>1</v>
      </c>
      <c r="P7" s="399">
        <f>Main!O8</f>
        <v>0.86952000856399536</v>
      </c>
      <c r="Q7" s="452">
        <v>1</v>
      </c>
      <c r="R7" s="399">
        <f>Main!AH8</f>
        <v>5.6920163140014406</v>
      </c>
      <c r="S7" s="452">
        <v>1</v>
      </c>
      <c r="T7" s="399">
        <f>Main!AB8</f>
        <v>1.7915246792626323</v>
      </c>
      <c r="U7" s="452">
        <v>1</v>
      </c>
      <c r="V7" s="399">
        <f>Main!AC8</f>
        <v>3.8324214302916193</v>
      </c>
      <c r="W7" s="399">
        <f t="shared" ref="W7:W47" si="0">(K7/100)*$I7</f>
        <v>6.4826393101027335</v>
      </c>
      <c r="X7" s="399">
        <f t="shared" ref="X7:X47" si="1">(L7/100)*$I7</f>
        <v>0.77788899560615643</v>
      </c>
      <c r="Y7" s="399">
        <f t="shared" ref="Y7:Y47" si="2">(N7/100)*$I7</f>
        <v>1.2597298954434955</v>
      </c>
      <c r="Z7" s="399">
        <f t="shared" ref="Z7:Z47" si="3">(P7/100)*$I7</f>
        <v>7.3606658913195122E-2</v>
      </c>
      <c r="AA7" s="399">
        <f t="shared" ref="AA7:AA47" si="4">(R7/100)*$I7</f>
        <v>0.48184089983733897</v>
      </c>
      <c r="AB7" s="399">
        <f t="shared" ref="AB7:AB47" si="5">(V7/100)*$I7</f>
        <v>0.32442236435360083</v>
      </c>
      <c r="AC7" s="63">
        <f>Main!T8</f>
        <v>44713</v>
      </c>
      <c r="AD7" s="63">
        <f>Main!U8</f>
        <v>44730</v>
      </c>
      <c r="AE7" s="63">
        <f>Main!V8</f>
        <v>44721.5</v>
      </c>
      <c r="AF7" s="398">
        <f>Main!H8</f>
        <v>17</v>
      </c>
      <c r="AG7" s="208">
        <f t="shared" ref="AG7:AG47" si="6">(T7/100)*$I7</f>
        <v>0.15165625253274498</v>
      </c>
      <c r="AH7" s="208">
        <f t="shared" ref="AH7:AH47" si="7">Y7/12.01</f>
        <v>0.10489008288455416</v>
      </c>
      <c r="AI7" s="208">
        <f t="shared" ref="AI7:AI47" si="8">Z7/14.01</f>
        <v>5.2538657325621073E-3</v>
      </c>
      <c r="AJ7" s="208">
        <f t="shared" ref="AJ7:AJ47" si="9">AA7/12.01</f>
        <v>4.0119975007272185E-2</v>
      </c>
      <c r="AK7" s="208">
        <f t="shared" ref="AK7:AK47" si="10">X7/12.01</f>
        <v>6.4770107877281963E-2</v>
      </c>
      <c r="AL7" s="208">
        <f t="shared" ref="AL7:AL47" si="11">AG7/28.09</f>
        <v>5.3989409944017437E-3</v>
      </c>
      <c r="AM7" s="399">
        <f>depths!$B$2</f>
        <v>1273.5</v>
      </c>
      <c r="AN7" s="44"/>
      <c r="AO7" s="399">
        <f t="shared" ref="AO7:AO47" si="12">AH7*1000</f>
        <v>104.89008288455416</v>
      </c>
      <c r="AP7" s="452">
        <v>1</v>
      </c>
      <c r="AQ7" s="399">
        <f t="shared" ref="AQ7:AQ47" si="13">AI7*1000</f>
        <v>5.2538657325621072</v>
      </c>
      <c r="AR7" s="452">
        <v>1</v>
      </c>
      <c r="AS7" s="399">
        <f t="shared" ref="AS7:AS47" si="14">AJ7*1000</f>
        <v>40.119975007272188</v>
      </c>
      <c r="AT7" s="452">
        <v>1</v>
      </c>
      <c r="AU7" s="399">
        <f t="shared" ref="AU7:AU47" si="15">AK7*1000</f>
        <v>64.770107877281959</v>
      </c>
      <c r="AV7" s="452">
        <v>1</v>
      </c>
      <c r="AW7" s="399">
        <f t="shared" ref="AW7:AW47" si="16">AL7*1000</f>
        <v>5.3989409944017437</v>
      </c>
      <c r="AX7" s="452">
        <v>1</v>
      </c>
      <c r="AY7" s="399">
        <f t="shared" ref="AY7:AY47" si="17">AS7/AQ7</f>
        <v>7.6362771813179222</v>
      </c>
      <c r="AZ7" s="399">
        <f t="shared" ref="AZ7:AZ47" si="18">AU7/AQ7</f>
        <v>12.328085865585317</v>
      </c>
      <c r="BA7" s="399">
        <f>Main!R8</f>
        <v>39.880126340086932</v>
      </c>
      <c r="BB7" s="400">
        <v>2</v>
      </c>
      <c r="BC7" s="399">
        <f>Main!S8</f>
        <v>8.6199999999999992</v>
      </c>
      <c r="BD7" s="400">
        <v>1</v>
      </c>
    </row>
    <row r="8" spans="1:56">
      <c r="A8" s="44">
        <f>Main!A9</f>
        <v>2022</v>
      </c>
      <c r="B8" s="44" t="str">
        <f>Main!B9</f>
        <v>47_1000</v>
      </c>
      <c r="C8" s="44">
        <v>3</v>
      </c>
      <c r="D8" s="44" t="str">
        <f>Main!$B$6</f>
        <v>McLane-PARFLUX-Mark78H-21 ; frame# 12419-01, controller# 12419-01 and Motor # 12419-01 Cup set AAx21</v>
      </c>
      <c r="E8" s="44">
        <v>1000</v>
      </c>
      <c r="F8" s="393">
        <v>1</v>
      </c>
      <c r="G8" s="398">
        <f>Main!E9</f>
        <v>244.14285714285714</v>
      </c>
      <c r="H8" s="208">
        <f>Main!I9</f>
        <v>28.722689075630253</v>
      </c>
      <c r="I8" s="208">
        <f>Main!J9</f>
        <v>10.49096218487395</v>
      </c>
      <c r="J8" s="452">
        <v>1</v>
      </c>
      <c r="K8" s="399">
        <f>Main!AF9</f>
        <v>70.410326660009275</v>
      </c>
      <c r="L8" s="399">
        <f>Main!AG9</f>
        <v>8.4489381046541698</v>
      </c>
      <c r="M8" s="452">
        <v>1</v>
      </c>
      <c r="N8" s="399">
        <f>Main!M9</f>
        <v>15.738003730773926</v>
      </c>
      <c r="O8" s="452">
        <v>1</v>
      </c>
      <c r="P8" s="399">
        <f>Main!O9</f>
        <v>1.1210634708404541</v>
      </c>
      <c r="Q8" s="452">
        <v>1</v>
      </c>
      <c r="R8" s="399">
        <f>Main!AH9</f>
        <v>7.2890656261197559</v>
      </c>
      <c r="S8" s="452">
        <v>1</v>
      </c>
      <c r="T8" s="399">
        <f>Main!AB9</f>
        <v>3.1310526065667879</v>
      </c>
      <c r="U8" s="452">
        <v>1</v>
      </c>
      <c r="V8" s="399">
        <f>Main!AC9</f>
        <v>6.6979334684442264</v>
      </c>
      <c r="W8" s="399">
        <f t="shared" si="0"/>
        <v>7.3867207441477944</v>
      </c>
      <c r="X8" s="399">
        <f t="shared" si="1"/>
        <v>0.88637490158267485</v>
      </c>
      <c r="Y8" s="399">
        <f t="shared" si="2"/>
        <v>1.651068020049544</v>
      </c>
      <c r="Z8" s="399">
        <f t="shared" si="3"/>
        <v>0.11761034479430744</v>
      </c>
      <c r="AA8" s="399">
        <f t="shared" si="4"/>
        <v>0.76469311846686927</v>
      </c>
      <c r="AB8" s="399">
        <f t="shared" si="5"/>
        <v>0.70267766734250003</v>
      </c>
      <c r="AC8" s="63">
        <f>Main!T9</f>
        <v>44730</v>
      </c>
      <c r="AD8" s="63">
        <f>Main!U9</f>
        <v>44747</v>
      </c>
      <c r="AE8" s="63">
        <f>Main!V9</f>
        <v>44738.5</v>
      </c>
      <c r="AF8" s="398">
        <f>Main!H9</f>
        <v>17</v>
      </c>
      <c r="AG8" s="208">
        <f t="shared" si="6"/>
        <v>0.32847754494343184</v>
      </c>
      <c r="AH8" s="208">
        <f t="shared" si="7"/>
        <v>0.13747443963776387</v>
      </c>
      <c r="AI8" s="208">
        <f t="shared" si="8"/>
        <v>8.394742669115449E-3</v>
      </c>
      <c r="AJ8" s="208">
        <f t="shared" si="9"/>
        <v>6.3671367066350487E-2</v>
      </c>
      <c r="AK8" s="208">
        <f t="shared" si="10"/>
        <v>7.38030725714134E-2</v>
      </c>
      <c r="AL8" s="208">
        <f t="shared" si="11"/>
        <v>1.1693753824970874E-2</v>
      </c>
      <c r="AM8" s="399">
        <f>depths!$B$2</f>
        <v>1273.5</v>
      </c>
      <c r="AN8" s="44"/>
      <c r="AO8" s="399">
        <f t="shared" si="12"/>
        <v>137.47443963776388</v>
      </c>
      <c r="AP8" s="452">
        <v>1</v>
      </c>
      <c r="AQ8" s="399">
        <f t="shared" si="13"/>
        <v>8.3947426691154483</v>
      </c>
      <c r="AR8" s="452">
        <v>1</v>
      </c>
      <c r="AS8" s="399">
        <f t="shared" si="14"/>
        <v>63.671367066350484</v>
      </c>
      <c r="AT8" s="452">
        <v>1</v>
      </c>
      <c r="AU8" s="399">
        <f t="shared" si="15"/>
        <v>73.803072571413395</v>
      </c>
      <c r="AV8" s="452">
        <v>1</v>
      </c>
      <c r="AW8" s="399">
        <f t="shared" si="16"/>
        <v>11.693753824970875</v>
      </c>
      <c r="AX8" s="452">
        <v>1</v>
      </c>
      <c r="AY8" s="399">
        <f t="shared" si="17"/>
        <v>7.5846716898898725</v>
      </c>
      <c r="AZ8" s="399">
        <f t="shared" si="18"/>
        <v>8.7915824797033366</v>
      </c>
      <c r="BA8" s="399">
        <f>Main!R9</f>
        <v>39.625873005066651</v>
      </c>
      <c r="BB8" s="400">
        <v>2</v>
      </c>
      <c r="BC8" s="399">
        <f>Main!S9</f>
        <v>8.5150000000000006</v>
      </c>
      <c r="BD8" s="400">
        <v>1</v>
      </c>
    </row>
    <row r="9" spans="1:56">
      <c r="A9" s="44">
        <f>Main!A10</f>
        <v>2022</v>
      </c>
      <c r="B9" s="44" t="str">
        <f>Main!B10</f>
        <v>47_1000</v>
      </c>
      <c r="C9" s="44">
        <v>4</v>
      </c>
      <c r="D9" s="44" t="str">
        <f>Main!$B$6</f>
        <v>McLane-PARFLUX-Mark78H-21 ; frame# 12419-01, controller# 12419-01 and Motor # 12419-01 Cup set AAx21</v>
      </c>
      <c r="E9" s="44">
        <v>1000</v>
      </c>
      <c r="F9" s="393">
        <v>2</v>
      </c>
      <c r="G9" s="398">
        <f>Main!E10</f>
        <v>491.42857142857144</v>
      </c>
      <c r="H9" s="208">
        <f>Main!I10</f>
        <v>57.815126050420169</v>
      </c>
      <c r="I9" s="208">
        <f>Main!J10</f>
        <v>21.116974789915968</v>
      </c>
      <c r="J9" s="452">
        <v>2</v>
      </c>
      <c r="K9" s="399">
        <f>Main!AF10</f>
        <v>31.111994045249531</v>
      </c>
      <c r="L9" s="399">
        <f>Main!AG10</f>
        <v>3.7333062417104226</v>
      </c>
      <c r="M9" s="452">
        <v>2</v>
      </c>
      <c r="N9" s="399">
        <f>Main!M10</f>
        <v>32.558025360107422</v>
      </c>
      <c r="O9" s="520">
        <v>3</v>
      </c>
      <c r="P9" s="399">
        <f>Main!O10</f>
        <v>5.1731257438659668</v>
      </c>
      <c r="Q9" s="520">
        <v>3</v>
      </c>
      <c r="R9" s="399">
        <f>Main!AH10</f>
        <v>28.824719118396999</v>
      </c>
      <c r="S9" s="520">
        <v>3</v>
      </c>
      <c r="T9" s="399">
        <f>Main!AB10</f>
        <v>1.934019153225806</v>
      </c>
      <c r="U9" s="452">
        <v>2</v>
      </c>
      <c r="V9" s="399">
        <f>Main!AC10</f>
        <v>4.1372449596774192</v>
      </c>
      <c r="W9" s="399">
        <f t="shared" si="0"/>
        <v>6.5699119391755003</v>
      </c>
      <c r="X9" s="399">
        <f t="shared" si="1"/>
        <v>0.78836133789234919</v>
      </c>
      <c r="Y9" s="399">
        <f t="shared" si="2"/>
        <v>6.8752700073883322</v>
      </c>
      <c r="Z9" s="399">
        <f t="shared" si="3"/>
        <v>1.0924076591828291</v>
      </c>
      <c r="AA9" s="399">
        <f t="shared" si="4"/>
        <v>6.0869086694959824</v>
      </c>
      <c r="AB9" s="399">
        <f t="shared" si="5"/>
        <v>0.87366097513214969</v>
      </c>
      <c r="AC9" s="63">
        <f>Main!T10</f>
        <v>44747</v>
      </c>
      <c r="AD9" s="63">
        <f>Main!U10</f>
        <v>44764</v>
      </c>
      <c r="AE9" s="63">
        <f>Main!V10</f>
        <v>44755.5</v>
      </c>
      <c r="AF9" s="398">
        <f>Main!H10</f>
        <v>17</v>
      </c>
      <c r="AG9" s="208">
        <f t="shared" si="6"/>
        <v>0.40840633701883972</v>
      </c>
      <c r="AH9" s="208">
        <f t="shared" si="7"/>
        <v>0.57246211551942816</v>
      </c>
      <c r="AI9" s="208">
        <f t="shared" si="8"/>
        <v>7.7973423210765822E-2</v>
      </c>
      <c r="AJ9" s="208">
        <f t="shared" si="9"/>
        <v>0.5068200390920885</v>
      </c>
      <c r="AK9" s="208">
        <f t="shared" si="10"/>
        <v>6.5642076427339657E-2</v>
      </c>
      <c r="AL9" s="208">
        <f t="shared" si="11"/>
        <v>1.453920744104093E-2</v>
      </c>
      <c r="AM9" s="399">
        <f>depths!$B$2</f>
        <v>1273.5</v>
      </c>
      <c r="AN9" s="44"/>
      <c r="AO9" s="399">
        <f t="shared" si="12"/>
        <v>572.46211551942815</v>
      </c>
      <c r="AP9" s="520">
        <v>3</v>
      </c>
      <c r="AQ9" s="399">
        <f t="shared" si="13"/>
        <v>77.973423210765816</v>
      </c>
      <c r="AR9" s="520">
        <v>3</v>
      </c>
      <c r="AS9" s="399">
        <f t="shared" si="14"/>
        <v>506.82003909208851</v>
      </c>
      <c r="AT9" s="520">
        <v>3</v>
      </c>
      <c r="AU9" s="399">
        <f t="shared" si="15"/>
        <v>65.64207642733966</v>
      </c>
      <c r="AV9" s="452">
        <v>2</v>
      </c>
      <c r="AW9" s="399">
        <f t="shared" si="16"/>
        <v>14.539207441040929</v>
      </c>
      <c r="AX9" s="452">
        <v>2</v>
      </c>
      <c r="AY9" s="399">
        <f t="shared" si="17"/>
        <v>6.4999075097951025</v>
      </c>
      <c r="AZ9" s="399">
        <f t="shared" si="18"/>
        <v>0.84185192498097783</v>
      </c>
      <c r="BA9" s="399">
        <f>Main!R10</f>
        <v>36.837788925598666</v>
      </c>
      <c r="BB9" s="400">
        <v>2</v>
      </c>
      <c r="BC9" s="399">
        <f>Main!S10</f>
        <v>8.61</v>
      </c>
      <c r="BD9" s="400">
        <v>1</v>
      </c>
    </row>
    <row r="10" spans="1:56">
      <c r="A10" s="44">
        <f>Main!A11</f>
        <v>2022</v>
      </c>
      <c r="B10" s="44" t="str">
        <f>Main!B11</f>
        <v>47_1000</v>
      </c>
      <c r="C10" s="44">
        <v>5</v>
      </c>
      <c r="D10" s="44" t="str">
        <f>Main!$B$6</f>
        <v>McLane-PARFLUX-Mark78H-21 ; frame# 12419-01, controller# 12419-01 and Motor # 12419-01 Cup set AAx21</v>
      </c>
      <c r="E10" s="44">
        <v>1000</v>
      </c>
      <c r="F10" s="393">
        <v>1</v>
      </c>
      <c r="G10" s="398">
        <f>Main!E11</f>
        <v>200.99999999999997</v>
      </c>
      <c r="H10" s="208">
        <f>Main!I11</f>
        <v>23.647058823529409</v>
      </c>
      <c r="I10" s="208">
        <f>Main!J11</f>
        <v>8.637088235294117</v>
      </c>
      <c r="J10" s="452">
        <v>1</v>
      </c>
      <c r="K10" s="399">
        <f>Main!AF11</f>
        <v>51.801318458338926</v>
      </c>
      <c r="L10" s="399">
        <f>Main!AG11</f>
        <v>6.2159366978560682</v>
      </c>
      <c r="M10" s="452">
        <v>1</v>
      </c>
      <c r="N10" s="399">
        <f>Main!M11</f>
        <v>21.180381774902344</v>
      </c>
      <c r="O10" s="452">
        <v>1</v>
      </c>
      <c r="P10" s="399">
        <f>Main!O11</f>
        <v>2.7678661346435547</v>
      </c>
      <c r="Q10" s="452">
        <v>1</v>
      </c>
      <c r="R10" s="399">
        <f>Main!AH11</f>
        <v>14.964445077046275</v>
      </c>
      <c r="S10" s="452">
        <v>1</v>
      </c>
      <c r="T10" s="399">
        <f>Main!AB11</f>
        <v>1.8483369850271214</v>
      </c>
      <c r="U10" s="452">
        <v>1</v>
      </c>
      <c r="V10" s="399">
        <f>Main!AC11</f>
        <v>3.9539540559017357</v>
      </c>
      <c r="W10" s="399">
        <f t="shared" si="0"/>
        <v>4.474125582292432</v>
      </c>
      <c r="X10" s="399">
        <f t="shared" si="1"/>
        <v>0.53687593724385607</v>
      </c>
      <c r="Y10" s="399">
        <f t="shared" si="2"/>
        <v>1.8293682624704695</v>
      </c>
      <c r="Z10" s="399">
        <f t="shared" si="3"/>
        <v>0.23906304028398848</v>
      </c>
      <c r="AA10" s="399">
        <f t="shared" si="4"/>
        <v>1.2924923252266134</v>
      </c>
      <c r="AB10" s="399">
        <f t="shared" si="5"/>
        <v>0.34150650059122339</v>
      </c>
      <c r="AC10" s="63">
        <f>Main!T11</f>
        <v>44764</v>
      </c>
      <c r="AD10" s="63">
        <f>Main!U11</f>
        <v>44781</v>
      </c>
      <c r="AE10" s="63">
        <f>Main!V11</f>
        <v>44772.5</v>
      </c>
      <c r="AF10" s="398">
        <f>Main!H11</f>
        <v>17</v>
      </c>
      <c r="AG10" s="208">
        <f t="shared" si="6"/>
        <v>0.15964249628236749</v>
      </c>
      <c r="AH10" s="208">
        <f t="shared" si="7"/>
        <v>0.1523204215212714</v>
      </c>
      <c r="AI10" s="208">
        <f t="shared" si="8"/>
        <v>1.7063743060955636E-2</v>
      </c>
      <c r="AJ10" s="208">
        <f t="shared" si="9"/>
        <v>0.107618012092141</v>
      </c>
      <c r="AK10" s="208">
        <f t="shared" si="10"/>
        <v>4.4702409429130396E-2</v>
      </c>
      <c r="AL10" s="208">
        <f t="shared" si="11"/>
        <v>5.6832501346517437E-3</v>
      </c>
      <c r="AM10" s="399">
        <f>depths!$B$2</f>
        <v>1273.5</v>
      </c>
      <c r="AN10" s="44"/>
      <c r="AO10" s="399">
        <f t="shared" si="12"/>
        <v>152.32042152127138</v>
      </c>
      <c r="AP10" s="452">
        <v>1</v>
      </c>
      <c r="AQ10" s="399">
        <f t="shared" si="13"/>
        <v>17.063743060955634</v>
      </c>
      <c r="AR10" s="452">
        <v>1</v>
      </c>
      <c r="AS10" s="399">
        <f t="shared" si="14"/>
        <v>107.618012092141</v>
      </c>
      <c r="AT10" s="452">
        <v>1</v>
      </c>
      <c r="AU10" s="399">
        <f t="shared" si="15"/>
        <v>44.702409429130398</v>
      </c>
      <c r="AV10" s="452">
        <v>1</v>
      </c>
      <c r="AW10" s="399">
        <f t="shared" si="16"/>
        <v>5.6832501346517441</v>
      </c>
      <c r="AX10" s="452">
        <v>1</v>
      </c>
      <c r="AY10" s="399">
        <f t="shared" si="17"/>
        <v>6.3068232865265603</v>
      </c>
      <c r="AZ10" s="399">
        <f t="shared" si="18"/>
        <v>2.6197305754923206</v>
      </c>
      <c r="BA10" s="399">
        <f>Main!R11</f>
        <v>37.777374168095484</v>
      </c>
      <c r="BB10" s="400">
        <v>2</v>
      </c>
      <c r="BC10" s="399">
        <f>Main!S11</f>
        <v>8.1999999999999993</v>
      </c>
      <c r="BD10" s="400">
        <v>1</v>
      </c>
    </row>
    <row r="11" spans="1:56">
      <c r="A11" s="44">
        <f>Main!A12</f>
        <v>2022</v>
      </c>
      <c r="B11" s="44" t="str">
        <f>Main!B12</f>
        <v>47_1000</v>
      </c>
      <c r="C11" s="44">
        <v>6</v>
      </c>
      <c r="D11" s="44" t="str">
        <f>Main!$B$6</f>
        <v>McLane-PARFLUX-Mark78H-21 ; frame# 12419-01, controller# 12419-01 and Motor # 12419-01 Cup set AAx21</v>
      </c>
      <c r="E11" s="44">
        <v>1000</v>
      </c>
      <c r="F11" s="393">
        <v>1</v>
      </c>
      <c r="G11" s="398">
        <f>Main!E12</f>
        <v>213.28571428571428</v>
      </c>
      <c r="H11" s="208">
        <f>Main!I12</f>
        <v>25.092436974789916</v>
      </c>
      <c r="I11" s="208">
        <f>Main!J12</f>
        <v>9.1650126050420173</v>
      </c>
      <c r="J11" s="452">
        <v>1</v>
      </c>
      <c r="K11" s="399">
        <f>Main!AF12</f>
        <v>62.736503755437198</v>
      </c>
      <c r="L11" s="399">
        <f>Main!AG12</f>
        <v>7.52811217155093</v>
      </c>
      <c r="M11" s="452">
        <v>1</v>
      </c>
      <c r="N11" s="399">
        <f>Main!M12</f>
        <v>15.060200214385986</v>
      </c>
      <c r="O11" s="452">
        <v>1</v>
      </c>
      <c r="P11" s="399">
        <f>Main!O12</f>
        <v>1.454541027545929</v>
      </c>
      <c r="Q11" s="452">
        <v>1</v>
      </c>
      <c r="R11" s="399">
        <f>Main!AH12</f>
        <v>7.5320880428350563</v>
      </c>
      <c r="S11" s="452">
        <v>1</v>
      </c>
      <c r="T11" s="399">
        <f>Main!AB12</f>
        <v>3.0757947641172265</v>
      </c>
      <c r="U11" s="452">
        <v>1</v>
      </c>
      <c r="V11" s="399">
        <f>Main!AC12</f>
        <v>6.5797261436740531</v>
      </c>
      <c r="W11" s="399">
        <f t="shared" si="0"/>
        <v>5.7498084771484779</v>
      </c>
      <c r="X11" s="399">
        <f t="shared" si="1"/>
        <v>0.68995242944434509</v>
      </c>
      <c r="Y11" s="399">
        <f t="shared" si="2"/>
        <v>1.3802692479930405</v>
      </c>
      <c r="Z11" s="399">
        <f t="shared" si="3"/>
        <v>0.13330886852009208</v>
      </c>
      <c r="AA11" s="399">
        <f t="shared" si="4"/>
        <v>0.69031681854869542</v>
      </c>
      <c r="AB11" s="399">
        <f t="shared" si="5"/>
        <v>0.60303273044497196</v>
      </c>
      <c r="AC11" s="63">
        <f>Main!T12</f>
        <v>44781</v>
      </c>
      <c r="AD11" s="63">
        <f>Main!U12</f>
        <v>44798</v>
      </c>
      <c r="AE11" s="63">
        <f>Main!V12</f>
        <v>44789.5</v>
      </c>
      <c r="AF11" s="398">
        <f>Main!H12</f>
        <v>17</v>
      </c>
      <c r="AG11" s="208">
        <f t="shared" si="6"/>
        <v>0.2818969778365662</v>
      </c>
      <c r="AH11" s="208">
        <f t="shared" si="7"/>
        <v>0.11492666511182685</v>
      </c>
      <c r="AI11" s="208">
        <f t="shared" si="8"/>
        <v>9.5152654189930106E-3</v>
      </c>
      <c r="AJ11" s="208">
        <f t="shared" si="9"/>
        <v>5.7478502793396787E-2</v>
      </c>
      <c r="AK11" s="208">
        <f t="shared" si="10"/>
        <v>5.7448162318430064E-2</v>
      </c>
      <c r="AL11" s="208">
        <f t="shared" si="11"/>
        <v>1.003549226901268E-2</v>
      </c>
      <c r="AM11" s="399">
        <f>depths!$B$2</f>
        <v>1273.5</v>
      </c>
      <c r="AN11" s="44"/>
      <c r="AO11" s="399">
        <f t="shared" si="12"/>
        <v>114.92666511182685</v>
      </c>
      <c r="AP11" s="452">
        <v>1</v>
      </c>
      <c r="AQ11" s="399">
        <f t="shared" si="13"/>
        <v>9.5152654189930104</v>
      </c>
      <c r="AR11" s="452">
        <v>1</v>
      </c>
      <c r="AS11" s="399">
        <f t="shared" si="14"/>
        <v>57.478502793396785</v>
      </c>
      <c r="AT11" s="452">
        <v>1</v>
      </c>
      <c r="AU11" s="399">
        <f t="shared" si="15"/>
        <v>57.448162318430064</v>
      </c>
      <c r="AV11" s="452">
        <v>1</v>
      </c>
      <c r="AW11" s="399">
        <f t="shared" si="16"/>
        <v>10.03549226901268</v>
      </c>
      <c r="AX11" s="452">
        <v>1</v>
      </c>
      <c r="AY11" s="399">
        <f t="shared" si="17"/>
        <v>6.0406620585345339</v>
      </c>
      <c r="AZ11" s="399">
        <f t="shared" si="18"/>
        <v>6.037473448061708</v>
      </c>
      <c r="BA11" s="399">
        <f>Main!R12</f>
        <v>36.404782807461594</v>
      </c>
      <c r="BB11" s="400">
        <v>2</v>
      </c>
      <c r="BC11" s="399">
        <f>Main!S12</f>
        <v>8.58</v>
      </c>
      <c r="BD11" s="400">
        <v>1</v>
      </c>
    </row>
    <row r="12" spans="1:56">
      <c r="A12" s="44">
        <f>Main!A13</f>
        <v>2022</v>
      </c>
      <c r="B12" s="44" t="str">
        <f>Main!B13</f>
        <v>47_1000</v>
      </c>
      <c r="C12" s="44">
        <v>7</v>
      </c>
      <c r="D12" s="44" t="str">
        <f>Main!$B$6</f>
        <v>McLane-PARFLUX-Mark78H-21 ; frame# 12419-01, controller# 12419-01 and Motor # 12419-01 Cup set AAx21</v>
      </c>
      <c r="E12" s="44">
        <v>1000</v>
      </c>
      <c r="F12" s="393">
        <v>1</v>
      </c>
      <c r="G12" s="398">
        <f>Main!E13</f>
        <v>141.71428571428569</v>
      </c>
      <c r="H12" s="208">
        <f>Main!I13</f>
        <v>16.672268907563023</v>
      </c>
      <c r="I12" s="208">
        <f>Main!J13</f>
        <v>6.0895462184873939</v>
      </c>
      <c r="J12" s="452">
        <v>1</v>
      </c>
      <c r="K12" s="399">
        <f>Main!AF13</f>
        <v>67.018420910104922</v>
      </c>
      <c r="L12" s="399">
        <f>Main!AG13</f>
        <v>8.0419239194176271</v>
      </c>
      <c r="M12" s="452">
        <v>1</v>
      </c>
      <c r="N12" s="399">
        <f>Main!M13</f>
        <v>14.974660873413086</v>
      </c>
      <c r="O12" s="452">
        <v>1</v>
      </c>
      <c r="P12" s="399">
        <f>Main!O13</f>
        <v>1.1620010137557983</v>
      </c>
      <c r="Q12" s="452">
        <v>1</v>
      </c>
      <c r="R12" s="399">
        <f>Main!AH13</f>
        <v>6.9327369539954589</v>
      </c>
      <c r="S12" s="452">
        <v>1</v>
      </c>
      <c r="T12" s="399">
        <f>Main!AB13</f>
        <v>5.3487334403046445</v>
      </c>
      <c r="U12" s="452">
        <v>1</v>
      </c>
      <c r="V12" s="399">
        <f>Main!AC13</f>
        <v>11.44198620248865</v>
      </c>
      <c r="W12" s="399">
        <f t="shared" si="0"/>
        <v>4.0811177162212591</v>
      </c>
      <c r="X12" s="399">
        <f t="shared" si="1"/>
        <v>0.48971667392852936</v>
      </c>
      <c r="Y12" s="399">
        <f t="shared" si="2"/>
        <v>0.91188889494823799</v>
      </c>
      <c r="Z12" s="399">
        <f t="shared" si="3"/>
        <v>7.0760588791951406E-2</v>
      </c>
      <c r="AA12" s="399">
        <f t="shared" si="4"/>
        <v>0.42217222101970864</v>
      </c>
      <c r="AB12" s="399">
        <f t="shared" si="5"/>
        <v>0.69676503811349688</v>
      </c>
      <c r="AC12" s="63">
        <f>Main!T13</f>
        <v>44798</v>
      </c>
      <c r="AD12" s="63">
        <f>Main!U13</f>
        <v>44815</v>
      </c>
      <c r="AE12" s="63">
        <f>Main!V13</f>
        <v>44806.5</v>
      </c>
      <c r="AF12" s="398">
        <f>Main!H13</f>
        <v>17</v>
      </c>
      <c r="AG12" s="208">
        <f t="shared" si="6"/>
        <v>0.32571359495104218</v>
      </c>
      <c r="AH12" s="208">
        <f t="shared" si="7"/>
        <v>7.592746835539034E-2</v>
      </c>
      <c r="AI12" s="208">
        <f t="shared" si="8"/>
        <v>5.0507201136296507E-3</v>
      </c>
      <c r="AJ12" s="208">
        <f t="shared" si="9"/>
        <v>3.5151725313880819E-2</v>
      </c>
      <c r="AK12" s="208">
        <f t="shared" si="10"/>
        <v>4.0775743041509521E-2</v>
      </c>
      <c r="AL12" s="208">
        <f t="shared" si="11"/>
        <v>1.1595357598826706E-2</v>
      </c>
      <c r="AM12" s="399">
        <f>depths!$B$2</f>
        <v>1273.5</v>
      </c>
      <c r="AN12" s="44"/>
      <c r="AO12" s="399">
        <f t="shared" si="12"/>
        <v>75.927468355390346</v>
      </c>
      <c r="AP12" s="452">
        <v>1</v>
      </c>
      <c r="AQ12" s="399">
        <f t="shared" si="13"/>
        <v>5.0507201136296507</v>
      </c>
      <c r="AR12" s="452">
        <v>1</v>
      </c>
      <c r="AS12" s="399">
        <f t="shared" si="14"/>
        <v>35.151725313880817</v>
      </c>
      <c r="AT12" s="452">
        <v>1</v>
      </c>
      <c r="AU12" s="399">
        <f t="shared" si="15"/>
        <v>40.775743041509521</v>
      </c>
      <c r="AV12" s="452">
        <v>1</v>
      </c>
      <c r="AW12" s="399">
        <f t="shared" si="16"/>
        <v>11.595357598826705</v>
      </c>
      <c r="AX12" s="452">
        <v>1</v>
      </c>
      <c r="AY12" s="399">
        <f t="shared" si="17"/>
        <v>6.9597452488055955</v>
      </c>
      <c r="AZ12" s="399">
        <f t="shared" si="18"/>
        <v>8.0732533429191413</v>
      </c>
      <c r="BA12" s="399">
        <f>Main!R13</f>
        <v>39.226567166210792</v>
      </c>
      <c r="BB12" s="400">
        <v>2</v>
      </c>
      <c r="BC12" s="399">
        <f>Main!S13</f>
        <v>8.58</v>
      </c>
      <c r="BD12" s="400">
        <v>1</v>
      </c>
    </row>
    <row r="13" spans="1:56">
      <c r="A13" s="44">
        <f>Main!A14</f>
        <v>2022</v>
      </c>
      <c r="B13" s="44" t="str">
        <f>Main!B14</f>
        <v>47_1000</v>
      </c>
      <c r="C13" s="44">
        <v>8</v>
      </c>
      <c r="D13" s="44" t="str">
        <f>Main!$B$6</f>
        <v>McLane-PARFLUX-Mark78H-21 ; frame# 12419-01, controller# 12419-01 and Motor # 12419-01 Cup set AAx21</v>
      </c>
      <c r="E13" s="44">
        <v>1000</v>
      </c>
      <c r="F13" s="393">
        <v>1</v>
      </c>
      <c r="G13" s="398">
        <f>Main!E14</f>
        <v>707.57142857142856</v>
      </c>
      <c r="H13" s="208">
        <f>Main!I14</f>
        <v>83.243697478991592</v>
      </c>
      <c r="I13" s="208">
        <f>Main!J14</f>
        <v>30.404760504201683</v>
      </c>
      <c r="J13" s="520">
        <v>3</v>
      </c>
      <c r="K13" s="399">
        <f>Main!AF14</f>
        <v>64.136997877553966</v>
      </c>
      <c r="L13" s="399">
        <f>Main!AG14</f>
        <v>7.6961654772944623</v>
      </c>
      <c r="M13" s="452">
        <v>1</v>
      </c>
      <c r="N13" s="399">
        <f>Main!M14</f>
        <v>15.46688175201416</v>
      </c>
      <c r="O13" s="452">
        <v>1</v>
      </c>
      <c r="P13" s="399">
        <f>Main!O14</f>
        <v>1.3534483909606934</v>
      </c>
      <c r="Q13" s="452">
        <v>1</v>
      </c>
      <c r="R13" s="399">
        <f>Main!AH14</f>
        <v>7.7707162747196978</v>
      </c>
      <c r="S13" s="452">
        <v>1</v>
      </c>
      <c r="T13" s="399">
        <f>Main!AB14</f>
        <v>5.3750628333004151</v>
      </c>
      <c r="U13" s="452">
        <v>1</v>
      </c>
      <c r="V13" s="399">
        <f>Main!AC14</f>
        <v>11.498309920007904</v>
      </c>
      <c r="W13" s="399">
        <f t="shared" si="0"/>
        <v>19.5007005992552</v>
      </c>
      <c r="X13" s="399">
        <f t="shared" si="1"/>
        <v>2.3400006813784318</v>
      </c>
      <c r="Y13" s="399">
        <f t="shared" si="2"/>
        <v>4.7026683541679786</v>
      </c>
      <c r="Z13" s="399">
        <f t="shared" si="3"/>
        <v>0.41151274181957004</v>
      </c>
      <c r="AA13" s="399">
        <f t="shared" si="4"/>
        <v>2.3626676727895473</v>
      </c>
      <c r="AB13" s="399">
        <f t="shared" si="5"/>
        <v>3.4960335932092672</v>
      </c>
      <c r="AC13" s="63">
        <f>Main!T14</f>
        <v>44815</v>
      </c>
      <c r="AD13" s="63">
        <f>Main!U14</f>
        <v>44832</v>
      </c>
      <c r="AE13" s="63">
        <f>Main!V14</f>
        <v>44823.5</v>
      </c>
      <c r="AF13" s="398">
        <f>Main!H14</f>
        <v>17</v>
      </c>
      <c r="AG13" s="208">
        <f t="shared" si="6"/>
        <v>1.6342749814153485</v>
      </c>
      <c r="AH13" s="208">
        <f t="shared" si="7"/>
        <v>0.39156272724129715</v>
      </c>
      <c r="AI13" s="208">
        <f t="shared" si="8"/>
        <v>2.9372786710890081E-2</v>
      </c>
      <c r="AJ13" s="208">
        <f t="shared" si="9"/>
        <v>0.19672503520312634</v>
      </c>
      <c r="AK13" s="208">
        <f t="shared" si="10"/>
        <v>0.19483769203817083</v>
      </c>
      <c r="AL13" s="208">
        <f t="shared" si="11"/>
        <v>5.8179956618559937E-2</v>
      </c>
      <c r="AM13" s="399">
        <f>depths!$B$2</f>
        <v>1273.5</v>
      </c>
      <c r="AN13" s="44"/>
      <c r="AO13" s="399">
        <f t="shared" si="12"/>
        <v>391.56272724129713</v>
      </c>
      <c r="AP13" s="520">
        <v>3</v>
      </c>
      <c r="AQ13" s="399">
        <f t="shared" si="13"/>
        <v>29.372786710890082</v>
      </c>
      <c r="AR13" s="520">
        <v>3</v>
      </c>
      <c r="AS13" s="399">
        <f t="shared" si="14"/>
        <v>196.72503520312634</v>
      </c>
      <c r="AT13" s="520">
        <v>3</v>
      </c>
      <c r="AU13" s="399">
        <f t="shared" si="15"/>
        <v>194.83769203817084</v>
      </c>
      <c r="AV13" s="520">
        <v>3</v>
      </c>
      <c r="AW13" s="399">
        <f t="shared" si="16"/>
        <v>58.179956618559935</v>
      </c>
      <c r="AX13" s="520">
        <v>3</v>
      </c>
      <c r="AY13" s="399">
        <f t="shared" si="17"/>
        <v>6.6975271069595079</v>
      </c>
      <c r="AZ13" s="399">
        <f t="shared" si="18"/>
        <v>6.633272285531354</v>
      </c>
      <c r="BA13" s="399">
        <f>Main!R14</f>
        <v>37.777374168095484</v>
      </c>
      <c r="BB13" s="400">
        <v>2</v>
      </c>
      <c r="BC13" s="399">
        <f>Main!S14</f>
        <v>8.5</v>
      </c>
      <c r="BD13" s="400">
        <v>1</v>
      </c>
    </row>
    <row r="14" spans="1:56">
      <c r="A14" s="44">
        <f>Main!A15</f>
        <v>2022</v>
      </c>
      <c r="B14" s="44" t="str">
        <f>Main!B15</f>
        <v>47_1000</v>
      </c>
      <c r="C14" s="44">
        <v>9</v>
      </c>
      <c r="D14" s="44" t="str">
        <f>Main!$B$6</f>
        <v>McLane-PARFLUX-Mark78H-21 ; frame# 12419-01, controller# 12419-01 and Motor # 12419-01 Cup set AAx21</v>
      </c>
      <c r="E14" s="44">
        <v>1000</v>
      </c>
      <c r="F14" s="393">
        <v>1</v>
      </c>
      <c r="G14" s="398">
        <f>Main!E15</f>
        <v>211.71428571428572</v>
      </c>
      <c r="H14" s="208">
        <f>Main!I15</f>
        <v>24.907563025210084</v>
      </c>
      <c r="I14" s="208">
        <f>Main!J15</f>
        <v>9.0974873949579838</v>
      </c>
      <c r="J14" s="452">
        <v>1</v>
      </c>
      <c r="K14" s="399">
        <f>Main!AF15</f>
        <v>72.249834750634889</v>
      </c>
      <c r="L14" s="399">
        <f>Main!AG15</f>
        <v>8.669671209270394</v>
      </c>
      <c r="M14" s="452">
        <v>1</v>
      </c>
      <c r="N14" s="399">
        <f>Main!M15</f>
        <v>13.881094932556152</v>
      </c>
      <c r="O14" s="452">
        <v>1</v>
      </c>
      <c r="P14" s="399">
        <f>Main!O15</f>
        <v>0.83412986993789673</v>
      </c>
      <c r="Q14" s="452">
        <v>1</v>
      </c>
      <c r="R14" s="399">
        <f>Main!AH15</f>
        <v>5.2114237232857583</v>
      </c>
      <c r="S14" s="452">
        <v>1</v>
      </c>
      <c r="T14" s="399">
        <f>Main!AB15</f>
        <v>5.1767490087646078</v>
      </c>
      <c r="U14" s="452">
        <v>1</v>
      </c>
      <c r="V14" s="399">
        <f>Main!AC15</f>
        <v>11.074077890233722</v>
      </c>
      <c r="W14" s="399">
        <f t="shared" si="0"/>
        <v>6.5729196093169824</v>
      </c>
      <c r="X14" s="399">
        <f t="shared" si="1"/>
        <v>0.78872224544767544</v>
      </c>
      <c r="Y14" s="399">
        <f t="shared" si="2"/>
        <v>1.2628308617714472</v>
      </c>
      <c r="Z14" s="399">
        <f t="shared" si="3"/>
        <v>7.5884859775179572E-2</v>
      </c>
      <c r="AA14" s="399">
        <f t="shared" si="4"/>
        <v>0.47410861632377188</v>
      </c>
      <c r="AB14" s="399">
        <f t="shared" si="5"/>
        <v>1.007462840171842</v>
      </c>
      <c r="AC14" s="63">
        <f>Main!T15</f>
        <v>44832</v>
      </c>
      <c r="AD14" s="63">
        <f>Main!U15</f>
        <v>44849</v>
      </c>
      <c r="AE14" s="63">
        <f>Main!V15</f>
        <v>44840.5</v>
      </c>
      <c r="AF14" s="398">
        <f>Main!H15</f>
        <v>17</v>
      </c>
      <c r="AG14" s="208">
        <f t="shared" si="6"/>
        <v>0.47095408854097254</v>
      </c>
      <c r="AH14" s="208">
        <f t="shared" si="7"/>
        <v>0.10514828157963757</v>
      </c>
      <c r="AI14" s="208">
        <f t="shared" si="8"/>
        <v>5.4164782137886922E-3</v>
      </c>
      <c r="AJ14" s="208">
        <f t="shared" si="9"/>
        <v>3.9476154564843623E-2</v>
      </c>
      <c r="AK14" s="208">
        <f t="shared" si="10"/>
        <v>6.5672127014793955E-2</v>
      </c>
      <c r="AL14" s="208">
        <f t="shared" si="11"/>
        <v>1.6765898488464669E-2</v>
      </c>
      <c r="AM14" s="399">
        <f>depths!$B$2</f>
        <v>1273.5</v>
      </c>
      <c r="AN14" s="44"/>
      <c r="AO14" s="399">
        <f t="shared" si="12"/>
        <v>105.14828157963757</v>
      </c>
      <c r="AP14" s="452">
        <v>1</v>
      </c>
      <c r="AQ14" s="399">
        <f t="shared" si="13"/>
        <v>5.4164782137886922</v>
      </c>
      <c r="AR14" s="452">
        <v>1</v>
      </c>
      <c r="AS14" s="399">
        <f t="shared" si="14"/>
        <v>39.476154564843625</v>
      </c>
      <c r="AT14" s="452">
        <v>1</v>
      </c>
      <c r="AU14" s="399">
        <f t="shared" si="15"/>
        <v>65.672127014793958</v>
      </c>
      <c r="AV14" s="452">
        <v>1</v>
      </c>
      <c r="AW14" s="399">
        <f t="shared" si="16"/>
        <v>16.765898488464668</v>
      </c>
      <c r="AX14" s="452">
        <v>1</v>
      </c>
      <c r="AY14" s="399">
        <f t="shared" si="17"/>
        <v>7.288159022655984</v>
      </c>
      <c r="AZ14" s="399">
        <f t="shared" si="18"/>
        <v>12.124506814707177</v>
      </c>
      <c r="BA14" s="399">
        <f>Main!R15</f>
        <v>38.791347926916671</v>
      </c>
      <c r="BB14" s="400">
        <v>2</v>
      </c>
      <c r="BC14" s="399">
        <f>Main!S15</f>
        <v>8.59</v>
      </c>
      <c r="BD14" s="400">
        <v>1</v>
      </c>
    </row>
    <row r="15" spans="1:56">
      <c r="A15" s="44">
        <f>Main!A16</f>
        <v>2022</v>
      </c>
      <c r="B15" s="44" t="str">
        <f>Main!B16</f>
        <v>47_1000</v>
      </c>
      <c r="C15" s="44">
        <v>10</v>
      </c>
      <c r="D15" s="44" t="str">
        <f>Main!$B$6</f>
        <v>McLane-PARFLUX-Mark78H-21 ; frame# 12419-01, controller# 12419-01 and Motor # 12419-01 Cup set AAx21</v>
      </c>
      <c r="E15" s="44">
        <v>1000</v>
      </c>
      <c r="F15" s="393">
        <v>1</v>
      </c>
      <c r="G15" s="398">
        <f>Main!E16</f>
        <v>333.14285714285711</v>
      </c>
      <c r="H15" s="208">
        <f>Main!I16</f>
        <v>39.193277310924366</v>
      </c>
      <c r="I15" s="208">
        <f>Main!J16</f>
        <v>14.315344537815125</v>
      </c>
      <c r="J15" s="452">
        <v>1</v>
      </c>
      <c r="K15" s="399">
        <f>Main!AF16</f>
        <v>76.209612088141483</v>
      </c>
      <c r="L15" s="399">
        <f>Main!AG16</f>
        <v>9.1448275566390738</v>
      </c>
      <c r="M15" s="520">
        <v>2</v>
      </c>
      <c r="N15" s="399">
        <f>Main!M16</f>
        <v>13.525103569030762</v>
      </c>
      <c r="O15" s="452">
        <v>1</v>
      </c>
      <c r="P15" s="399">
        <f>Main!O16</f>
        <v>0.68007773160934448</v>
      </c>
      <c r="Q15" s="452">
        <v>1</v>
      </c>
      <c r="R15" s="399">
        <f>Main!AH16</f>
        <v>4.380276012391688</v>
      </c>
      <c r="S15" s="520">
        <v>2</v>
      </c>
      <c r="T15" s="399">
        <f>Main!AB16</f>
        <v>4.3175467618466623</v>
      </c>
      <c r="U15" s="452">
        <v>1</v>
      </c>
      <c r="V15" s="399">
        <f>Main!AC16</f>
        <v>9.2360763588239934</v>
      </c>
      <c r="W15" s="399">
        <f t="shared" si="0"/>
        <v>10.909668541349857</v>
      </c>
      <c r="X15" s="399">
        <f t="shared" si="1"/>
        <v>1.309113572121944</v>
      </c>
      <c r="Y15" s="399">
        <f t="shared" si="2"/>
        <v>1.9361651750030835</v>
      </c>
      <c r="Z15" s="399">
        <f t="shared" si="3"/>
        <v>9.7355470404835304E-2</v>
      </c>
      <c r="AA15" s="399">
        <f t="shared" si="4"/>
        <v>0.6270516028811397</v>
      </c>
      <c r="AB15" s="399">
        <f t="shared" si="5"/>
        <v>1.3221761525413445</v>
      </c>
      <c r="AC15" s="63">
        <f>Main!T16</f>
        <v>44849</v>
      </c>
      <c r="AD15" s="63">
        <f>Main!U16</f>
        <v>44866</v>
      </c>
      <c r="AE15" s="63">
        <f>Main!V16</f>
        <v>44857.5</v>
      </c>
      <c r="AF15" s="398">
        <f>Main!H16</f>
        <v>17</v>
      </c>
      <c r="AG15" s="208">
        <f t="shared" si="6"/>
        <v>0.61807169453962996</v>
      </c>
      <c r="AH15" s="208">
        <f t="shared" si="7"/>
        <v>0.16121275395529422</v>
      </c>
      <c r="AI15" s="208">
        <f t="shared" si="8"/>
        <v>6.9489986013444183E-3</v>
      </c>
      <c r="AJ15" s="208">
        <f t="shared" si="9"/>
        <v>5.2210791247388817E-2</v>
      </c>
      <c r="AK15" s="208">
        <f t="shared" si="10"/>
        <v>0.10900196270790541</v>
      </c>
      <c r="AL15" s="208">
        <f t="shared" si="11"/>
        <v>2.2003264312553575E-2</v>
      </c>
      <c r="AM15" s="399">
        <f>depths!$B$2</f>
        <v>1273.5</v>
      </c>
      <c r="AN15" s="44"/>
      <c r="AO15" s="399">
        <f t="shared" si="12"/>
        <v>161.21275395529423</v>
      </c>
      <c r="AP15" s="452">
        <v>1</v>
      </c>
      <c r="AQ15" s="399">
        <f t="shared" si="13"/>
        <v>6.9489986013444183</v>
      </c>
      <c r="AR15" s="452">
        <v>1</v>
      </c>
      <c r="AS15" s="399">
        <f t="shared" si="14"/>
        <v>52.210791247388819</v>
      </c>
      <c r="AT15" s="452">
        <v>2</v>
      </c>
      <c r="AU15" s="399">
        <f t="shared" si="15"/>
        <v>109.00196270790541</v>
      </c>
      <c r="AV15" s="452">
        <v>2</v>
      </c>
      <c r="AW15" s="399">
        <f t="shared" si="16"/>
        <v>22.003264312553576</v>
      </c>
      <c r="AX15" s="452">
        <v>1</v>
      </c>
      <c r="AY15" s="399">
        <f t="shared" si="17"/>
        <v>7.5134266449971125</v>
      </c>
      <c r="AZ15" s="399">
        <f t="shared" si="18"/>
        <v>15.685995775969342</v>
      </c>
      <c r="BA15" s="399">
        <f>Main!R16</f>
        <v>39.662176507611733</v>
      </c>
      <c r="BB15" s="400">
        <v>2</v>
      </c>
      <c r="BC15" s="399">
        <f>Main!S16</f>
        <v>8.56</v>
      </c>
      <c r="BD15" s="400">
        <v>1</v>
      </c>
    </row>
    <row r="16" spans="1:56">
      <c r="A16" s="44">
        <f>Main!A17</f>
        <v>2022</v>
      </c>
      <c r="B16" s="44" t="str">
        <f>Main!B17</f>
        <v>47_1000</v>
      </c>
      <c r="C16" s="44">
        <v>11</v>
      </c>
      <c r="D16" s="44" t="str">
        <f>Main!$B$6</f>
        <v>McLane-PARFLUX-Mark78H-21 ; frame# 12419-01, controller# 12419-01 and Motor # 12419-01 Cup set AAx21</v>
      </c>
      <c r="E16" s="44">
        <v>1000</v>
      </c>
      <c r="F16" s="393">
        <v>1</v>
      </c>
      <c r="G16" s="398">
        <f>Main!E17</f>
        <v>629.85714285714278</v>
      </c>
      <c r="H16" s="208">
        <f>Main!I17</f>
        <v>74.100840336134439</v>
      </c>
      <c r="I16" s="208">
        <f>Main!J17</f>
        <v>27.065331932773105</v>
      </c>
      <c r="J16" s="452">
        <v>1</v>
      </c>
      <c r="K16" s="399">
        <f>Main!AF17</f>
        <v>77.278267260940012</v>
      </c>
      <c r="L16" s="399">
        <f>Main!AG17</f>
        <v>9.2730616075019761</v>
      </c>
      <c r="M16" s="452">
        <v>1</v>
      </c>
      <c r="N16" s="399">
        <f>Main!M17</f>
        <v>13.522268295288086</v>
      </c>
      <c r="O16" s="452">
        <v>1</v>
      </c>
      <c r="P16" s="399">
        <f>Main!O17</f>
        <v>0.61902719736099243</v>
      </c>
      <c r="Q16" s="452">
        <v>1</v>
      </c>
      <c r="R16" s="399">
        <f>Main!AH17</f>
        <v>4.2492066877861099</v>
      </c>
      <c r="S16" s="452">
        <v>1</v>
      </c>
      <c r="T16" s="399">
        <f>Main!AB17</f>
        <v>4.2591301201049454</v>
      </c>
      <c r="U16" s="452">
        <v>1</v>
      </c>
      <c r="V16" s="399">
        <f>Main!AC17</f>
        <v>9.1111117450020025</v>
      </c>
      <c r="W16" s="399">
        <f t="shared" si="0"/>
        <v>20.915619546068942</v>
      </c>
      <c r="X16" s="399">
        <f t="shared" si="1"/>
        <v>2.5097849044009553</v>
      </c>
      <c r="Y16" s="399">
        <f t="shared" si="2"/>
        <v>3.65984679895986</v>
      </c>
      <c r="Z16" s="399">
        <f t="shared" si="3"/>
        <v>0.16754176571989507</v>
      </c>
      <c r="AA16" s="399">
        <f t="shared" si="4"/>
        <v>1.1500618945589043</v>
      </c>
      <c r="AB16" s="399">
        <f t="shared" si="5"/>
        <v>2.4659526365506679</v>
      </c>
      <c r="AC16" s="63">
        <f>Main!T17</f>
        <v>44866</v>
      </c>
      <c r="AD16" s="63">
        <f>Main!U17</f>
        <v>44883</v>
      </c>
      <c r="AE16" s="63">
        <f>Main!V17</f>
        <v>44874.5</v>
      </c>
      <c r="AF16" s="398">
        <f>Main!H17</f>
        <v>17</v>
      </c>
      <c r="AG16" s="208">
        <f t="shared" si="6"/>
        <v>1.1527477044551213</v>
      </c>
      <c r="AH16" s="208">
        <f t="shared" si="7"/>
        <v>0.30473328883928891</v>
      </c>
      <c r="AI16" s="208">
        <f t="shared" si="8"/>
        <v>1.1958727032112424E-2</v>
      </c>
      <c r="AJ16" s="208">
        <f t="shared" si="9"/>
        <v>9.5758692302989529E-2</v>
      </c>
      <c r="AK16" s="208">
        <f t="shared" si="10"/>
        <v>0.20897459653629935</v>
      </c>
      <c r="AL16" s="208">
        <f t="shared" si="11"/>
        <v>4.1037654127985809E-2</v>
      </c>
      <c r="AM16" s="399">
        <f>depths!$B$2</f>
        <v>1273.5</v>
      </c>
      <c r="AN16" s="44"/>
      <c r="AO16" s="399">
        <f t="shared" si="12"/>
        <v>304.73328883928889</v>
      </c>
      <c r="AP16" s="452">
        <v>1</v>
      </c>
      <c r="AQ16" s="399">
        <f t="shared" si="13"/>
        <v>11.958727032112424</v>
      </c>
      <c r="AR16" s="452">
        <v>1</v>
      </c>
      <c r="AS16" s="399">
        <f t="shared" si="14"/>
        <v>95.75869230298953</v>
      </c>
      <c r="AT16" s="452">
        <v>1</v>
      </c>
      <c r="AU16" s="399">
        <f t="shared" si="15"/>
        <v>208.97459653629934</v>
      </c>
      <c r="AV16" s="452">
        <v>1</v>
      </c>
      <c r="AW16" s="399">
        <f t="shared" si="16"/>
        <v>41.03765412798581</v>
      </c>
      <c r="AX16" s="452">
        <v>1</v>
      </c>
      <c r="AY16" s="399">
        <f t="shared" si="17"/>
        <v>8.0074318985500277</v>
      </c>
      <c r="AZ16" s="399">
        <f t="shared" si="18"/>
        <v>17.474652274873897</v>
      </c>
      <c r="BA16" s="399">
        <f>Main!R17</f>
        <v>39.807465687206999</v>
      </c>
      <c r="BB16" s="400">
        <v>2</v>
      </c>
      <c r="BC16" s="399">
        <f>Main!S17</f>
        <v>8.58</v>
      </c>
      <c r="BD16" s="400">
        <v>1</v>
      </c>
    </row>
    <row r="17" spans="1:56">
      <c r="A17" s="44">
        <f>Main!A18</f>
        <v>2022</v>
      </c>
      <c r="B17" s="44" t="str">
        <f>Main!B18</f>
        <v>47_1000</v>
      </c>
      <c r="C17" s="44">
        <v>12</v>
      </c>
      <c r="D17" s="44" t="str">
        <f>Main!$B$6</f>
        <v>McLane-PARFLUX-Mark78H-21 ; frame# 12419-01, controller# 12419-01 and Motor # 12419-01 Cup set AAx21</v>
      </c>
      <c r="E17" s="44">
        <v>1000</v>
      </c>
      <c r="F17" s="393">
        <v>1</v>
      </c>
      <c r="G17" s="398">
        <f>Main!E18</f>
        <v>285.85714285714283</v>
      </c>
      <c r="H17" s="208">
        <f>Main!I18</f>
        <v>33.63025210084033</v>
      </c>
      <c r="I17" s="208">
        <f>Main!J18</f>
        <v>12.283449579831933</v>
      </c>
      <c r="J17" s="452">
        <v>1</v>
      </c>
      <c r="K17" s="399">
        <f>Main!AF18</f>
        <v>76.221092576215611</v>
      </c>
      <c r="L17" s="399">
        <f>Main!AG18</f>
        <v>9.1462051661141412</v>
      </c>
      <c r="M17" s="452">
        <v>1</v>
      </c>
      <c r="N17" s="399">
        <f>Main!M18</f>
        <v>13.635256767272949</v>
      </c>
      <c r="O17" s="452">
        <v>1</v>
      </c>
      <c r="P17" s="399">
        <f>Main!O18</f>
        <v>0.66877591609954834</v>
      </c>
      <c r="Q17" s="452">
        <v>1</v>
      </c>
      <c r="R17" s="399">
        <f>Main!AH18</f>
        <v>4.489051601158808</v>
      </c>
      <c r="S17" s="452">
        <v>1</v>
      </c>
      <c r="T17" s="399">
        <f>Main!AB18</f>
        <v>4.2868025379068051</v>
      </c>
      <c r="U17" s="452">
        <v>1</v>
      </c>
      <c r="V17" s="399">
        <f>Main!AC18</f>
        <v>9.1703084550665697</v>
      </c>
      <c r="W17" s="399">
        <f t="shared" si="0"/>
        <v>9.3625794757964655</v>
      </c>
      <c r="X17" s="399">
        <f t="shared" si="1"/>
        <v>1.123469500047614</v>
      </c>
      <c r="Y17" s="399">
        <f t="shared" si="2"/>
        <v>1.6748798900885942</v>
      </c>
      <c r="Z17" s="399">
        <f t="shared" si="3"/>
        <v>8.2148752456147126E-2</v>
      </c>
      <c r="AA17" s="399">
        <f t="shared" si="4"/>
        <v>0.55141039004098025</v>
      </c>
      <c r="AB17" s="399">
        <f t="shared" si="5"/>
        <v>1.1264302153931667</v>
      </c>
      <c r="AC17" s="63">
        <f>Main!T18</f>
        <v>44883</v>
      </c>
      <c r="AD17" s="63">
        <f>Main!U18</f>
        <v>44900</v>
      </c>
      <c r="AE17" s="63">
        <f>Main!V18</f>
        <v>44891.5</v>
      </c>
      <c r="AF17" s="398">
        <f>Main!H18</f>
        <v>17</v>
      </c>
      <c r="AG17" s="208">
        <f t="shared" si="6"/>
        <v>0.5265672283307381</v>
      </c>
      <c r="AH17" s="208">
        <f t="shared" si="7"/>
        <v>0.13945710991578636</v>
      </c>
      <c r="AI17" s="208">
        <f t="shared" si="8"/>
        <v>5.8635797613238493E-3</v>
      </c>
      <c r="AJ17" s="208">
        <f t="shared" si="9"/>
        <v>4.5912605332304769E-2</v>
      </c>
      <c r="AK17" s="208">
        <f t="shared" si="10"/>
        <v>9.3544504583481597E-2</v>
      </c>
      <c r="AL17" s="208">
        <f t="shared" si="11"/>
        <v>1.8745718345700893E-2</v>
      </c>
      <c r="AM17" s="399">
        <f>depths!$B$2</f>
        <v>1273.5</v>
      </c>
      <c r="AN17" s="44"/>
      <c r="AO17" s="399">
        <f t="shared" si="12"/>
        <v>139.45710991578636</v>
      </c>
      <c r="AP17" s="452">
        <v>1</v>
      </c>
      <c r="AQ17" s="399">
        <f t="shared" si="13"/>
        <v>5.8635797613238489</v>
      </c>
      <c r="AR17" s="452">
        <v>1</v>
      </c>
      <c r="AS17" s="399">
        <f t="shared" si="14"/>
        <v>45.912605332304771</v>
      </c>
      <c r="AT17" s="452">
        <v>1</v>
      </c>
      <c r="AU17" s="399">
        <f t="shared" si="15"/>
        <v>93.544504583481597</v>
      </c>
      <c r="AV17" s="452">
        <v>1</v>
      </c>
      <c r="AW17" s="399">
        <f t="shared" si="16"/>
        <v>18.745718345700894</v>
      </c>
      <c r="AX17" s="452">
        <v>1</v>
      </c>
      <c r="AY17" s="399">
        <f t="shared" si="17"/>
        <v>7.830132308448186</v>
      </c>
      <c r="AZ17" s="399">
        <f t="shared" si="18"/>
        <v>15.953480363736299</v>
      </c>
      <c r="BA17" s="399">
        <f>Main!R18</f>
        <v>39.44434487221848</v>
      </c>
      <c r="BB17" s="400">
        <v>2</v>
      </c>
      <c r="BC17" s="399">
        <f>Main!S18</f>
        <v>8.6149999999999984</v>
      </c>
      <c r="BD17" s="400">
        <v>1</v>
      </c>
    </row>
    <row r="18" spans="1:56">
      <c r="A18" s="44">
        <f>Main!A19</f>
        <v>2022</v>
      </c>
      <c r="B18" s="44" t="str">
        <f>Main!B19</f>
        <v>47_1000</v>
      </c>
      <c r="C18" s="44">
        <v>13</v>
      </c>
      <c r="D18" s="44" t="str">
        <f>Main!$B$6</f>
        <v>McLane-PARFLUX-Mark78H-21 ; frame# 12419-01, controller# 12419-01 and Motor # 12419-01 Cup set AAx21</v>
      </c>
      <c r="E18" s="44">
        <v>1000</v>
      </c>
      <c r="F18" s="393">
        <v>1</v>
      </c>
      <c r="G18" s="398">
        <f>Main!E19</f>
        <v>113.71428571428569</v>
      </c>
      <c r="H18" s="208">
        <f>Main!I19</f>
        <v>13.378151260504199</v>
      </c>
      <c r="I18" s="208">
        <f>Main!J19</f>
        <v>4.8863697478991597</v>
      </c>
      <c r="J18" s="452">
        <v>1</v>
      </c>
      <c r="K18" s="399">
        <f>Main!AF19</f>
        <v>74.691523502969375</v>
      </c>
      <c r="L18" s="399">
        <f>Main!AG19</f>
        <v>8.9626634181962093</v>
      </c>
      <c r="M18" s="452">
        <v>1</v>
      </c>
      <c r="N18" s="399">
        <f>Main!M19</f>
        <v>13.721451759338379</v>
      </c>
      <c r="O18" s="452">
        <v>1</v>
      </c>
      <c r="P18" s="399">
        <f>Main!O19</f>
        <v>0.70274358987808228</v>
      </c>
      <c r="Q18" s="452">
        <v>1</v>
      </c>
      <c r="R18" s="399">
        <f>Main!AH19</f>
        <v>4.7587883411421696</v>
      </c>
      <c r="S18" s="452">
        <v>1</v>
      </c>
      <c r="T18" s="399">
        <f>Main!AB19</f>
        <v>4.7014176811045587</v>
      </c>
      <c r="U18" s="452">
        <v>1</v>
      </c>
      <c r="V18" s="399">
        <f>Main!AC19</f>
        <v>10.057251280084476</v>
      </c>
      <c r="W18" s="399">
        <f t="shared" si="0"/>
        <v>3.6497040086940862</v>
      </c>
      <c r="X18" s="399">
        <f t="shared" si="1"/>
        <v>0.43794887387276432</v>
      </c>
      <c r="Y18" s="399">
        <f t="shared" si="2"/>
        <v>0.67048086774088755</v>
      </c>
      <c r="Z18" s="399">
        <f t="shared" si="3"/>
        <v>3.4338650181103152E-2</v>
      </c>
      <c r="AA18" s="399">
        <f t="shared" si="4"/>
        <v>0.23253199386812326</v>
      </c>
      <c r="AB18" s="399">
        <f t="shared" si="5"/>
        <v>0.49143448402024881</v>
      </c>
      <c r="AC18" s="63">
        <f>Main!T19</f>
        <v>44900</v>
      </c>
      <c r="AD18" s="63">
        <f>Main!U19</f>
        <v>44917</v>
      </c>
      <c r="AE18" s="63">
        <f>Main!V19</f>
        <v>44908.5</v>
      </c>
      <c r="AF18" s="398">
        <f>Main!H19</f>
        <v>17</v>
      </c>
      <c r="AG18" s="208">
        <f t="shared" si="6"/>
        <v>0.22972865129187536</v>
      </c>
      <c r="AH18" s="208">
        <f t="shared" si="7"/>
        <v>5.5826883242371984E-2</v>
      </c>
      <c r="AI18" s="208">
        <f t="shared" si="8"/>
        <v>2.4510100057889474E-3</v>
      </c>
      <c r="AJ18" s="208">
        <f t="shared" si="9"/>
        <v>1.9361531546055227E-2</v>
      </c>
      <c r="AK18" s="208">
        <f t="shared" si="10"/>
        <v>3.6465351696316761E-2</v>
      </c>
      <c r="AL18" s="208">
        <f t="shared" si="11"/>
        <v>8.1783072727616719E-3</v>
      </c>
      <c r="AM18" s="399">
        <f>depths!$B$2</f>
        <v>1273.5</v>
      </c>
      <c r="AN18" s="44"/>
      <c r="AO18" s="399">
        <f t="shared" si="12"/>
        <v>55.826883242371984</v>
      </c>
      <c r="AP18" s="452">
        <v>1</v>
      </c>
      <c r="AQ18" s="399">
        <f t="shared" si="13"/>
        <v>2.4510100057889472</v>
      </c>
      <c r="AR18" s="452">
        <v>1</v>
      </c>
      <c r="AS18" s="399">
        <f t="shared" si="14"/>
        <v>19.361531546055225</v>
      </c>
      <c r="AT18" s="452">
        <v>1</v>
      </c>
      <c r="AU18" s="399">
        <f t="shared" si="15"/>
        <v>36.465351696316759</v>
      </c>
      <c r="AV18" s="452">
        <v>1</v>
      </c>
      <c r="AW18" s="399">
        <f t="shared" si="16"/>
        <v>8.1783072727616712</v>
      </c>
      <c r="AX18" s="452">
        <v>1</v>
      </c>
      <c r="AY18" s="399">
        <f t="shared" si="17"/>
        <v>7.8994094272671109</v>
      </c>
      <c r="AZ18" s="399">
        <f t="shared" si="18"/>
        <v>14.877683734538264</v>
      </c>
      <c r="BA18" s="399">
        <f>Main!R19</f>
        <v>40.098172354946087</v>
      </c>
      <c r="BB18" s="400">
        <v>2</v>
      </c>
      <c r="BC18" s="399">
        <f>Main!S19</f>
        <v>8.65</v>
      </c>
      <c r="BD18" s="400">
        <v>1</v>
      </c>
    </row>
    <row r="19" spans="1:56">
      <c r="A19" s="44">
        <f>Main!A20</f>
        <v>2022</v>
      </c>
      <c r="B19" s="44" t="str">
        <f>Main!B20</f>
        <v>47_1000</v>
      </c>
      <c r="C19" s="44">
        <v>14</v>
      </c>
      <c r="D19" s="44" t="str">
        <f>Main!$B$6</f>
        <v>McLane-PARFLUX-Mark78H-21 ; frame# 12419-01, controller# 12419-01 and Motor # 12419-01 Cup set AAx21</v>
      </c>
      <c r="E19" s="44">
        <v>1000</v>
      </c>
      <c r="F19" s="393">
        <v>1</v>
      </c>
      <c r="G19" s="398">
        <f>Main!E20</f>
        <v>271.57142857142856</v>
      </c>
      <c r="H19" s="208">
        <f>Main!I20</f>
        <v>31.94957983193277</v>
      </c>
      <c r="I19" s="208">
        <f>Main!J20</f>
        <v>11.669584033613447</v>
      </c>
      <c r="J19" s="452">
        <v>1</v>
      </c>
      <c r="K19" s="399">
        <f>Main!AF20</f>
        <v>73.843469539991347</v>
      </c>
      <c r="L19" s="399">
        <f>Main!AG20</f>
        <v>8.8609005691583622</v>
      </c>
      <c r="M19" s="452">
        <v>3</v>
      </c>
      <c r="N19" s="399">
        <f>Main!M20</f>
        <v>13.653738021850586</v>
      </c>
      <c r="O19" s="452">
        <v>3</v>
      </c>
      <c r="P19" s="399">
        <f>Main!O20</f>
        <v>0.7718701958656311</v>
      </c>
      <c r="Q19" s="452">
        <v>3</v>
      </c>
      <c r="R19" s="399">
        <f>Main!AH20</f>
        <v>4.7928374526922237</v>
      </c>
      <c r="S19" s="452">
        <v>3</v>
      </c>
      <c r="T19" s="399">
        <f>Main!AB20</f>
        <v>4.973403262402373</v>
      </c>
      <c r="U19" s="452">
        <v>1</v>
      </c>
      <c r="V19" s="399">
        <f>Main!AC20</f>
        <v>10.639081596217821</v>
      </c>
      <c r="W19" s="399">
        <f t="shared" si="0"/>
        <v>8.6172257313050391</v>
      </c>
      <c r="X19" s="399">
        <f t="shared" si="1"/>
        <v>1.0340302380528674</v>
      </c>
      <c r="Y19" s="399">
        <f t="shared" si="2"/>
        <v>1.5933344321892846</v>
      </c>
      <c r="Z19" s="399">
        <f t="shared" si="3"/>
        <v>9.0074041136956523E-2</v>
      </c>
      <c r="AA19" s="399">
        <f t="shared" si="4"/>
        <v>0.55930419413641719</v>
      </c>
      <c r="AB19" s="399">
        <f t="shared" si="5"/>
        <v>1.2415365672753416</v>
      </c>
      <c r="AC19" s="63">
        <f>Main!T20</f>
        <v>44917</v>
      </c>
      <c r="AD19" s="63">
        <f>Main!U20</f>
        <v>44934</v>
      </c>
      <c r="AE19" s="63">
        <f>Main!V20</f>
        <v>44925.5</v>
      </c>
      <c r="AF19" s="398">
        <f>Main!H20</f>
        <v>17</v>
      </c>
      <c r="AG19" s="208">
        <f t="shared" si="6"/>
        <v>0.5803754730365176</v>
      </c>
      <c r="AH19" s="208">
        <f t="shared" si="7"/>
        <v>0.13266731325472811</v>
      </c>
      <c r="AI19" s="208">
        <f t="shared" si="8"/>
        <v>6.4292677471061042E-3</v>
      </c>
      <c r="AJ19" s="208">
        <f t="shared" si="9"/>
        <v>4.6569874615854885E-2</v>
      </c>
      <c r="AK19" s="208">
        <f t="shared" si="10"/>
        <v>8.609743863887323E-2</v>
      </c>
      <c r="AL19" s="208">
        <f t="shared" si="11"/>
        <v>2.0661284194963245E-2</v>
      </c>
      <c r="AM19" s="399">
        <f>depths!$B$2</f>
        <v>1273.5</v>
      </c>
      <c r="AN19" s="44"/>
      <c r="AO19" s="399">
        <f t="shared" si="12"/>
        <v>132.6673132547281</v>
      </c>
      <c r="AP19" s="452">
        <v>3</v>
      </c>
      <c r="AQ19" s="399">
        <f t="shared" si="13"/>
        <v>6.4292677471061044</v>
      </c>
      <c r="AR19" s="452">
        <v>3</v>
      </c>
      <c r="AS19" s="399">
        <f t="shared" si="14"/>
        <v>46.569874615854886</v>
      </c>
      <c r="AT19" s="452">
        <v>3</v>
      </c>
      <c r="AU19" s="399">
        <f t="shared" si="15"/>
        <v>86.097438638873228</v>
      </c>
      <c r="AV19" s="452">
        <v>3</v>
      </c>
      <c r="AW19" s="399">
        <f t="shared" si="16"/>
        <v>20.661284194963244</v>
      </c>
      <c r="AX19" s="452">
        <v>1</v>
      </c>
      <c r="AY19" s="399">
        <f t="shared" si="17"/>
        <v>7.2434181383745582</v>
      </c>
      <c r="AZ19" s="399">
        <f t="shared" si="18"/>
        <v>13.391484384458368</v>
      </c>
      <c r="BA19" s="399">
        <f>Main!R20</f>
        <v>39.734815737579275</v>
      </c>
      <c r="BB19" s="400">
        <v>2</v>
      </c>
      <c r="BC19" s="399">
        <f>Main!S20</f>
        <v>8.6300000000000008</v>
      </c>
      <c r="BD19" s="400">
        <v>1</v>
      </c>
    </row>
    <row r="20" spans="1:56">
      <c r="A20" s="44">
        <f>Main!A21</f>
        <v>2022</v>
      </c>
      <c r="B20" s="44" t="str">
        <f>Main!B21</f>
        <v>47_1000</v>
      </c>
      <c r="C20" s="44">
        <v>15</v>
      </c>
      <c r="D20" s="44" t="str">
        <f>Main!$B$6</f>
        <v>McLane-PARFLUX-Mark78H-21 ; frame# 12419-01, controller# 12419-01 and Motor # 12419-01 Cup set AAx21</v>
      </c>
      <c r="E20" s="44">
        <v>1000</v>
      </c>
      <c r="F20" s="393">
        <v>1</v>
      </c>
      <c r="G20" s="398">
        <f>Main!E21</f>
        <v>80.857142857142861</v>
      </c>
      <c r="H20" s="208">
        <f>Main!I21</f>
        <v>9.5126050420168067</v>
      </c>
      <c r="I20" s="208">
        <f>Main!J21</f>
        <v>3.474478991596639</v>
      </c>
      <c r="J20" s="452">
        <v>1</v>
      </c>
      <c r="K20" s="399">
        <f>Main!AF21</f>
        <v>71.153571201162194</v>
      </c>
      <c r="L20" s="399">
        <f>Main!AG21</f>
        <v>8.5381242712678489</v>
      </c>
      <c r="M20" s="452">
        <v>3</v>
      </c>
      <c r="N20" s="399">
        <f>Main!M21</f>
        <v>14.125909805297852</v>
      </c>
      <c r="O20" s="452">
        <v>3</v>
      </c>
      <c r="P20" s="399">
        <f>Main!O21</f>
        <v>0.9453589916229248</v>
      </c>
      <c r="Q20" s="452">
        <v>3</v>
      </c>
      <c r="R20" s="399">
        <f>Main!AH21</f>
        <v>5.5877855340300027</v>
      </c>
      <c r="S20" s="452">
        <v>3</v>
      </c>
      <c r="T20" s="399">
        <f>Main!AB21</f>
        <v>4.977959752796111</v>
      </c>
      <c r="U20" s="452">
        <v>1</v>
      </c>
      <c r="V20" s="399">
        <f>Main!AC21</f>
        <v>10.648828819705173</v>
      </c>
      <c r="W20" s="399">
        <f t="shared" si="0"/>
        <v>2.4722158831551364</v>
      </c>
      <c r="X20" s="399">
        <f t="shared" si="1"/>
        <v>0.29665533408161504</v>
      </c>
      <c r="Y20" s="399">
        <f t="shared" si="2"/>
        <v>0.4908017685569635</v>
      </c>
      <c r="Z20" s="399">
        <f t="shared" si="3"/>
        <v>3.2846299559108352E-2</v>
      </c>
      <c r="AA20" s="399">
        <f t="shared" si="4"/>
        <v>0.19414643447534852</v>
      </c>
      <c r="AB20" s="399">
        <f t="shared" si="5"/>
        <v>0.36999132019174458</v>
      </c>
      <c r="AC20" s="63">
        <f>Main!T21</f>
        <v>44934</v>
      </c>
      <c r="AD20" s="63">
        <f>Main!U21</f>
        <v>44951</v>
      </c>
      <c r="AE20" s="63">
        <f>Main!V21</f>
        <v>44942.5</v>
      </c>
      <c r="AF20" s="398">
        <f>Main!H21</f>
        <v>17</v>
      </c>
      <c r="AG20" s="208">
        <f t="shared" si="6"/>
        <v>0.17295816582103685</v>
      </c>
      <c r="AH20" s="208">
        <f t="shared" si="7"/>
        <v>4.0866092302827936E-2</v>
      </c>
      <c r="AI20" s="208">
        <f t="shared" si="8"/>
        <v>2.3444896187800393E-3</v>
      </c>
      <c r="AJ20" s="208">
        <f t="shared" si="9"/>
        <v>1.616539837430046E-2</v>
      </c>
      <c r="AK20" s="208">
        <f t="shared" si="10"/>
        <v>2.470069392852748E-2</v>
      </c>
      <c r="AL20" s="208">
        <f t="shared" si="11"/>
        <v>6.1572860740846157E-3</v>
      </c>
      <c r="AM20" s="399">
        <f>depths!$B$2</f>
        <v>1273.5</v>
      </c>
      <c r="AN20" s="44"/>
      <c r="AO20" s="399">
        <f t="shared" si="12"/>
        <v>40.866092302827937</v>
      </c>
      <c r="AP20" s="452">
        <v>3</v>
      </c>
      <c r="AQ20" s="399">
        <f t="shared" si="13"/>
        <v>2.3444896187800395</v>
      </c>
      <c r="AR20" s="452">
        <v>3</v>
      </c>
      <c r="AS20" s="399">
        <f t="shared" si="14"/>
        <v>16.165398374300459</v>
      </c>
      <c r="AT20" s="452">
        <v>3</v>
      </c>
      <c r="AU20" s="399">
        <f t="shared" si="15"/>
        <v>24.700693928527478</v>
      </c>
      <c r="AV20" s="452">
        <v>3</v>
      </c>
      <c r="AW20" s="399">
        <f t="shared" si="16"/>
        <v>6.1572860740846158</v>
      </c>
      <c r="AX20" s="452">
        <v>1</v>
      </c>
      <c r="AY20" s="399">
        <f t="shared" si="17"/>
        <v>6.8950607606921972</v>
      </c>
      <c r="AZ20" s="399">
        <f t="shared" si="18"/>
        <v>10.535638004394551</v>
      </c>
      <c r="BA20" s="399">
        <f>Main!R21</f>
        <v>40.025479690233652</v>
      </c>
      <c r="BB20" s="400">
        <v>2</v>
      </c>
      <c r="BC20" s="399">
        <f>Main!S21</f>
        <v>8.67</v>
      </c>
      <c r="BD20" s="400">
        <v>1</v>
      </c>
    </row>
    <row r="21" spans="1:56">
      <c r="A21" s="44">
        <f>Main!A22</f>
        <v>2022</v>
      </c>
      <c r="B21" s="44" t="str">
        <f>Main!B22</f>
        <v>47_1000</v>
      </c>
      <c r="C21" s="44">
        <v>16</v>
      </c>
      <c r="D21" s="44" t="str">
        <f>Main!$B$6</f>
        <v>McLane-PARFLUX-Mark78H-21 ; frame# 12419-01, controller# 12419-01 and Motor # 12419-01 Cup set AAx21</v>
      </c>
      <c r="E21" s="44">
        <v>1000</v>
      </c>
      <c r="F21" s="393">
        <v>1</v>
      </c>
      <c r="G21" s="398">
        <f>Main!E22</f>
        <v>13.428571428571427</v>
      </c>
      <c r="H21" s="208">
        <f>Main!I22</f>
        <v>1.579831932773109</v>
      </c>
      <c r="I21" s="208">
        <f>Main!J22</f>
        <v>0.57703361344537807</v>
      </c>
      <c r="J21" s="520">
        <v>2</v>
      </c>
      <c r="K21" s="399" t="str">
        <f>Main!AF22</f>
        <v>NaN</v>
      </c>
      <c r="L21" s="399" t="str">
        <f>Main!AG22</f>
        <v>NaN</v>
      </c>
      <c r="M21" s="452">
        <v>9</v>
      </c>
      <c r="N21" s="399" t="str">
        <f>Main!M22</f>
        <v>NaN</v>
      </c>
      <c r="O21" s="452">
        <v>9</v>
      </c>
      <c r="P21" s="399" t="str">
        <f>Main!O22</f>
        <v>NaN</v>
      </c>
      <c r="Q21" s="452">
        <v>9</v>
      </c>
      <c r="R21" s="399" t="str">
        <f>Main!AH22</f>
        <v>NaN</v>
      </c>
      <c r="S21" s="452">
        <v>9</v>
      </c>
      <c r="T21" s="399" t="str">
        <f>Main!AB22</f>
        <v>NaN</v>
      </c>
      <c r="U21" s="452">
        <v>9</v>
      </c>
      <c r="V21" s="399" t="str">
        <f>Main!AC22</f>
        <v>NaN</v>
      </c>
      <c r="W21" s="399" t="s">
        <v>3656</v>
      </c>
      <c r="X21" s="399" t="s">
        <v>3656</v>
      </c>
      <c r="Y21" s="399" t="s">
        <v>3656</v>
      </c>
      <c r="Z21" s="399" t="s">
        <v>3656</v>
      </c>
      <c r="AA21" s="399" t="s">
        <v>3656</v>
      </c>
      <c r="AB21" s="399" t="s">
        <v>3656</v>
      </c>
      <c r="AC21" s="63">
        <f>Main!T22</f>
        <v>44951</v>
      </c>
      <c r="AD21" s="63">
        <f>Main!U22</f>
        <v>44968</v>
      </c>
      <c r="AE21" s="63">
        <f>Main!V22</f>
        <v>44959.5</v>
      </c>
      <c r="AF21" s="398">
        <f>Main!H22</f>
        <v>17</v>
      </c>
      <c r="AG21" s="208" t="s">
        <v>3656</v>
      </c>
      <c r="AH21" s="208" t="s">
        <v>3656</v>
      </c>
      <c r="AI21" s="208" t="s">
        <v>3656</v>
      </c>
      <c r="AJ21" s="208" t="s">
        <v>3656</v>
      </c>
      <c r="AK21" s="208" t="s">
        <v>3656</v>
      </c>
      <c r="AL21" s="208" t="s">
        <v>3656</v>
      </c>
      <c r="AM21" s="399">
        <f>depths!$B$2</f>
        <v>1273.5</v>
      </c>
      <c r="AN21" s="44"/>
      <c r="AO21" s="208" t="s">
        <v>3656</v>
      </c>
      <c r="AP21" s="452">
        <v>9</v>
      </c>
      <c r="AQ21" s="208" t="s">
        <v>3656</v>
      </c>
      <c r="AR21" s="452">
        <v>9</v>
      </c>
      <c r="AS21" s="208" t="s">
        <v>3656</v>
      </c>
      <c r="AT21" s="452">
        <v>9</v>
      </c>
      <c r="AU21" s="208" t="s">
        <v>3656</v>
      </c>
      <c r="AV21" s="452">
        <v>9</v>
      </c>
      <c r="AW21" s="208" t="s">
        <v>3656</v>
      </c>
      <c r="AX21" s="452">
        <v>9</v>
      </c>
      <c r="AY21" s="208" t="s">
        <v>3656</v>
      </c>
      <c r="AZ21" s="208" t="s">
        <v>3656</v>
      </c>
      <c r="BA21" s="399">
        <f>Main!R22</f>
        <v>39.662176507611733</v>
      </c>
      <c r="BB21" s="400">
        <v>2</v>
      </c>
      <c r="BC21" s="399">
        <f>Main!S22</f>
        <v>8.65</v>
      </c>
      <c r="BD21" s="400">
        <v>1</v>
      </c>
    </row>
    <row r="22" spans="1:56">
      <c r="A22" s="44">
        <f>Main!A23</f>
        <v>2022</v>
      </c>
      <c r="B22" s="44" t="str">
        <f>Main!B23</f>
        <v>47_1000</v>
      </c>
      <c r="C22" s="44">
        <v>17</v>
      </c>
      <c r="D22" s="44" t="str">
        <f>Main!$B$6</f>
        <v>McLane-PARFLUX-Mark78H-21 ; frame# 12419-01, controller# 12419-01 and Motor # 12419-01 Cup set AAx21</v>
      </c>
      <c r="E22" s="44">
        <v>1000</v>
      </c>
      <c r="F22" s="393">
        <v>1</v>
      </c>
      <c r="G22" s="398">
        <f>Main!E23</f>
        <v>5.9999999999999947</v>
      </c>
      <c r="H22" s="208">
        <f>Main!I23</f>
        <v>0.70588235294117585</v>
      </c>
      <c r="I22" s="208">
        <f>Main!J23</f>
        <v>0.25782352941176451</v>
      </c>
      <c r="J22" s="520">
        <v>2</v>
      </c>
      <c r="K22" s="399" t="str">
        <f>Main!AF23</f>
        <v>NaN</v>
      </c>
      <c r="L22" s="399" t="str">
        <f>Main!AG23</f>
        <v>NaN</v>
      </c>
      <c r="M22" s="452">
        <v>9</v>
      </c>
      <c r="N22" s="399" t="str">
        <f>Main!M23</f>
        <v>NaN</v>
      </c>
      <c r="O22" s="452">
        <v>9</v>
      </c>
      <c r="P22" s="399" t="str">
        <f>Main!O23</f>
        <v>NaN</v>
      </c>
      <c r="Q22" s="452">
        <v>9</v>
      </c>
      <c r="R22" s="399" t="str">
        <f>Main!AH23</f>
        <v>NaN</v>
      </c>
      <c r="S22" s="452">
        <v>9</v>
      </c>
      <c r="T22" s="399" t="str">
        <f>Main!AB23</f>
        <v>NaN</v>
      </c>
      <c r="U22" s="452">
        <v>9</v>
      </c>
      <c r="V22" s="399" t="str">
        <f>Main!AC23</f>
        <v>NaN</v>
      </c>
      <c r="W22" s="399" t="s">
        <v>3656</v>
      </c>
      <c r="X22" s="399" t="s">
        <v>3656</v>
      </c>
      <c r="Y22" s="399" t="s">
        <v>3656</v>
      </c>
      <c r="Z22" s="399" t="s">
        <v>3656</v>
      </c>
      <c r="AA22" s="399" t="s">
        <v>3656</v>
      </c>
      <c r="AB22" s="399" t="s">
        <v>3656</v>
      </c>
      <c r="AC22" s="63">
        <f>Main!T23</f>
        <v>44968</v>
      </c>
      <c r="AD22" s="63">
        <f>Main!U23</f>
        <v>44985</v>
      </c>
      <c r="AE22" s="63">
        <f>Main!V23</f>
        <v>44976.5</v>
      </c>
      <c r="AF22" s="398">
        <f>Main!H23</f>
        <v>17</v>
      </c>
      <c r="AG22" s="208" t="s">
        <v>3656</v>
      </c>
      <c r="AH22" s="208" t="s">
        <v>3656</v>
      </c>
      <c r="AI22" s="208" t="s">
        <v>3656</v>
      </c>
      <c r="AJ22" s="208" t="s">
        <v>3656</v>
      </c>
      <c r="AK22" s="208" t="s">
        <v>3656</v>
      </c>
      <c r="AL22" s="208" t="s">
        <v>3656</v>
      </c>
      <c r="AM22" s="399">
        <f>depths!$B$2</f>
        <v>1273.5</v>
      </c>
      <c r="AN22" s="44"/>
      <c r="AO22" s="208" t="s">
        <v>3656</v>
      </c>
      <c r="AP22" s="452">
        <v>9</v>
      </c>
      <c r="AQ22" s="208" t="s">
        <v>3656</v>
      </c>
      <c r="AR22" s="452">
        <v>9</v>
      </c>
      <c r="AS22" s="208" t="s">
        <v>3656</v>
      </c>
      <c r="AT22" s="452">
        <v>9</v>
      </c>
      <c r="AU22" s="208" t="s">
        <v>3656</v>
      </c>
      <c r="AV22" s="452">
        <v>9</v>
      </c>
      <c r="AW22" s="208" t="s">
        <v>3656</v>
      </c>
      <c r="AX22" s="452">
        <v>9</v>
      </c>
      <c r="AY22" s="208" t="s">
        <v>3656</v>
      </c>
      <c r="AZ22" s="208" t="s">
        <v>3656</v>
      </c>
      <c r="BA22" s="399">
        <f>Main!R23</f>
        <v>39.516930272554035</v>
      </c>
      <c r="BB22" s="400">
        <v>2</v>
      </c>
      <c r="BC22" s="399">
        <f>Main!S23</f>
        <v>8.65</v>
      </c>
      <c r="BD22" s="400">
        <v>1</v>
      </c>
    </row>
    <row r="23" spans="1:56">
      <c r="A23" s="44">
        <f>Main!A24</f>
        <v>2022</v>
      </c>
      <c r="B23" s="44" t="str">
        <f>Main!B24</f>
        <v>47_1000</v>
      </c>
      <c r="C23" s="44">
        <v>18</v>
      </c>
      <c r="D23" s="44" t="str">
        <f>Main!$B$6</f>
        <v>McLane-PARFLUX-Mark78H-21 ; frame# 12419-01, controller# 12419-01 and Motor # 12419-01 Cup set AAx21</v>
      </c>
      <c r="E23" s="44">
        <v>1000</v>
      </c>
      <c r="F23" s="393">
        <v>1</v>
      </c>
      <c r="G23" s="398">
        <f>Main!E24</f>
        <v>26.999999999999996</v>
      </c>
      <c r="H23" s="208">
        <f>Main!I24</f>
        <v>3.1764705882352935</v>
      </c>
      <c r="I23" s="208">
        <f>Main!J24</f>
        <v>1.1602058823529411</v>
      </c>
      <c r="J23" s="452">
        <v>1</v>
      </c>
      <c r="K23" s="399">
        <f>Main!AF24</f>
        <v>70.446478281874576</v>
      </c>
      <c r="L23" s="399">
        <f>Main!AG24</f>
        <v>8.4532761446834073</v>
      </c>
      <c r="M23" s="452">
        <v>1</v>
      </c>
      <c r="N23" s="399">
        <f>Main!M24</f>
        <v>14.696099281311035</v>
      </c>
      <c r="O23" s="452">
        <v>3</v>
      </c>
      <c r="P23" s="399">
        <f>Main!O24</f>
        <v>1.2483048439025879</v>
      </c>
      <c r="Q23" s="452">
        <v>3</v>
      </c>
      <c r="R23" s="399">
        <f>Main!AH24</f>
        <v>6.2428231366276279</v>
      </c>
      <c r="S23" s="452">
        <v>3</v>
      </c>
      <c r="T23" s="399">
        <f>Main!AB24</f>
        <v>4.2674737577164423</v>
      </c>
      <c r="U23" s="452">
        <v>1</v>
      </c>
      <c r="V23" s="399">
        <f>Main!AC24</f>
        <v>9.1289604165603784</v>
      </c>
      <c r="W23" s="399">
        <f t="shared" si="0"/>
        <v>0.81732418493679604</v>
      </c>
      <c r="X23" s="399">
        <f t="shared" si="1"/>
        <v>9.80754070821548E-2</v>
      </c>
      <c r="Y23" s="399">
        <f t="shared" si="2"/>
        <v>0.17050500833819893</v>
      </c>
      <c r="Z23" s="399">
        <f t="shared" si="3"/>
        <v>1.4482906228654523E-2</v>
      </c>
      <c r="AA23" s="399">
        <f t="shared" si="4"/>
        <v>7.2429601256044127E-2</v>
      </c>
      <c r="AB23" s="399">
        <f t="shared" si="5"/>
        <v>0.10591473575060506</v>
      </c>
      <c r="AC23" s="63">
        <f>Main!T24</f>
        <v>44985</v>
      </c>
      <c r="AD23" s="63">
        <f>Main!U24</f>
        <v>45002</v>
      </c>
      <c r="AE23" s="63">
        <f>Main!V24</f>
        <v>44993.5</v>
      </c>
      <c r="AF23" s="398">
        <f>Main!H24</f>
        <v>17</v>
      </c>
      <c r="AG23" s="208">
        <f t="shared" si="6"/>
        <v>4.9511481564894259E-2</v>
      </c>
      <c r="AH23" s="208">
        <f t="shared" si="7"/>
        <v>1.4196919928243042E-2</v>
      </c>
      <c r="AI23" s="208">
        <f t="shared" si="8"/>
        <v>1.0337549056855476E-3</v>
      </c>
      <c r="AJ23" s="208">
        <f t="shared" si="9"/>
        <v>6.0307744592876045E-3</v>
      </c>
      <c r="AK23" s="208">
        <f t="shared" si="10"/>
        <v>8.1661454689554366E-3</v>
      </c>
      <c r="AL23" s="208">
        <f t="shared" si="11"/>
        <v>1.7626016933034625E-3</v>
      </c>
      <c r="AM23" s="399">
        <f>depths!$B$2</f>
        <v>1273.5</v>
      </c>
      <c r="AN23" s="44"/>
      <c r="AO23" s="399">
        <f t="shared" si="12"/>
        <v>14.196919928243043</v>
      </c>
      <c r="AP23" s="452">
        <v>3</v>
      </c>
      <c r="AQ23" s="399">
        <f t="shared" si="13"/>
        <v>1.0337549056855475</v>
      </c>
      <c r="AR23" s="452">
        <v>3</v>
      </c>
      <c r="AS23" s="399">
        <f t="shared" si="14"/>
        <v>6.0307744592876045</v>
      </c>
      <c r="AT23" s="452">
        <v>3</v>
      </c>
      <c r="AU23" s="399">
        <f t="shared" si="15"/>
        <v>8.1661454689554365</v>
      </c>
      <c r="AV23" s="452">
        <v>1</v>
      </c>
      <c r="AW23" s="399">
        <f t="shared" si="16"/>
        <v>1.7626016933034625</v>
      </c>
      <c r="AX23" s="452">
        <v>1</v>
      </c>
      <c r="AY23" s="399">
        <f t="shared" si="17"/>
        <v>5.8338532916448127</v>
      </c>
      <c r="AZ23" s="399">
        <f t="shared" si="18"/>
        <v>7.8994986374840517</v>
      </c>
      <c r="BA23" s="399">
        <f>Main!R24</f>
        <v>38.646362168235825</v>
      </c>
      <c r="BB23" s="400">
        <v>2</v>
      </c>
      <c r="BC23" s="399">
        <f>Main!S24</f>
        <v>8.66</v>
      </c>
      <c r="BD23" s="400">
        <v>1</v>
      </c>
    </row>
    <row r="24" spans="1:56">
      <c r="A24" s="44">
        <f>Main!A25</f>
        <v>2022</v>
      </c>
      <c r="B24" s="44" t="str">
        <f>Main!B25</f>
        <v>47_1000</v>
      </c>
      <c r="C24" s="44">
        <v>19</v>
      </c>
      <c r="D24" s="44" t="str">
        <f>Main!$B$6</f>
        <v>McLane-PARFLUX-Mark78H-21 ; frame# 12419-01, controller# 12419-01 and Motor # 12419-01 Cup set AAx21</v>
      </c>
      <c r="E24" s="44">
        <v>1000</v>
      </c>
      <c r="F24" s="393">
        <v>1</v>
      </c>
      <c r="G24" s="398">
        <f>Main!E25</f>
        <v>28.428571428571438</v>
      </c>
      <c r="H24" s="208">
        <f>Main!I25</f>
        <v>3.3445378151260514</v>
      </c>
      <c r="I24" s="208">
        <f>Main!J25</f>
        <v>1.2215924369747904</v>
      </c>
      <c r="J24" s="452">
        <v>1</v>
      </c>
      <c r="K24" s="399">
        <f>Main!AF25</f>
        <v>70.987032078938213</v>
      </c>
      <c r="L24" s="399">
        <f>Main!AG25</f>
        <v>8.5181402887695388</v>
      </c>
      <c r="M24" s="452">
        <v>1</v>
      </c>
      <c r="N24" s="399">
        <f>Main!M25</f>
        <v>14.053082466125488</v>
      </c>
      <c r="O24" s="452">
        <v>3</v>
      </c>
      <c r="P24" s="399">
        <f>Main!O25</f>
        <v>0.86163246631622314</v>
      </c>
      <c r="Q24" s="452">
        <v>3</v>
      </c>
      <c r="R24" s="399">
        <f>Main!AH25</f>
        <v>5.5349421773559495</v>
      </c>
      <c r="S24" s="452">
        <v>3</v>
      </c>
      <c r="T24" s="399">
        <f>Main!AB25</f>
        <v>5.1010525235217781</v>
      </c>
      <c r="U24" s="452">
        <v>1</v>
      </c>
      <c r="V24" s="399">
        <f>Main!AC25</f>
        <v>10.912148313934626</v>
      </c>
      <c r="W24" s="399">
        <f t="shared" si="0"/>
        <v>0.86717221510917752</v>
      </c>
      <c r="X24" s="399">
        <f t="shared" si="1"/>
        <v>0.10405695753851125</v>
      </c>
      <c r="Y24" s="399">
        <f t="shared" si="2"/>
        <v>0.17167139256801933</v>
      </c>
      <c r="Z24" s="399">
        <f t="shared" si="3"/>
        <v>1.0525637043038339E-2</v>
      </c>
      <c r="AA24" s="399">
        <f t="shared" si="4"/>
        <v>6.7614435029508063E-2</v>
      </c>
      <c r="AB24" s="399">
        <f t="shared" si="5"/>
        <v>0.13330197851449749</v>
      </c>
      <c r="AC24" s="63">
        <f>Main!T25</f>
        <v>45002</v>
      </c>
      <c r="AD24" s="63">
        <f>Main!U25</f>
        <v>45019</v>
      </c>
      <c r="AE24" s="63">
        <f>Main!V25</f>
        <v>45010.5</v>
      </c>
      <c r="AF24" s="398">
        <f>Main!H25</f>
        <v>17</v>
      </c>
      <c r="AG24" s="208">
        <f t="shared" si="6"/>
        <v>6.2314071833453735E-2</v>
      </c>
      <c r="AH24" s="208">
        <f t="shared" si="7"/>
        <v>1.4294037682599445E-2</v>
      </c>
      <c r="AI24" s="208">
        <f t="shared" si="8"/>
        <v>7.5129457837532756E-4</v>
      </c>
      <c r="AJ24" s="208">
        <f t="shared" si="9"/>
        <v>5.6298447151963416E-3</v>
      </c>
      <c r="AK24" s="208">
        <f t="shared" si="10"/>
        <v>8.6641929674031015E-3</v>
      </c>
      <c r="AL24" s="208">
        <f t="shared" si="11"/>
        <v>2.2183720837826177E-3</v>
      </c>
      <c r="AM24" s="399">
        <f>depths!$B$2</f>
        <v>1273.5</v>
      </c>
      <c r="AN24" s="44"/>
      <c r="AO24" s="399">
        <f t="shared" si="12"/>
        <v>14.294037682599445</v>
      </c>
      <c r="AP24" s="452">
        <v>3</v>
      </c>
      <c r="AQ24" s="399">
        <f t="shared" si="13"/>
        <v>0.75129457837532754</v>
      </c>
      <c r="AR24" s="452">
        <v>3</v>
      </c>
      <c r="AS24" s="399">
        <f t="shared" si="14"/>
        <v>5.6298447151963416</v>
      </c>
      <c r="AT24" s="452">
        <v>3</v>
      </c>
      <c r="AU24" s="399">
        <f t="shared" si="15"/>
        <v>8.6641929674031015</v>
      </c>
      <c r="AV24" s="452">
        <v>1</v>
      </c>
      <c r="AW24" s="399">
        <f t="shared" si="16"/>
        <v>2.2183720837826177</v>
      </c>
      <c r="AX24" s="452">
        <v>1</v>
      </c>
      <c r="AY24" s="399">
        <f t="shared" si="17"/>
        <v>7.4935250130126922</v>
      </c>
      <c r="AZ24" s="399">
        <f t="shared" si="18"/>
        <v>11.53235124648363</v>
      </c>
      <c r="BA24" s="399">
        <f>Main!R25</f>
        <v>39.444323300545072</v>
      </c>
      <c r="BB24" s="400">
        <v>2</v>
      </c>
      <c r="BC24" s="399">
        <f>Main!S25</f>
        <v>8.67</v>
      </c>
      <c r="BD24" s="400">
        <v>1</v>
      </c>
    </row>
    <row r="25" spans="1:56">
      <c r="A25" s="44">
        <f>Main!A26</f>
        <v>2022</v>
      </c>
      <c r="B25" s="44" t="str">
        <f>Main!B26</f>
        <v>47_1000</v>
      </c>
      <c r="C25" s="44">
        <v>20</v>
      </c>
      <c r="D25" s="44" t="str">
        <f>Main!$B$6</f>
        <v>McLane-PARFLUX-Mark78H-21 ; frame# 12419-01, controller# 12419-01 and Motor # 12419-01 Cup set AAx21</v>
      </c>
      <c r="E25" s="44">
        <v>1000</v>
      </c>
      <c r="F25" s="393">
        <v>1</v>
      </c>
      <c r="G25" s="398">
        <f>Main!E26</f>
        <v>25.571428571428577</v>
      </c>
      <c r="H25" s="208">
        <f>Main!I26</f>
        <v>3.0084033613445382</v>
      </c>
      <c r="I25" s="208">
        <f>Main!J26</f>
        <v>1.0988193277310927</v>
      </c>
      <c r="J25" s="452">
        <v>1</v>
      </c>
      <c r="K25" s="399">
        <f>Main!AF26</f>
        <v>64.74330861420539</v>
      </c>
      <c r="L25" s="399">
        <f>Main!AG26</f>
        <v>7.7689201729357862</v>
      </c>
      <c r="M25" s="452">
        <v>1</v>
      </c>
      <c r="N25" s="399">
        <f>Main!M26</f>
        <v>15.229901313781738</v>
      </c>
      <c r="O25" s="452">
        <v>3</v>
      </c>
      <c r="P25" s="399">
        <f>Main!O26</f>
        <v>1.1338266134262085</v>
      </c>
      <c r="Q25" s="452">
        <v>3</v>
      </c>
      <c r="R25" s="399">
        <f>Main!AH26</f>
        <v>7.4609811408459521</v>
      </c>
      <c r="S25" s="452">
        <v>3</v>
      </c>
      <c r="T25" s="399">
        <f>Main!AB26</f>
        <v>5.4600241216327543</v>
      </c>
      <c r="U25" s="452">
        <v>1</v>
      </c>
      <c r="V25" s="399">
        <f>Main!AC26</f>
        <v>11.680058720858391</v>
      </c>
      <c r="W25" s="399">
        <f t="shared" si="0"/>
        <v>0.71141198846547826</v>
      </c>
      <c r="X25" s="399">
        <f t="shared" si="1"/>
        <v>8.5366396416218251E-2</v>
      </c>
      <c r="Y25" s="399">
        <f t="shared" si="2"/>
        <v>0.16734909923020536</v>
      </c>
      <c r="Z25" s="399">
        <f t="shared" si="3"/>
        <v>1.245870597128608E-2</v>
      </c>
      <c r="AA25" s="399">
        <f t="shared" si="4"/>
        <v>8.1982702813987091E-2</v>
      </c>
      <c r="AB25" s="399">
        <f t="shared" si="5"/>
        <v>0.12834274271513305</v>
      </c>
      <c r="AC25" s="63">
        <f>Main!T26</f>
        <v>45019</v>
      </c>
      <c r="AD25" s="63">
        <f>Main!U26</f>
        <v>45036</v>
      </c>
      <c r="AE25" s="63">
        <f>Main!V26</f>
        <v>45027.5</v>
      </c>
      <c r="AF25" s="398">
        <f>Main!H26</f>
        <v>17</v>
      </c>
      <c r="AG25" s="208">
        <f t="shared" si="6"/>
        <v>5.9995800347280526E-2</v>
      </c>
      <c r="AH25" s="208">
        <f t="shared" si="7"/>
        <v>1.3934146480450072E-2</v>
      </c>
      <c r="AI25" s="208">
        <f t="shared" si="8"/>
        <v>8.8927237482413135E-4</v>
      </c>
      <c r="AJ25" s="208">
        <f t="shared" si="9"/>
        <v>6.8262033983336459E-3</v>
      </c>
      <c r="AK25" s="208">
        <f t="shared" si="10"/>
        <v>7.1079430821164242E-3</v>
      </c>
      <c r="AL25" s="208">
        <f t="shared" si="11"/>
        <v>2.1358419489953908E-3</v>
      </c>
      <c r="AM25" s="399">
        <f>depths!$B$2</f>
        <v>1273.5</v>
      </c>
      <c r="AN25" s="44"/>
      <c r="AO25" s="399">
        <f t="shared" si="12"/>
        <v>13.934146480450071</v>
      </c>
      <c r="AP25" s="452">
        <v>3</v>
      </c>
      <c r="AQ25" s="399">
        <f t="shared" si="13"/>
        <v>0.88927237482413135</v>
      </c>
      <c r="AR25" s="452">
        <v>3</v>
      </c>
      <c r="AS25" s="399">
        <f t="shared" si="14"/>
        <v>6.8262033983336456</v>
      </c>
      <c r="AT25" s="452">
        <v>3</v>
      </c>
      <c r="AU25" s="399">
        <f t="shared" si="15"/>
        <v>7.1079430821164244</v>
      </c>
      <c r="AV25" s="452">
        <v>1</v>
      </c>
      <c r="AW25" s="399">
        <f t="shared" si="16"/>
        <v>2.1358419489953908</v>
      </c>
      <c r="AX25" s="452">
        <v>1</v>
      </c>
      <c r="AY25" s="399">
        <f t="shared" si="17"/>
        <v>7.676167158215887</v>
      </c>
      <c r="AZ25" s="399">
        <f t="shared" si="18"/>
        <v>7.9929876192568567</v>
      </c>
      <c r="BA25" s="399">
        <f>Main!R26</f>
        <v>39.516930272554035</v>
      </c>
      <c r="BB25" s="400">
        <v>2</v>
      </c>
      <c r="BC25" s="399">
        <f>Main!S26</f>
        <v>8.66</v>
      </c>
      <c r="BD25" s="400">
        <v>1</v>
      </c>
    </row>
    <row r="26" spans="1:56" s="195" customFormat="1" ht="15" thickBot="1">
      <c r="A26" s="391">
        <f>Main!A27</f>
        <v>2022</v>
      </c>
      <c r="B26" s="391" t="str">
        <f>Main!B27</f>
        <v>47_1000</v>
      </c>
      <c r="C26" s="391">
        <v>21</v>
      </c>
      <c r="D26" s="391" t="str">
        <f>Main!$B$6</f>
        <v>McLane-PARFLUX-Mark78H-21 ; frame# 12419-01, controller# 12419-01 and Motor # 12419-01 Cup set AAx21</v>
      </c>
      <c r="E26" s="391">
        <v>1000</v>
      </c>
      <c r="F26" s="393">
        <v>1</v>
      </c>
      <c r="G26" s="402">
        <f>Main!E27</f>
        <v>22.142857142857146</v>
      </c>
      <c r="H26" s="403">
        <f>Main!I27</f>
        <v>2.6050420168067232</v>
      </c>
      <c r="I26" s="403">
        <f>Main!J27</f>
        <v>0.95149159663865557</v>
      </c>
      <c r="J26" s="518">
        <v>1</v>
      </c>
      <c r="K26" s="404">
        <f>Main!AF27</f>
        <v>70.123018513013619</v>
      </c>
      <c r="L26" s="404">
        <f>Main!AG27</f>
        <v>8.4144623556258971</v>
      </c>
      <c r="M26" s="518">
        <v>1</v>
      </c>
      <c r="N26" s="404">
        <f>Main!M27</f>
        <v>14.040099143981934</v>
      </c>
      <c r="O26" s="452">
        <v>3</v>
      </c>
      <c r="P26" s="404">
        <f>Main!O27</f>
        <v>0.89570164680480957</v>
      </c>
      <c r="Q26" s="452">
        <v>3</v>
      </c>
      <c r="R26" s="404">
        <f>Main!AH27</f>
        <v>5.6256367883560365</v>
      </c>
      <c r="S26" s="452">
        <v>3</v>
      </c>
      <c r="T26" s="404">
        <f>Main!AB27</f>
        <v>5.6766506118327262</v>
      </c>
      <c r="U26" s="518">
        <v>1</v>
      </c>
      <c r="V26" s="404">
        <f>Main!AC27</f>
        <v>12.143465121574531</v>
      </c>
      <c r="W26" s="404">
        <f t="shared" si="0"/>
        <v>0.66721462846069335</v>
      </c>
      <c r="X26" s="404">
        <f t="shared" si="1"/>
        <v>8.0062902216103474E-2</v>
      </c>
      <c r="Y26" s="404">
        <f t="shared" si="2"/>
        <v>0.13359036351472389</v>
      </c>
      <c r="Z26" s="404">
        <f t="shared" si="3"/>
        <v>8.5225259003018135E-3</v>
      </c>
      <c r="AA26" s="404">
        <f t="shared" si="4"/>
        <v>5.3527461298620439E-2</v>
      </c>
      <c r="AB26" s="404">
        <f t="shared" si="5"/>
        <v>0.11554405017252777</v>
      </c>
      <c r="AC26" s="405">
        <f>Main!T27</f>
        <v>45036</v>
      </c>
      <c r="AD26" s="405">
        <f>Main!U27</f>
        <v>45053</v>
      </c>
      <c r="AE26" s="405">
        <f>Main!V27</f>
        <v>45044.5</v>
      </c>
      <c r="AF26" s="402">
        <f>Main!H27</f>
        <v>17</v>
      </c>
      <c r="AG26" s="403">
        <f t="shared" si="6"/>
        <v>5.4012853542125212E-2</v>
      </c>
      <c r="AH26" s="403">
        <f t="shared" si="7"/>
        <v>1.1123260908802989E-2</v>
      </c>
      <c r="AI26" s="403">
        <f t="shared" si="8"/>
        <v>6.0831733763753136E-4</v>
      </c>
      <c r="AJ26" s="403">
        <f t="shared" si="9"/>
        <v>4.456907685147414E-3</v>
      </c>
      <c r="AK26" s="403">
        <f t="shared" si="10"/>
        <v>6.6663532236555766E-3</v>
      </c>
      <c r="AL26" s="403">
        <f t="shared" si="11"/>
        <v>1.9228498947000787E-3</v>
      </c>
      <c r="AM26" s="399">
        <f>depths!$B$2</f>
        <v>1273.5</v>
      </c>
      <c r="AN26" s="391"/>
      <c r="AO26" s="404">
        <f t="shared" si="12"/>
        <v>11.123260908802989</v>
      </c>
      <c r="AP26" s="452">
        <v>3</v>
      </c>
      <c r="AQ26" s="404">
        <f t="shared" si="13"/>
        <v>0.60831733763753137</v>
      </c>
      <c r="AR26" s="452">
        <v>3</v>
      </c>
      <c r="AS26" s="404">
        <f t="shared" si="14"/>
        <v>4.4569076851474136</v>
      </c>
      <c r="AT26" s="452">
        <v>3</v>
      </c>
      <c r="AU26" s="404">
        <f t="shared" si="15"/>
        <v>6.6663532236555767</v>
      </c>
      <c r="AV26" s="518">
        <v>1</v>
      </c>
      <c r="AW26" s="404">
        <f t="shared" si="16"/>
        <v>1.9228498947000787</v>
      </c>
      <c r="AX26" s="518">
        <v>1</v>
      </c>
      <c r="AY26" s="404">
        <f t="shared" si="17"/>
        <v>7.3266162402280273</v>
      </c>
      <c r="AZ26" s="404">
        <f t="shared" si="18"/>
        <v>10.958677011484019</v>
      </c>
      <c r="BA26" s="404">
        <f>Main!R27</f>
        <v>39.516930272554035</v>
      </c>
      <c r="BB26" s="406">
        <v>2</v>
      </c>
      <c r="BC26" s="404">
        <f>Main!S27</f>
        <v>8.65</v>
      </c>
      <c r="BD26" s="400">
        <v>1</v>
      </c>
    </row>
    <row r="27" spans="1:56">
      <c r="A27" s="44">
        <f>Main!A31</f>
        <v>2022</v>
      </c>
      <c r="B27" s="44" t="str">
        <f>Main!B31</f>
        <v>47_2000</v>
      </c>
      <c r="C27" s="44">
        <v>1</v>
      </c>
      <c r="D27" s="44" t="str">
        <f>Main!$B$30</f>
        <v>McLane-PARFLUX-Mark78H-21 ; frame# 12419-02, controller# 12419-02 and Motor # 12419-02 Cup set ABx21</v>
      </c>
      <c r="E27" s="44">
        <v>2000</v>
      </c>
      <c r="F27" s="393">
        <v>1</v>
      </c>
      <c r="G27" s="398">
        <f>Main!E31</f>
        <v>350.42857142857144</v>
      </c>
      <c r="H27" s="208">
        <f>Main!I31</f>
        <v>41.226890756302524</v>
      </c>
      <c r="I27" s="208">
        <f>Main!J31</f>
        <v>15.058121848739498</v>
      </c>
      <c r="J27" s="505">
        <v>3</v>
      </c>
      <c r="K27" s="399">
        <f>Main!AF31</f>
        <v>73.22242712567386</v>
      </c>
      <c r="L27" s="399">
        <f>Main!AG31</f>
        <v>8.7863781351939476</v>
      </c>
      <c r="M27" s="452">
        <v>1</v>
      </c>
      <c r="N27" s="399">
        <f>Main!M31</f>
        <v>14.247434616088867</v>
      </c>
      <c r="O27" s="452">
        <v>1</v>
      </c>
      <c r="P27" s="399">
        <f>Main!O31</f>
        <v>0.78490573167800903</v>
      </c>
      <c r="Q27" s="452">
        <v>1</v>
      </c>
      <c r="R27" s="399">
        <f>Main!AH31</f>
        <v>5.4610564808949196</v>
      </c>
      <c r="S27" s="452">
        <v>1</v>
      </c>
      <c r="T27" s="399">
        <f>Main!AB31</f>
        <v>3.3140649126838242</v>
      </c>
      <c r="U27" s="452">
        <v>1</v>
      </c>
      <c r="V27" s="399">
        <f>Main!AC31</f>
        <v>7.0894325597426491</v>
      </c>
      <c r="W27" s="399">
        <f t="shared" si="0"/>
        <v>11.025922297188453</v>
      </c>
      <c r="X27" s="399">
        <f t="shared" si="1"/>
        <v>1.3230635256885099</v>
      </c>
      <c r="Y27" s="399">
        <f t="shared" si="2"/>
        <v>2.1453960648101522</v>
      </c>
      <c r="Z27" s="399">
        <f t="shared" si="3"/>
        <v>0.11819206147381489</v>
      </c>
      <c r="AA27" s="399">
        <f t="shared" si="4"/>
        <v>0.82233253912164217</v>
      </c>
      <c r="AB27" s="399">
        <f t="shared" si="5"/>
        <v>1.0675353932302598</v>
      </c>
      <c r="AC27" s="63">
        <f>Main!T31</f>
        <v>44696</v>
      </c>
      <c r="AD27" s="63">
        <f>Main!U31</f>
        <v>44713</v>
      </c>
      <c r="AE27" s="63">
        <f>Main!V31</f>
        <v>44704.5</v>
      </c>
      <c r="AF27" s="398">
        <f>Main!H31</f>
        <v>17</v>
      </c>
      <c r="AG27" s="208">
        <f t="shared" si="6"/>
        <v>0.49903593269825253</v>
      </c>
      <c r="AH27" s="208">
        <f t="shared" si="7"/>
        <v>0.17863414361450061</v>
      </c>
      <c r="AI27" s="208">
        <f t="shared" si="8"/>
        <v>8.4362642022708708E-3</v>
      </c>
      <c r="AJ27" s="208">
        <f t="shared" si="9"/>
        <v>6.847065271620667E-2</v>
      </c>
      <c r="AK27" s="208">
        <f t="shared" si="10"/>
        <v>0.11016349089829391</v>
      </c>
      <c r="AL27" s="208">
        <f t="shared" si="11"/>
        <v>1.7765608141625224E-2</v>
      </c>
      <c r="AM27" s="399">
        <f>depths!$B$3</f>
        <v>2270.8000000000002</v>
      </c>
      <c r="AN27" s="44"/>
      <c r="AO27" s="399">
        <f t="shared" si="12"/>
        <v>178.6341436145006</v>
      </c>
      <c r="AP27" s="452">
        <v>3</v>
      </c>
      <c r="AQ27" s="399">
        <f t="shared" si="13"/>
        <v>8.4362642022708716</v>
      </c>
      <c r="AR27" s="452">
        <v>3</v>
      </c>
      <c r="AS27" s="399">
        <f t="shared" si="14"/>
        <v>68.470652716206672</v>
      </c>
      <c r="AT27" s="452">
        <v>3</v>
      </c>
      <c r="AU27" s="399">
        <f t="shared" si="15"/>
        <v>110.16349089829392</v>
      </c>
      <c r="AV27" s="452">
        <v>3</v>
      </c>
      <c r="AW27" s="399">
        <f t="shared" si="16"/>
        <v>17.765608141625226</v>
      </c>
      <c r="AX27" s="452">
        <v>3</v>
      </c>
      <c r="AY27" s="399">
        <f t="shared" si="17"/>
        <v>8.1162290647293567</v>
      </c>
      <c r="AZ27" s="399">
        <f t="shared" si="18"/>
        <v>13.058326322762642</v>
      </c>
      <c r="BA27" s="399">
        <f>Main!R31</f>
        <v>39.516930272554035</v>
      </c>
      <c r="BB27" s="400">
        <v>2</v>
      </c>
      <c r="BC27" s="399">
        <f>Main!S31</f>
        <v>8.5299999999999994</v>
      </c>
      <c r="BD27" s="400">
        <v>1</v>
      </c>
    </row>
    <row r="28" spans="1:56">
      <c r="A28" s="44">
        <f>Main!A32</f>
        <v>2022</v>
      </c>
      <c r="B28" s="44" t="str">
        <f>Main!B32</f>
        <v>47_2000</v>
      </c>
      <c r="C28" s="44">
        <v>2</v>
      </c>
      <c r="D28" s="44" t="str">
        <f>Main!$B$30</f>
        <v>McLane-PARFLUX-Mark78H-21 ; frame# 12419-02, controller# 12419-02 and Motor # 12419-02 Cup set ABx21</v>
      </c>
      <c r="E28" s="44">
        <v>2000</v>
      </c>
      <c r="F28" s="393">
        <v>1</v>
      </c>
      <c r="G28" s="398">
        <f>Main!E32</f>
        <v>292.82857142857142</v>
      </c>
      <c r="H28" s="208">
        <f>Main!I32</f>
        <v>34.450420168067225</v>
      </c>
      <c r="I28" s="208">
        <f>Main!J32</f>
        <v>12.583015966386554</v>
      </c>
      <c r="J28" s="505">
        <v>3</v>
      </c>
      <c r="K28" s="399">
        <f>Main!AF32</f>
        <v>73.803397573722236</v>
      </c>
      <c r="L28" s="399">
        <f>Main!AG32</f>
        <v>8.8560921045651728</v>
      </c>
      <c r="M28" s="452">
        <v>1</v>
      </c>
      <c r="N28" s="399">
        <f>Main!M32</f>
        <v>14.521237373352051</v>
      </c>
      <c r="O28" s="452">
        <v>1</v>
      </c>
      <c r="P28" s="399">
        <f>Main!O32</f>
        <v>0.97619426250457764</v>
      </c>
      <c r="Q28" s="452">
        <v>1</v>
      </c>
      <c r="R28" s="399">
        <f>Main!AH32</f>
        <v>5.665145268786878</v>
      </c>
      <c r="S28" s="452">
        <v>1</v>
      </c>
      <c r="T28" s="399">
        <f>Main!AB32</f>
        <v>3.2412076763807076</v>
      </c>
      <c r="U28" s="452">
        <v>1</v>
      </c>
      <c r="V28" s="399">
        <f>Main!AC32</f>
        <v>6.9335766918375477</v>
      </c>
      <c r="W28" s="399">
        <f t="shared" si="0"/>
        <v>9.2866933004372161</v>
      </c>
      <c r="X28" s="399">
        <f t="shared" si="1"/>
        <v>1.1143634835153349</v>
      </c>
      <c r="Y28" s="399">
        <f t="shared" si="2"/>
        <v>1.8272096172057799</v>
      </c>
      <c r="Z28" s="399">
        <f t="shared" si="3"/>
        <v>0.12283467991390047</v>
      </c>
      <c r="AA28" s="399">
        <f t="shared" si="4"/>
        <v>0.71284613369044536</v>
      </c>
      <c r="AB28" s="399">
        <f t="shared" si="5"/>
        <v>0.87245306217557528</v>
      </c>
      <c r="AC28" s="63">
        <f>Main!T32</f>
        <v>44713</v>
      </c>
      <c r="AD28" s="63">
        <f>Main!U32</f>
        <v>44730</v>
      </c>
      <c r="AE28" s="63">
        <f>Main!V32</f>
        <v>44721.5</v>
      </c>
      <c r="AF28" s="398">
        <f>Main!H32</f>
        <v>17</v>
      </c>
      <c r="AG28" s="208">
        <f t="shared" si="6"/>
        <v>0.40784167942273108</v>
      </c>
      <c r="AH28" s="208">
        <f t="shared" si="7"/>
        <v>0.15214068419698418</v>
      </c>
      <c r="AI28" s="208">
        <f t="shared" si="8"/>
        <v>8.7676431059172354E-3</v>
      </c>
      <c r="AJ28" s="208">
        <f t="shared" si="9"/>
        <v>5.9354382488796452E-2</v>
      </c>
      <c r="AK28" s="208">
        <f t="shared" si="10"/>
        <v>9.2786301708187746E-2</v>
      </c>
      <c r="AL28" s="208">
        <f t="shared" si="11"/>
        <v>1.4519105711026383E-2</v>
      </c>
      <c r="AM28" s="399">
        <f>depths!$B$3</f>
        <v>2270.8000000000002</v>
      </c>
      <c r="AN28" s="44"/>
      <c r="AO28" s="399">
        <f t="shared" si="12"/>
        <v>152.14068419698418</v>
      </c>
      <c r="AP28" s="452">
        <v>3</v>
      </c>
      <c r="AQ28" s="399">
        <f t="shared" si="13"/>
        <v>8.7676431059172355</v>
      </c>
      <c r="AR28" s="452">
        <v>3</v>
      </c>
      <c r="AS28" s="399">
        <f t="shared" si="14"/>
        <v>59.354382488796453</v>
      </c>
      <c r="AT28" s="452">
        <v>3</v>
      </c>
      <c r="AU28" s="399">
        <f t="shared" si="15"/>
        <v>92.78630170818775</v>
      </c>
      <c r="AV28" s="452">
        <v>3</v>
      </c>
      <c r="AW28" s="399">
        <f t="shared" si="16"/>
        <v>14.519105711026382</v>
      </c>
      <c r="AX28" s="452">
        <v>3</v>
      </c>
      <c r="AY28" s="399">
        <f t="shared" si="17"/>
        <v>6.7697078646755706</v>
      </c>
      <c r="AZ28" s="399">
        <f t="shared" si="18"/>
        <v>10.582810065063754</v>
      </c>
      <c r="BA28" s="399">
        <f>Main!R32</f>
        <v>39.154003437760188</v>
      </c>
      <c r="BB28" s="400">
        <v>2</v>
      </c>
      <c r="BC28" s="399">
        <f>Main!S32</f>
        <v>8.5399999999999991</v>
      </c>
      <c r="BD28" s="400">
        <v>1</v>
      </c>
    </row>
    <row r="29" spans="1:56">
      <c r="A29" s="44">
        <f>Main!A33</f>
        <v>2022</v>
      </c>
      <c r="B29" s="44" t="str">
        <f>Main!B33</f>
        <v>47_2000</v>
      </c>
      <c r="C29" s="44">
        <v>3</v>
      </c>
      <c r="D29" s="44" t="str">
        <f>Main!$B$30</f>
        <v>McLane-PARFLUX-Mark78H-21 ; frame# 12419-02, controller# 12419-02 and Motor # 12419-02 Cup set ABx21</v>
      </c>
      <c r="E29" s="44">
        <v>2000</v>
      </c>
      <c r="F29" s="393">
        <v>1</v>
      </c>
      <c r="G29" s="398">
        <f>Main!E33</f>
        <v>196.11428571428573</v>
      </c>
      <c r="H29" s="208">
        <f>Main!I33</f>
        <v>23.072268907563029</v>
      </c>
      <c r="I29" s="208">
        <f>Main!J33</f>
        <v>8.4271462184873958</v>
      </c>
      <c r="J29" s="505">
        <v>3</v>
      </c>
      <c r="K29" s="399">
        <f>Main!AF33</f>
        <v>71.855473522521095</v>
      </c>
      <c r="L29" s="399">
        <f>Main!AG33</f>
        <v>8.6223495482973131</v>
      </c>
      <c r="M29" s="452">
        <v>1</v>
      </c>
      <c r="N29" s="399">
        <f>Main!M33</f>
        <v>14.124810218811035</v>
      </c>
      <c r="O29" s="452">
        <v>1</v>
      </c>
      <c r="P29" s="399">
        <f>Main!O33</f>
        <v>0.89117813110351563</v>
      </c>
      <c r="Q29" s="452">
        <v>1</v>
      </c>
      <c r="R29" s="399">
        <f>Main!AH33</f>
        <v>5.502460670513722</v>
      </c>
      <c r="S29" s="452">
        <v>1</v>
      </c>
      <c r="T29" s="399">
        <f>Main!AB33</f>
        <v>3.26793294016983</v>
      </c>
      <c r="U29" s="452">
        <v>1</v>
      </c>
      <c r="V29" s="399">
        <f>Main!AC33</f>
        <v>6.9907472543540434</v>
      </c>
      <c r="W29" s="399">
        <f t="shared" si="0"/>
        <v>6.0553658197293485</v>
      </c>
      <c r="X29" s="399">
        <f t="shared" si="1"/>
        <v>0.72661800390410203</v>
      </c>
      <c r="Y29" s="399">
        <f t="shared" si="2"/>
        <v>1.1903184102230553</v>
      </c>
      <c r="Z29" s="399">
        <f t="shared" si="3"/>
        <v>7.5100884175276564E-2</v>
      </c>
      <c r="AA29" s="399">
        <f t="shared" si="4"/>
        <v>0.46370040631895337</v>
      </c>
      <c r="AB29" s="399">
        <f t="shared" si="5"/>
        <v>0.58912049288930823</v>
      </c>
      <c r="AC29" s="63">
        <f>Main!T33</f>
        <v>44730</v>
      </c>
      <c r="AD29" s="63">
        <f>Main!U33</f>
        <v>44747</v>
      </c>
      <c r="AE29" s="63">
        <f>Main!V33</f>
        <v>44738.5</v>
      </c>
      <c r="AF29" s="398">
        <f>Main!H33</f>
        <v>17</v>
      </c>
      <c r="AG29" s="208">
        <f t="shared" si="6"/>
        <v>0.27539348719022577</v>
      </c>
      <c r="AH29" s="208">
        <f t="shared" si="7"/>
        <v>9.9110608678022918E-2</v>
      </c>
      <c r="AI29" s="208">
        <f t="shared" si="8"/>
        <v>5.3605199268577132E-3</v>
      </c>
      <c r="AJ29" s="208">
        <f t="shared" si="9"/>
        <v>3.8609525921644745E-2</v>
      </c>
      <c r="AK29" s="208">
        <f t="shared" si="10"/>
        <v>6.0501082756378187E-2</v>
      </c>
      <c r="AL29" s="208">
        <f t="shared" si="11"/>
        <v>9.8039689280963252E-3</v>
      </c>
      <c r="AM29" s="399">
        <f>depths!$B$3</f>
        <v>2270.8000000000002</v>
      </c>
      <c r="AN29" s="44"/>
      <c r="AO29" s="399">
        <f t="shared" si="12"/>
        <v>99.110608678022913</v>
      </c>
      <c r="AP29" s="452">
        <v>3</v>
      </c>
      <c r="AQ29" s="399">
        <f t="shared" si="13"/>
        <v>5.3605199268577133</v>
      </c>
      <c r="AR29" s="452">
        <v>3</v>
      </c>
      <c r="AS29" s="399">
        <f t="shared" si="14"/>
        <v>38.609525921644746</v>
      </c>
      <c r="AT29" s="452">
        <v>3</v>
      </c>
      <c r="AU29" s="399">
        <f t="shared" si="15"/>
        <v>60.501082756378189</v>
      </c>
      <c r="AV29" s="452">
        <v>3</v>
      </c>
      <c r="AW29" s="399">
        <f t="shared" si="16"/>
        <v>9.8039689280963245</v>
      </c>
      <c r="AX29" s="452">
        <v>3</v>
      </c>
      <c r="AY29" s="399">
        <f t="shared" si="17"/>
        <v>7.2025711028887622</v>
      </c>
      <c r="AZ29" s="399">
        <f t="shared" si="18"/>
        <v>11.286420642380367</v>
      </c>
      <c r="BA29" s="399">
        <f>Main!R33</f>
        <v>39.662176507611733</v>
      </c>
      <c r="BB29" s="400">
        <v>2</v>
      </c>
      <c r="BC29" s="399">
        <f>Main!S33</f>
        <v>8.6</v>
      </c>
      <c r="BD29" s="400">
        <v>1</v>
      </c>
    </row>
    <row r="30" spans="1:56">
      <c r="A30" s="44">
        <f>Main!A34</f>
        <v>2022</v>
      </c>
      <c r="B30" s="44" t="str">
        <f>Main!B34</f>
        <v>47_2000</v>
      </c>
      <c r="C30" s="44">
        <v>4</v>
      </c>
      <c r="D30" s="44" t="str">
        <f>Main!$B$30</f>
        <v>McLane-PARFLUX-Mark78H-21 ; frame# 12419-02, controller# 12419-02 and Motor # 12419-02 Cup set ABx21</v>
      </c>
      <c r="E30" s="44">
        <v>2000</v>
      </c>
      <c r="F30" s="393">
        <v>1</v>
      </c>
      <c r="G30" s="398">
        <f>Main!E34</f>
        <v>128.21428571428572</v>
      </c>
      <c r="H30" s="208">
        <f>Main!I34</f>
        <v>15.08403361344538</v>
      </c>
      <c r="I30" s="208">
        <f>Main!J34</f>
        <v>5.5094432773109254</v>
      </c>
      <c r="J30" s="505">
        <v>3</v>
      </c>
      <c r="K30" s="399">
        <f>Main!AF34</f>
        <v>70.84442953702181</v>
      </c>
      <c r="L30" s="399">
        <f>Main!AG34</f>
        <v>8.5010285935485257</v>
      </c>
      <c r="M30" s="452">
        <v>1</v>
      </c>
      <c r="N30" s="399">
        <f>Main!M34</f>
        <v>13.998252868652344</v>
      </c>
      <c r="O30" s="452">
        <v>1</v>
      </c>
      <c r="P30" s="399">
        <f>Main!O34</f>
        <v>0.89602220058441162</v>
      </c>
      <c r="Q30" s="452">
        <v>1</v>
      </c>
      <c r="R30" s="399">
        <f>Main!AH34</f>
        <v>5.4972242751038181</v>
      </c>
      <c r="S30" s="452">
        <v>1</v>
      </c>
      <c r="T30" s="399">
        <f>Main!AB34</f>
        <v>3.793839700254102</v>
      </c>
      <c r="U30" s="452">
        <v>1</v>
      </c>
      <c r="V30" s="399">
        <f>Main!AC34</f>
        <v>8.1157645990839811</v>
      </c>
      <c r="W30" s="399">
        <f t="shared" si="0"/>
        <v>3.9031336604767239</v>
      </c>
      <c r="X30" s="399">
        <f t="shared" si="1"/>
        <v>0.4683593483495388</v>
      </c>
      <c r="Y30" s="399">
        <f t="shared" si="2"/>
        <v>0.7712258016129504</v>
      </c>
      <c r="Z30" s="399">
        <f t="shared" si="3"/>
        <v>4.9365834893311276E-2</v>
      </c>
      <c r="AA30" s="399">
        <f t="shared" si="4"/>
        <v>0.30286645326341155</v>
      </c>
      <c r="AB30" s="399">
        <f t="shared" si="5"/>
        <v>0.4471334471066124</v>
      </c>
      <c r="AC30" s="63">
        <f>Main!T34</f>
        <v>44747</v>
      </c>
      <c r="AD30" s="63">
        <f>Main!U34</f>
        <v>44764</v>
      </c>
      <c r="AE30" s="63">
        <f>Main!V34</f>
        <v>44755.5</v>
      </c>
      <c r="AF30" s="398">
        <f>Main!H34</f>
        <v>17</v>
      </c>
      <c r="AG30" s="208">
        <f t="shared" si="6"/>
        <v>0.20901944631760261</v>
      </c>
      <c r="AH30" s="208">
        <f t="shared" si="7"/>
        <v>6.4215304047706118E-2</v>
      </c>
      <c r="AI30" s="208">
        <f t="shared" si="8"/>
        <v>3.5236141965247166E-3</v>
      </c>
      <c r="AJ30" s="208">
        <f t="shared" si="9"/>
        <v>2.5217856225096716E-2</v>
      </c>
      <c r="AK30" s="208">
        <f t="shared" si="10"/>
        <v>3.8997447822609395E-2</v>
      </c>
      <c r="AL30" s="208">
        <f t="shared" si="11"/>
        <v>7.4410625246565543E-3</v>
      </c>
      <c r="AM30" s="399">
        <f>depths!$B$3</f>
        <v>2270.8000000000002</v>
      </c>
      <c r="AN30" s="44"/>
      <c r="AO30" s="399">
        <f t="shared" si="12"/>
        <v>64.215304047706113</v>
      </c>
      <c r="AP30" s="452">
        <v>3</v>
      </c>
      <c r="AQ30" s="399">
        <f t="shared" si="13"/>
        <v>3.5236141965247167</v>
      </c>
      <c r="AR30" s="452">
        <v>3</v>
      </c>
      <c r="AS30" s="399">
        <f t="shared" si="14"/>
        <v>25.217856225096718</v>
      </c>
      <c r="AT30" s="452">
        <v>3</v>
      </c>
      <c r="AU30" s="399">
        <f t="shared" si="15"/>
        <v>38.997447822609395</v>
      </c>
      <c r="AV30" s="452">
        <v>3</v>
      </c>
      <c r="AW30" s="399">
        <f t="shared" si="16"/>
        <v>7.4410625246565543</v>
      </c>
      <c r="AX30" s="452">
        <v>3</v>
      </c>
      <c r="AY30" s="399">
        <f t="shared" si="17"/>
        <v>7.1568153658731077</v>
      </c>
      <c r="AZ30" s="399">
        <f t="shared" si="18"/>
        <v>11.067456778063825</v>
      </c>
      <c r="BA30" s="399">
        <f>Main!R34</f>
        <v>39.734815737579275</v>
      </c>
      <c r="BB30" s="400">
        <v>2</v>
      </c>
      <c r="BC30" s="399">
        <f>Main!S34</f>
        <v>8.59</v>
      </c>
      <c r="BD30" s="400">
        <v>1</v>
      </c>
    </row>
    <row r="31" spans="1:56">
      <c r="A31" s="44">
        <f>Main!A35</f>
        <v>2022</v>
      </c>
      <c r="B31" s="44" t="str">
        <f>Main!B35</f>
        <v>47_2000</v>
      </c>
      <c r="C31" s="44">
        <v>5</v>
      </c>
      <c r="D31" s="44" t="str">
        <f>Main!$B$30</f>
        <v>McLane-PARFLUX-Mark78H-21 ; frame# 12419-02, controller# 12419-02 and Motor # 12419-02 Cup set ABx21</v>
      </c>
      <c r="E31" s="44">
        <v>2000</v>
      </c>
      <c r="F31" s="393">
        <v>1</v>
      </c>
      <c r="G31" s="398">
        <f>Main!E35</f>
        <v>361.92857142857133</v>
      </c>
      <c r="H31" s="208">
        <f>Main!I35</f>
        <v>42.579831932773097</v>
      </c>
      <c r="I31" s="208">
        <f>Main!J35</f>
        <v>15.552283613445374</v>
      </c>
      <c r="J31" s="505">
        <v>3</v>
      </c>
      <c r="K31" s="399">
        <f>Main!AF35</f>
        <v>72.170712113184663</v>
      </c>
      <c r="L31" s="399">
        <f>Main!AG35</f>
        <v>8.6601768311272291</v>
      </c>
      <c r="M31" s="452">
        <v>1</v>
      </c>
      <c r="N31" s="399">
        <f>Main!M35</f>
        <v>13.26401424407959</v>
      </c>
      <c r="O31" s="452">
        <v>1</v>
      </c>
      <c r="P31" s="399">
        <f>Main!O35</f>
        <v>0.72803771495819092</v>
      </c>
      <c r="Q31" s="452">
        <v>1</v>
      </c>
      <c r="R31" s="399">
        <f>Main!AH35</f>
        <v>4.6038374129523607</v>
      </c>
      <c r="S31" s="452">
        <v>1</v>
      </c>
      <c r="T31" s="399">
        <f>Main!AB35</f>
        <v>4.1620038469748124</v>
      </c>
      <c r="U31" s="452">
        <v>1</v>
      </c>
      <c r="V31" s="399">
        <f>Main!AC35</f>
        <v>8.9033396641052516</v>
      </c>
      <c r="W31" s="399">
        <f t="shared" si="0"/>
        <v>11.224193833685653</v>
      </c>
      <c r="X31" s="399">
        <f t="shared" si="1"/>
        <v>1.3468552622027929</v>
      </c>
      <c r="Y31" s="399">
        <f t="shared" si="2"/>
        <v>2.0628571137670502</v>
      </c>
      <c r="Z31" s="399">
        <f t="shared" si="3"/>
        <v>0.11322649024314486</v>
      </c>
      <c r="AA31" s="399">
        <f t="shared" si="4"/>
        <v>0.71600185156425744</v>
      </c>
      <c r="AB31" s="399">
        <f t="shared" si="5"/>
        <v>1.3846726356300234</v>
      </c>
      <c r="AC31" s="63">
        <f>Main!T35</f>
        <v>44764</v>
      </c>
      <c r="AD31" s="63">
        <f>Main!U35</f>
        <v>44781</v>
      </c>
      <c r="AE31" s="63">
        <f>Main!V35</f>
        <v>44772.5</v>
      </c>
      <c r="AF31" s="398">
        <f>Main!H35</f>
        <v>17</v>
      </c>
      <c r="AG31" s="208">
        <f t="shared" si="6"/>
        <v>0.64728664228402988</v>
      </c>
      <c r="AH31" s="208">
        <f t="shared" si="7"/>
        <v>0.17176162479325979</v>
      </c>
      <c r="AI31" s="208">
        <f t="shared" si="8"/>
        <v>8.0818337075763639E-3</v>
      </c>
      <c r="AJ31" s="208">
        <f t="shared" si="9"/>
        <v>5.9617140013676725E-2</v>
      </c>
      <c r="AK31" s="208">
        <f t="shared" si="10"/>
        <v>0.1121444847795831</v>
      </c>
      <c r="AL31" s="208">
        <f t="shared" si="11"/>
        <v>2.3043312292062294E-2</v>
      </c>
      <c r="AM31" s="399">
        <f>depths!$B$3</f>
        <v>2270.8000000000002</v>
      </c>
      <c r="AN31" s="44"/>
      <c r="AO31" s="399">
        <f t="shared" si="12"/>
        <v>171.76162479325978</v>
      </c>
      <c r="AP31" s="452">
        <v>3</v>
      </c>
      <c r="AQ31" s="399">
        <f t="shared" si="13"/>
        <v>8.0818337075763633</v>
      </c>
      <c r="AR31" s="452">
        <v>3</v>
      </c>
      <c r="AS31" s="399">
        <f t="shared" si="14"/>
        <v>59.617140013676725</v>
      </c>
      <c r="AT31" s="452">
        <v>3</v>
      </c>
      <c r="AU31" s="399">
        <f t="shared" si="15"/>
        <v>112.1444847795831</v>
      </c>
      <c r="AV31" s="452">
        <v>3</v>
      </c>
      <c r="AW31" s="399">
        <f t="shared" si="16"/>
        <v>23.043312292062293</v>
      </c>
      <c r="AX31" s="452">
        <v>3</v>
      </c>
      <c r="AY31" s="399">
        <f t="shared" si="17"/>
        <v>7.3766848181729205</v>
      </c>
      <c r="AZ31" s="399">
        <f t="shared" si="18"/>
        <v>13.876118816259803</v>
      </c>
      <c r="BA31" s="399">
        <f>Main!R35</f>
        <v>38.791347926916671</v>
      </c>
      <c r="BB31" s="400">
        <v>2</v>
      </c>
      <c r="BC31" s="399">
        <f>Main!S35</f>
        <v>8.59</v>
      </c>
      <c r="BD31" s="400">
        <v>1</v>
      </c>
    </row>
    <row r="32" spans="1:56">
      <c r="A32" s="44">
        <f>Main!A36</f>
        <v>2022</v>
      </c>
      <c r="B32" s="44" t="str">
        <f>Main!B36</f>
        <v>47_2000</v>
      </c>
      <c r="C32" s="44">
        <v>6</v>
      </c>
      <c r="D32" s="44" t="str">
        <f>Main!$B$30</f>
        <v>McLane-PARFLUX-Mark78H-21 ; frame# 12419-02, controller# 12419-02 and Motor # 12419-02 Cup set ABx21</v>
      </c>
      <c r="E32" s="44">
        <v>2000</v>
      </c>
      <c r="F32" s="393">
        <v>1</v>
      </c>
      <c r="G32" s="398">
        <f>Main!E36</f>
        <v>217.92857142857144</v>
      </c>
      <c r="H32" s="208">
        <f>Main!I36</f>
        <v>25.638655462184875</v>
      </c>
      <c r="I32" s="208">
        <f>Main!J36</f>
        <v>9.364518907563026</v>
      </c>
      <c r="J32" s="505">
        <v>3</v>
      </c>
      <c r="K32" s="399">
        <f>Main!AF36</f>
        <v>71.421985541200854</v>
      </c>
      <c r="L32" s="399">
        <f>Main!AG36</f>
        <v>8.5703328442565638</v>
      </c>
      <c r="M32" s="452">
        <v>1</v>
      </c>
      <c r="N32" s="399">
        <f>Main!M36</f>
        <v>13.046916007995605</v>
      </c>
      <c r="O32" s="452">
        <v>1</v>
      </c>
      <c r="P32" s="399">
        <f>Main!O36</f>
        <v>0.71530050039291382</v>
      </c>
      <c r="Q32" s="452">
        <v>1</v>
      </c>
      <c r="R32" s="399">
        <f>Main!AH36</f>
        <v>4.4765831637390416</v>
      </c>
      <c r="S32" s="452">
        <v>1</v>
      </c>
      <c r="T32" s="399">
        <f>Main!AB36</f>
        <v>5.2782304471750763</v>
      </c>
      <c r="U32" s="452">
        <v>1</v>
      </c>
      <c r="V32" s="399">
        <f>Main!AC36</f>
        <v>11.291166520852631</v>
      </c>
      <c r="W32" s="399">
        <f t="shared" si="0"/>
        <v>6.6883253401626845</v>
      </c>
      <c r="X32" s="399">
        <f t="shared" si="1"/>
        <v>0.80257043964148989</v>
      </c>
      <c r="Y32" s="399">
        <f t="shared" si="2"/>
        <v>1.2217809164226154</v>
      </c>
      <c r="Z32" s="399">
        <f t="shared" si="3"/>
        <v>6.6984450605187346E-2</v>
      </c>
      <c r="AA32" s="399">
        <f t="shared" si="4"/>
        <v>0.41921047678112566</v>
      </c>
      <c r="AB32" s="399">
        <f t="shared" si="5"/>
        <v>1.057363423729671</v>
      </c>
      <c r="AC32" s="63">
        <f>Main!T36</f>
        <v>44781</v>
      </c>
      <c r="AD32" s="63">
        <f>Main!U36</f>
        <v>44798</v>
      </c>
      <c r="AE32" s="63">
        <f>Main!V36</f>
        <v>44789.5</v>
      </c>
      <c r="AF32" s="398">
        <f>Main!H36</f>
        <v>17</v>
      </c>
      <c r="AG32" s="208">
        <f t="shared" si="6"/>
        <v>0.49428088821045851</v>
      </c>
      <c r="AH32" s="208">
        <f t="shared" si="7"/>
        <v>0.10173030111761994</v>
      </c>
      <c r="AI32" s="208">
        <f t="shared" si="8"/>
        <v>4.7811884800276483E-3</v>
      </c>
      <c r="AJ32" s="208">
        <f t="shared" si="9"/>
        <v>3.4905118799427613E-2</v>
      </c>
      <c r="AK32" s="208">
        <f t="shared" si="10"/>
        <v>6.682518231819233E-2</v>
      </c>
      <c r="AL32" s="208">
        <f t="shared" si="11"/>
        <v>1.7596329234975384E-2</v>
      </c>
      <c r="AM32" s="399">
        <f>depths!$B$3</f>
        <v>2270.8000000000002</v>
      </c>
      <c r="AN32" s="44"/>
      <c r="AO32" s="399">
        <f t="shared" si="12"/>
        <v>101.73030111761993</v>
      </c>
      <c r="AP32" s="452">
        <v>3</v>
      </c>
      <c r="AQ32" s="399">
        <f t="shared" si="13"/>
        <v>4.7811884800276481</v>
      </c>
      <c r="AR32" s="452">
        <v>3</v>
      </c>
      <c r="AS32" s="399">
        <f t="shared" si="14"/>
        <v>34.905118799427612</v>
      </c>
      <c r="AT32" s="452">
        <v>3</v>
      </c>
      <c r="AU32" s="399">
        <f t="shared" si="15"/>
        <v>66.825182318192333</v>
      </c>
      <c r="AV32" s="452">
        <v>3</v>
      </c>
      <c r="AW32" s="399">
        <f t="shared" si="16"/>
        <v>17.596329234975382</v>
      </c>
      <c r="AX32" s="452">
        <v>3</v>
      </c>
      <c r="AY32" s="399">
        <f t="shared" si="17"/>
        <v>7.3005109389090155</v>
      </c>
      <c r="AZ32" s="399">
        <f t="shared" si="18"/>
        <v>13.976688557110784</v>
      </c>
      <c r="BA32" s="399">
        <f>Main!R36</f>
        <v>39.299141730671622</v>
      </c>
      <c r="BB32" s="400">
        <v>2</v>
      </c>
      <c r="BC32" s="399">
        <f>Main!S36</f>
        <v>8.6</v>
      </c>
      <c r="BD32" s="400">
        <v>1</v>
      </c>
    </row>
    <row r="33" spans="1:56">
      <c r="A33" s="44">
        <f>Main!A37</f>
        <v>2022</v>
      </c>
      <c r="B33" s="44" t="str">
        <f>Main!B37</f>
        <v>47_2000</v>
      </c>
      <c r="C33" s="44">
        <v>7</v>
      </c>
      <c r="D33" s="44" t="str">
        <f>Main!$B$30</f>
        <v>McLane-PARFLUX-Mark78H-21 ; frame# 12419-02, controller# 12419-02 and Motor # 12419-02 Cup set ABx21</v>
      </c>
      <c r="E33" s="44">
        <v>2000</v>
      </c>
      <c r="F33" s="393">
        <v>1</v>
      </c>
      <c r="G33" s="398">
        <f>Main!E37</f>
        <v>240.57142857142853</v>
      </c>
      <c r="H33" s="208">
        <f>Main!I37</f>
        <v>28.302521008403357</v>
      </c>
      <c r="I33" s="208">
        <f>Main!J37</f>
        <v>10.337495798319326</v>
      </c>
      <c r="J33" s="505">
        <v>3</v>
      </c>
      <c r="K33" s="399">
        <f>Main!AF37</f>
        <v>69.913179121790151</v>
      </c>
      <c r="L33" s="399">
        <f>Main!AG37</f>
        <v>8.3892825260118933</v>
      </c>
      <c r="M33" s="452">
        <v>1</v>
      </c>
      <c r="N33" s="399">
        <f>Main!M37</f>
        <v>13.122382164001465</v>
      </c>
      <c r="O33" s="452">
        <v>1</v>
      </c>
      <c r="P33" s="399">
        <f>Main!O37</f>
        <v>0.75174504518508911</v>
      </c>
      <c r="Q33" s="452">
        <v>1</v>
      </c>
      <c r="R33" s="399">
        <f>Main!AH37</f>
        <v>4.7330996379895716</v>
      </c>
      <c r="S33" s="452">
        <v>1</v>
      </c>
      <c r="T33" s="399">
        <f>Main!AB37</f>
        <v>5.5786419239799363</v>
      </c>
      <c r="U33" s="452">
        <v>1</v>
      </c>
      <c r="V33" s="399">
        <f>Main!AC37</f>
        <v>11.933805383124044</v>
      </c>
      <c r="W33" s="399">
        <f t="shared" si="0"/>
        <v>7.2272719541865209</v>
      </c>
      <c r="X33" s="399">
        <f t="shared" si="1"/>
        <v>0.86724172863561688</v>
      </c>
      <c r="Y33" s="399">
        <f t="shared" si="2"/>
        <v>1.3565257048430559</v>
      </c>
      <c r="Z33" s="399">
        <f t="shared" si="3"/>
        <v>7.7711612460082305E-2</v>
      </c>
      <c r="AA33" s="399">
        <f t="shared" si="4"/>
        <v>0.48928397620743913</v>
      </c>
      <c r="AB33" s="399">
        <f t="shared" si="5"/>
        <v>1.2336566300600535</v>
      </c>
      <c r="AC33" s="63">
        <f>Main!T37</f>
        <v>44798</v>
      </c>
      <c r="AD33" s="63">
        <f>Main!U37</f>
        <v>44815</v>
      </c>
      <c r="AE33" s="63">
        <f>Main!V37</f>
        <v>44806.5</v>
      </c>
      <c r="AF33" s="398">
        <f>Main!H37</f>
        <v>17</v>
      </c>
      <c r="AG33" s="208">
        <f t="shared" si="6"/>
        <v>0.57669187449470638</v>
      </c>
      <c r="AH33" s="208">
        <f t="shared" si="7"/>
        <v>0.11294968400025444</v>
      </c>
      <c r="AI33" s="208">
        <f t="shared" si="8"/>
        <v>5.5468674132821061E-3</v>
      </c>
      <c r="AJ33" s="208">
        <f t="shared" si="9"/>
        <v>4.0739714921518663E-2</v>
      </c>
      <c r="AK33" s="208">
        <f t="shared" si="10"/>
        <v>7.2209969078735795E-2</v>
      </c>
      <c r="AL33" s="208">
        <f t="shared" si="11"/>
        <v>2.0530148611417103E-2</v>
      </c>
      <c r="AM33" s="399">
        <f>depths!$B$3</f>
        <v>2270.8000000000002</v>
      </c>
      <c r="AN33" s="44"/>
      <c r="AO33" s="399">
        <f t="shared" si="12"/>
        <v>112.94968400025445</v>
      </c>
      <c r="AP33" s="452">
        <v>3</v>
      </c>
      <c r="AQ33" s="399">
        <f t="shared" si="13"/>
        <v>5.5468674132821061</v>
      </c>
      <c r="AR33" s="452">
        <v>3</v>
      </c>
      <c r="AS33" s="399">
        <f t="shared" si="14"/>
        <v>40.739714921518662</v>
      </c>
      <c r="AT33" s="452">
        <v>3</v>
      </c>
      <c r="AU33" s="399">
        <f t="shared" si="15"/>
        <v>72.209969078735796</v>
      </c>
      <c r="AV33" s="452">
        <v>3</v>
      </c>
      <c r="AW33" s="399">
        <f t="shared" si="16"/>
        <v>20.530148611417104</v>
      </c>
      <c r="AX33" s="452">
        <v>3</v>
      </c>
      <c r="AY33" s="399">
        <f t="shared" si="17"/>
        <v>7.3446347075047163</v>
      </c>
      <c r="AZ33" s="399">
        <f t="shared" si="18"/>
        <v>13.018153076063673</v>
      </c>
      <c r="BA33" s="399">
        <f>Main!R37</f>
        <v>39.807465687206999</v>
      </c>
      <c r="BB33" s="400">
        <v>2</v>
      </c>
      <c r="BC33" s="399">
        <f>Main!S37</f>
        <v>8.6199999999999992</v>
      </c>
      <c r="BD33" s="400">
        <v>1</v>
      </c>
    </row>
    <row r="34" spans="1:56">
      <c r="A34" s="44">
        <f>Main!A38</f>
        <v>2022</v>
      </c>
      <c r="B34" s="44" t="str">
        <f>Main!B38</f>
        <v>47_2000</v>
      </c>
      <c r="C34" s="44">
        <v>8</v>
      </c>
      <c r="D34" s="44" t="str">
        <f>Main!$B$30</f>
        <v>McLane-PARFLUX-Mark78H-21 ; frame# 12419-02, controller# 12419-02 and Motor # 12419-02 Cup set ABx21</v>
      </c>
      <c r="E34" s="44">
        <v>2000</v>
      </c>
      <c r="F34" s="393">
        <v>1</v>
      </c>
      <c r="G34" s="398">
        <f>Main!E38</f>
        <v>370.7714285714286</v>
      </c>
      <c r="H34" s="208">
        <f>Main!I38</f>
        <v>43.620168067226892</v>
      </c>
      <c r="I34" s="208">
        <f>Main!J38</f>
        <v>15.932266386554625</v>
      </c>
      <c r="J34" s="505">
        <v>3</v>
      </c>
      <c r="K34" s="399">
        <f>Main!AF38</f>
        <v>69.919599299434765</v>
      </c>
      <c r="L34" s="399">
        <f>Main!AG38</f>
        <v>8.3900529198747442</v>
      </c>
      <c r="M34" s="452">
        <v>1</v>
      </c>
      <c r="N34" s="399">
        <f>Main!M38</f>
        <v>12.903997421264648</v>
      </c>
      <c r="O34" s="452">
        <v>1</v>
      </c>
      <c r="P34" s="399">
        <f>Main!O38</f>
        <v>0.71574407815933228</v>
      </c>
      <c r="Q34" s="452">
        <v>1</v>
      </c>
      <c r="R34" s="399">
        <f>Main!AH38</f>
        <v>4.5139445013899042</v>
      </c>
      <c r="S34" s="452">
        <v>1</v>
      </c>
      <c r="T34" s="399">
        <f>Main!AB38</f>
        <v>6.1372690011809432</v>
      </c>
      <c r="U34" s="452">
        <v>1</v>
      </c>
      <c r="V34" s="399">
        <f>Main!AC38</f>
        <v>13.128817881130752</v>
      </c>
      <c r="W34" s="399">
        <f t="shared" si="0"/>
        <v>11.139776816797529</v>
      </c>
      <c r="X34" s="399">
        <f t="shared" si="1"/>
        <v>1.3367255811673486</v>
      </c>
      <c r="Y34" s="399">
        <f t="shared" si="2"/>
        <v>2.0558992436700234</v>
      </c>
      <c r="Z34" s="399">
        <f t="shared" si="3"/>
        <v>0.11403425317833456</v>
      </c>
      <c r="AA34" s="399">
        <f t="shared" si="4"/>
        <v>0.71917366250267445</v>
      </c>
      <c r="AB34" s="399">
        <f t="shared" si="5"/>
        <v>2.0917182382273682</v>
      </c>
      <c r="AC34" s="63">
        <f>Main!T38</f>
        <v>44815</v>
      </c>
      <c r="AD34" s="63">
        <f>Main!U38</f>
        <v>44832</v>
      </c>
      <c r="AE34" s="63">
        <f>Main!V38</f>
        <v>44823.5</v>
      </c>
      <c r="AF34" s="398">
        <f>Main!H38</f>
        <v>17</v>
      </c>
      <c r="AG34" s="208">
        <f t="shared" si="6"/>
        <v>0.97780604612758815</v>
      </c>
      <c r="AH34" s="208">
        <f t="shared" si="7"/>
        <v>0.1711822850682784</v>
      </c>
      <c r="AI34" s="208">
        <f t="shared" si="8"/>
        <v>8.1394898771116747E-3</v>
      </c>
      <c r="AJ34" s="208">
        <f t="shared" si="9"/>
        <v>5.988123751063068E-2</v>
      </c>
      <c r="AK34" s="208">
        <f t="shared" si="10"/>
        <v>0.11130104755764768</v>
      </c>
      <c r="AL34" s="208">
        <f t="shared" si="11"/>
        <v>3.4809756003118128E-2</v>
      </c>
      <c r="AM34" s="399">
        <f>depths!$B$3</f>
        <v>2270.8000000000002</v>
      </c>
      <c r="AN34" s="44"/>
      <c r="AO34" s="399">
        <f t="shared" si="12"/>
        <v>171.18228506827839</v>
      </c>
      <c r="AP34" s="452">
        <v>3</v>
      </c>
      <c r="AQ34" s="399">
        <f t="shared" si="13"/>
        <v>8.139489877111675</v>
      </c>
      <c r="AR34" s="452">
        <v>3</v>
      </c>
      <c r="AS34" s="399">
        <f t="shared" si="14"/>
        <v>59.881237510630683</v>
      </c>
      <c r="AT34" s="452">
        <v>3</v>
      </c>
      <c r="AU34" s="399">
        <f t="shared" si="15"/>
        <v>111.30104755764768</v>
      </c>
      <c r="AV34" s="452">
        <v>3</v>
      </c>
      <c r="AW34" s="399">
        <f t="shared" si="16"/>
        <v>34.809756003118125</v>
      </c>
      <c r="AX34" s="452">
        <v>3</v>
      </c>
      <c r="AY34" s="399">
        <f t="shared" si="17"/>
        <v>7.3568784303076917</v>
      </c>
      <c r="AZ34" s="399">
        <f t="shared" si="18"/>
        <v>13.674204309858203</v>
      </c>
      <c r="BA34" s="399">
        <f>Main!R38</f>
        <v>39.807465687206999</v>
      </c>
      <c r="BB34" s="400">
        <v>2</v>
      </c>
      <c r="BC34" s="399">
        <f>Main!S38</f>
        <v>8.6</v>
      </c>
      <c r="BD34" s="400">
        <v>1</v>
      </c>
    </row>
    <row r="35" spans="1:56">
      <c r="A35" s="44">
        <f>Main!A39</f>
        <v>2022</v>
      </c>
      <c r="B35" s="44" t="str">
        <f>Main!B39</f>
        <v>47_2000</v>
      </c>
      <c r="C35" s="44">
        <v>9</v>
      </c>
      <c r="D35" s="44" t="str">
        <f>Main!$B$30</f>
        <v>McLane-PARFLUX-Mark78H-21 ; frame# 12419-02, controller# 12419-02 and Motor # 12419-02 Cup set ABx21</v>
      </c>
      <c r="E35" s="44">
        <v>2000</v>
      </c>
      <c r="F35" s="393">
        <v>1</v>
      </c>
      <c r="G35" s="398">
        <f>Main!E39</f>
        <v>386.44285714285718</v>
      </c>
      <c r="H35" s="208">
        <f>Main!I39</f>
        <v>45.463865546218493</v>
      </c>
      <c r="I35" s="208">
        <f>Main!J39</f>
        <v>16.605676890756307</v>
      </c>
      <c r="J35" s="505">
        <v>3</v>
      </c>
      <c r="K35" s="399">
        <f>Main!AF39</f>
        <v>72.45048363979042</v>
      </c>
      <c r="L35" s="399">
        <f>Main!AG39</f>
        <v>8.6937482179374417</v>
      </c>
      <c r="M35" s="452">
        <v>1</v>
      </c>
      <c r="N35" s="399">
        <f>Main!M39</f>
        <v>12.563013076782227</v>
      </c>
      <c r="O35" s="452">
        <v>1</v>
      </c>
      <c r="P35" s="399">
        <f>Main!O39</f>
        <v>0.59883177280426025</v>
      </c>
      <c r="Q35" s="452">
        <v>1</v>
      </c>
      <c r="R35" s="399">
        <f>Main!AH39</f>
        <v>3.8692648588447849</v>
      </c>
      <c r="S35" s="452">
        <v>1</v>
      </c>
      <c r="T35" s="399">
        <f>Main!AB39</f>
        <v>5.7415043245843318</v>
      </c>
      <c r="U35" s="452">
        <v>1</v>
      </c>
      <c r="V35" s="399">
        <f>Main!AC39</f>
        <v>12.282199888368549</v>
      </c>
      <c r="W35" s="399">
        <f t="shared" si="0"/>
        <v>12.030893219013857</v>
      </c>
      <c r="X35" s="399">
        <f t="shared" si="1"/>
        <v>1.443655738766576</v>
      </c>
      <c r="Y35" s="399">
        <f t="shared" si="2"/>
        <v>2.0861733592739191</v>
      </c>
      <c r="Z35" s="399">
        <f t="shared" si="3"/>
        <v>9.9440069311063362E-2</v>
      </c>
      <c r="AA35" s="399">
        <f t="shared" si="4"/>
        <v>0.64251762050734307</v>
      </c>
      <c r="AB35" s="399">
        <f t="shared" si="5"/>
        <v>2.0395424285393129</v>
      </c>
      <c r="AC35" s="63">
        <f>Main!T39</f>
        <v>44832</v>
      </c>
      <c r="AD35" s="63">
        <f>Main!U39</f>
        <v>44849</v>
      </c>
      <c r="AE35" s="63">
        <f>Main!V39</f>
        <v>44840.5</v>
      </c>
      <c r="AF35" s="398">
        <f>Main!H39</f>
        <v>17</v>
      </c>
      <c r="AG35" s="208">
        <f t="shared" si="6"/>
        <v>0.95341565680927431</v>
      </c>
      <c r="AH35" s="208">
        <f t="shared" si="7"/>
        <v>0.17370302741664606</v>
      </c>
      <c r="AI35" s="208">
        <f t="shared" si="8"/>
        <v>7.0977922420459218E-3</v>
      </c>
      <c r="AJ35" s="208">
        <f t="shared" si="9"/>
        <v>5.3498552914849548E-2</v>
      </c>
      <c r="AK35" s="208">
        <f t="shared" si="10"/>
        <v>0.12020447450179651</v>
      </c>
      <c r="AL35" s="208">
        <f t="shared" si="11"/>
        <v>3.3941461616563702E-2</v>
      </c>
      <c r="AM35" s="399">
        <f>depths!$B$3</f>
        <v>2270.8000000000002</v>
      </c>
      <c r="AN35" s="44"/>
      <c r="AO35" s="399">
        <f t="shared" si="12"/>
        <v>173.70302741664605</v>
      </c>
      <c r="AP35" s="452">
        <v>3</v>
      </c>
      <c r="AQ35" s="399">
        <f t="shared" si="13"/>
        <v>7.0977922420459221</v>
      </c>
      <c r="AR35" s="452">
        <v>3</v>
      </c>
      <c r="AS35" s="399">
        <f t="shared" si="14"/>
        <v>53.498552914849547</v>
      </c>
      <c r="AT35" s="452">
        <v>3</v>
      </c>
      <c r="AU35" s="399">
        <f t="shared" si="15"/>
        <v>120.20447450179651</v>
      </c>
      <c r="AV35" s="452">
        <v>3</v>
      </c>
      <c r="AW35" s="399">
        <f t="shared" si="16"/>
        <v>33.9414616165637</v>
      </c>
      <c r="AX35" s="452">
        <v>3</v>
      </c>
      <c r="AY35" s="399">
        <f t="shared" si="17"/>
        <v>7.5373512059052201</v>
      </c>
      <c r="AZ35" s="399">
        <f t="shared" si="18"/>
        <v>16.935473792784311</v>
      </c>
      <c r="BA35" s="399">
        <f>Main!R39</f>
        <v>39.516930272554035</v>
      </c>
      <c r="BB35" s="400">
        <v>2</v>
      </c>
      <c r="BC35" s="399">
        <f>Main!S39</f>
        <v>8.61</v>
      </c>
      <c r="BD35" s="400">
        <v>1</v>
      </c>
    </row>
    <row r="36" spans="1:56">
      <c r="A36" s="44">
        <f>Main!A40</f>
        <v>2022</v>
      </c>
      <c r="B36" s="44" t="str">
        <f>Main!B40</f>
        <v>47_2000</v>
      </c>
      <c r="C36" s="44">
        <v>10</v>
      </c>
      <c r="D36" s="44" t="str">
        <f>Main!$B$30</f>
        <v>McLane-PARFLUX-Mark78H-21 ; frame# 12419-02, controller# 12419-02 and Motor # 12419-02 Cup set ABx21</v>
      </c>
      <c r="E36" s="44">
        <v>2000</v>
      </c>
      <c r="F36" s="393">
        <v>1</v>
      </c>
      <c r="G36" s="398">
        <f>Main!E40</f>
        <v>388.2</v>
      </c>
      <c r="H36" s="208">
        <f>Main!I40</f>
        <v>45.670588235294119</v>
      </c>
      <c r="I36" s="208">
        <f>Main!J40</f>
        <v>16.681182352941178</v>
      </c>
      <c r="J36" s="505">
        <v>3</v>
      </c>
      <c r="K36" s="399">
        <f>Main!AF40</f>
        <v>75.652797991872973</v>
      </c>
      <c r="L36" s="399">
        <f>Main!AG40</f>
        <v>9.078012246182011</v>
      </c>
      <c r="M36" s="520">
        <v>2</v>
      </c>
      <c r="N36" s="399">
        <f>Main!M40</f>
        <v>13.241850852966309</v>
      </c>
      <c r="O36" s="452">
        <v>1</v>
      </c>
      <c r="P36" s="399">
        <f>Main!O40</f>
        <v>0.69182890653610229</v>
      </c>
      <c r="Q36" s="452">
        <v>1</v>
      </c>
      <c r="R36" s="399">
        <f>Main!AH40</f>
        <v>4.1638386067842976</v>
      </c>
      <c r="S36" s="520">
        <v>2</v>
      </c>
      <c r="T36" s="399">
        <f>Main!AB40</f>
        <v>4.3357834628471599</v>
      </c>
      <c r="U36" s="452">
        <v>1</v>
      </c>
      <c r="V36" s="399">
        <f>Main!AC40</f>
        <v>9.2750882265035894</v>
      </c>
      <c r="W36" s="399">
        <f t="shared" si="0"/>
        <v>12.619781188126554</v>
      </c>
      <c r="X36" s="399">
        <f t="shared" si="1"/>
        <v>1.5143197768079528</v>
      </c>
      <c r="Y36" s="399">
        <f t="shared" si="2"/>
        <v>2.2088972876878068</v>
      </c>
      <c r="Z36" s="399">
        <f t="shared" si="3"/>
        <v>0.11540524146964622</v>
      </c>
      <c r="AA36" s="399">
        <f t="shared" si="4"/>
        <v>0.69457751087985398</v>
      </c>
      <c r="AB36" s="399">
        <f t="shared" si="5"/>
        <v>1.5471943804592416</v>
      </c>
      <c r="AC36" s="63">
        <f>Main!T40</f>
        <v>44849</v>
      </c>
      <c r="AD36" s="63">
        <f>Main!U40</f>
        <v>44866</v>
      </c>
      <c r="AE36" s="63">
        <f>Main!V40</f>
        <v>44857.5</v>
      </c>
      <c r="AF36" s="398">
        <f>Main!H40</f>
        <v>17</v>
      </c>
      <c r="AG36" s="208">
        <f t="shared" si="6"/>
        <v>0.72325994586620235</v>
      </c>
      <c r="AH36" s="208">
        <f t="shared" si="7"/>
        <v>0.18392150605227367</v>
      </c>
      <c r="AI36" s="208">
        <f t="shared" si="8"/>
        <v>8.2373477137506219E-3</v>
      </c>
      <c r="AJ36" s="208">
        <f t="shared" si="9"/>
        <v>5.7833264852610658E-2</v>
      </c>
      <c r="AK36" s="208">
        <f t="shared" si="10"/>
        <v>0.12608824119966303</v>
      </c>
      <c r="AL36" s="208">
        <f t="shared" si="11"/>
        <v>2.5747951081032481E-2</v>
      </c>
      <c r="AM36" s="399">
        <f>depths!$B$3</f>
        <v>2270.8000000000002</v>
      </c>
      <c r="AN36" s="44"/>
      <c r="AO36" s="399">
        <f t="shared" si="12"/>
        <v>183.92150605227366</v>
      </c>
      <c r="AP36" s="452">
        <v>3</v>
      </c>
      <c r="AQ36" s="399">
        <f t="shared" si="13"/>
        <v>8.237347713750621</v>
      </c>
      <c r="AR36" s="452">
        <v>3</v>
      </c>
      <c r="AS36" s="399">
        <f t="shared" si="14"/>
        <v>57.833264852610661</v>
      </c>
      <c r="AT36" s="452">
        <v>3</v>
      </c>
      <c r="AU36" s="399">
        <f t="shared" si="15"/>
        <v>126.08824119966303</v>
      </c>
      <c r="AV36" s="452">
        <v>3</v>
      </c>
      <c r="AW36" s="399">
        <f t="shared" si="16"/>
        <v>25.747951081032483</v>
      </c>
      <c r="AX36" s="452">
        <v>3</v>
      </c>
      <c r="AY36" s="399">
        <f t="shared" si="17"/>
        <v>7.0208599736623327</v>
      </c>
      <c r="AZ36" s="399">
        <f t="shared" si="18"/>
        <v>15.306897994506615</v>
      </c>
      <c r="BA36" s="399">
        <f>Main!R40</f>
        <v>39.662176507611733</v>
      </c>
      <c r="BB36" s="400">
        <v>2</v>
      </c>
      <c r="BC36" s="399">
        <f>Main!S40</f>
        <v>8.52</v>
      </c>
      <c r="BD36" s="400">
        <v>1</v>
      </c>
    </row>
    <row r="37" spans="1:56">
      <c r="A37" s="44">
        <f>Main!A41</f>
        <v>2022</v>
      </c>
      <c r="B37" s="44" t="str">
        <f>Main!B41</f>
        <v>47_2000</v>
      </c>
      <c r="C37" s="44">
        <v>11</v>
      </c>
      <c r="D37" s="44" t="str">
        <f>Main!$B$30</f>
        <v>McLane-PARFLUX-Mark78H-21 ; frame# 12419-02, controller# 12419-02 and Motor # 12419-02 Cup set ABx21</v>
      </c>
      <c r="E37" s="44">
        <v>2000</v>
      </c>
      <c r="F37" s="393">
        <v>1</v>
      </c>
      <c r="G37" s="398">
        <f>Main!E41</f>
        <v>298.42857142857144</v>
      </c>
      <c r="H37" s="208">
        <f>Main!I41</f>
        <v>35.109243697478995</v>
      </c>
      <c r="I37" s="208">
        <f>Main!J41</f>
        <v>12.823651260504203</v>
      </c>
      <c r="J37" s="505">
        <v>3</v>
      </c>
      <c r="K37" s="399">
        <f>Main!AF41</f>
        <v>79.730332793076599</v>
      </c>
      <c r="L37" s="399">
        <f>Main!AG41</f>
        <v>9.5672989856299875</v>
      </c>
      <c r="M37" s="452">
        <v>1</v>
      </c>
      <c r="N37" s="399">
        <f>Main!M41</f>
        <v>12.646408081054688</v>
      </c>
      <c r="O37" s="452">
        <v>1</v>
      </c>
      <c r="P37" s="399">
        <f>Main!O41</f>
        <v>0.47727426886558533</v>
      </c>
      <c r="Q37" s="452">
        <v>1</v>
      </c>
      <c r="R37" s="399">
        <f>Main!AH41</f>
        <v>3.0791090954247</v>
      </c>
      <c r="S37" s="452">
        <v>1</v>
      </c>
      <c r="T37" s="399">
        <f>Main!AB41</f>
        <v>3.8108573990090702</v>
      </c>
      <c r="U37" s="452">
        <v>1</v>
      </c>
      <c r="V37" s="399">
        <f>Main!AC41</f>
        <v>8.1521687827146696</v>
      </c>
      <c r="W37" s="399">
        <f t="shared" ref="W37:W46" si="19">(K37/100)*$I37</f>
        <v>10.224339826223563</v>
      </c>
      <c r="X37" s="399">
        <f t="shared" ref="X37:X46" si="20">(L37/100)*$I37</f>
        <v>1.2268770569669458</v>
      </c>
      <c r="Y37" s="399">
        <f t="shared" ref="Y37:Y46" si="21">(N37/100)*$I37</f>
        <v>1.621731269294675</v>
      </c>
      <c r="Z37" s="399">
        <f t="shared" ref="Z37:Z46" si="22">(P37/100)*$I37</f>
        <v>6.1203987795443858E-2</v>
      </c>
      <c r="AA37" s="399">
        <f t="shared" ref="AA37:AA46" si="23">(R37/100)*$I37</f>
        <v>0.3948542123277291</v>
      </c>
      <c r="AB37" s="399">
        <f t="shared" si="5"/>
        <v>1.0454056948630199</v>
      </c>
      <c r="AC37" s="63">
        <f>Main!T41</f>
        <v>44866</v>
      </c>
      <c r="AD37" s="63">
        <f>Main!U41</f>
        <v>44883</v>
      </c>
      <c r="AE37" s="63">
        <f>Main!V41</f>
        <v>44874.5</v>
      </c>
      <c r="AF37" s="398">
        <f>Main!H41</f>
        <v>17</v>
      </c>
      <c r="AG37" s="208">
        <f t="shared" si="6"/>
        <v>0.48869106288404435</v>
      </c>
      <c r="AH37" s="208">
        <f t="shared" si="7"/>
        <v>0.13503174598623438</v>
      </c>
      <c r="AI37" s="208">
        <f t="shared" si="8"/>
        <v>4.3685929903957074E-3</v>
      </c>
      <c r="AJ37" s="208">
        <f t="shared" si="9"/>
        <v>3.2877120093899176E-2</v>
      </c>
      <c r="AK37" s="208">
        <f t="shared" si="10"/>
        <v>0.1021546258923352</v>
      </c>
      <c r="AL37" s="208">
        <f t="shared" si="11"/>
        <v>1.7397332249342982E-2</v>
      </c>
      <c r="AM37" s="399">
        <f>depths!$B$3</f>
        <v>2270.8000000000002</v>
      </c>
      <c r="AN37" s="44"/>
      <c r="AO37" s="399">
        <f t="shared" si="12"/>
        <v>135.03174598623437</v>
      </c>
      <c r="AP37" s="452">
        <v>3</v>
      </c>
      <c r="AQ37" s="399">
        <f t="shared" si="13"/>
        <v>4.3685929903957073</v>
      </c>
      <c r="AR37" s="452">
        <v>3</v>
      </c>
      <c r="AS37" s="399">
        <f t="shared" si="14"/>
        <v>32.877120093899173</v>
      </c>
      <c r="AT37" s="452">
        <v>3</v>
      </c>
      <c r="AU37" s="399">
        <f t="shared" si="15"/>
        <v>102.1546258923352</v>
      </c>
      <c r="AV37" s="452">
        <v>3</v>
      </c>
      <c r="AW37" s="399">
        <f t="shared" si="16"/>
        <v>17.397332249342981</v>
      </c>
      <c r="AX37" s="452">
        <v>3</v>
      </c>
      <c r="AY37" s="399">
        <f t="shared" si="17"/>
        <v>7.5257915228493655</v>
      </c>
      <c r="AZ37" s="399">
        <f t="shared" si="18"/>
        <v>23.383873507310195</v>
      </c>
      <c r="BA37" s="399">
        <f>Main!R41</f>
        <v>39.880126340086932</v>
      </c>
      <c r="BB37" s="400">
        <v>2</v>
      </c>
      <c r="BC37" s="399">
        <f>Main!S41</f>
        <v>8.59</v>
      </c>
      <c r="BD37" s="400">
        <v>1</v>
      </c>
    </row>
    <row r="38" spans="1:56">
      <c r="A38" s="44">
        <f>Main!A42</f>
        <v>2022</v>
      </c>
      <c r="B38" s="44" t="str">
        <f>Main!B42</f>
        <v>47_2000</v>
      </c>
      <c r="C38" s="44">
        <v>12</v>
      </c>
      <c r="D38" s="44" t="str">
        <f>Main!$B$30</f>
        <v>McLane-PARFLUX-Mark78H-21 ; frame# 12419-02, controller# 12419-02 and Motor # 12419-02 Cup set ABx21</v>
      </c>
      <c r="E38" s="44">
        <v>2000</v>
      </c>
      <c r="F38" s="393">
        <v>1</v>
      </c>
      <c r="G38" s="398">
        <f>Main!E42</f>
        <v>533.55714285714282</v>
      </c>
      <c r="H38" s="208">
        <f>Main!I42</f>
        <v>62.771428571428565</v>
      </c>
      <c r="I38" s="208">
        <f>Main!J42</f>
        <v>22.927264285714287</v>
      </c>
      <c r="J38" s="505">
        <v>3</v>
      </c>
      <c r="K38" s="399">
        <f>Main!AF42</f>
        <v>76.615845940403659</v>
      </c>
      <c r="L38" s="399">
        <f>Main!AG42</f>
        <v>9.1935738817392476</v>
      </c>
      <c r="M38" s="452">
        <v>1</v>
      </c>
      <c r="N38" s="399">
        <f>Main!M42</f>
        <v>12.868570327758789</v>
      </c>
      <c r="O38" s="452">
        <v>1</v>
      </c>
      <c r="P38" s="399">
        <f>Main!O42</f>
        <v>0.57263672351837158</v>
      </c>
      <c r="Q38" s="452">
        <v>1</v>
      </c>
      <c r="R38" s="399">
        <f>Main!AH42</f>
        <v>3.6749964460195415</v>
      </c>
      <c r="S38" s="452">
        <v>1</v>
      </c>
      <c r="T38" s="399">
        <f>Main!AB42</f>
        <v>3.8582195390873464</v>
      </c>
      <c r="U38" s="452">
        <v>1</v>
      </c>
      <c r="V38" s="399">
        <f>Main!AC42</f>
        <v>8.253485656951181</v>
      </c>
      <c r="W38" s="399">
        <f t="shared" si="19"/>
        <v>17.565917483492047</v>
      </c>
      <c r="X38" s="399">
        <f t="shared" si="20"/>
        <v>2.1078349811687591</v>
      </c>
      <c r="Y38" s="399">
        <f t="shared" si="21"/>
        <v>2.9504111288382666</v>
      </c>
      <c r="Z38" s="399">
        <f t="shared" si="22"/>
        <v>0.13128993499811206</v>
      </c>
      <c r="AA38" s="399">
        <f t="shared" si="23"/>
        <v>0.84257614766950761</v>
      </c>
      <c r="AB38" s="399">
        <f t="shared" si="5"/>
        <v>1.8922984693527194</v>
      </c>
      <c r="AC38" s="63">
        <f>Main!T42</f>
        <v>44883</v>
      </c>
      <c r="AD38" s="63">
        <f>Main!U42</f>
        <v>44900</v>
      </c>
      <c r="AE38" s="63">
        <f>Main!V42</f>
        <v>44891.5</v>
      </c>
      <c r="AF38" s="398">
        <f>Main!H42</f>
        <v>17</v>
      </c>
      <c r="AG38" s="208">
        <f t="shared" si="6"/>
        <v>0.88458419044962355</v>
      </c>
      <c r="AH38" s="208">
        <f t="shared" si="7"/>
        <v>0.24566287500734943</v>
      </c>
      <c r="AI38" s="208">
        <f t="shared" si="8"/>
        <v>9.3711588149972928E-3</v>
      </c>
      <c r="AJ38" s="208">
        <f t="shared" si="9"/>
        <v>7.0156215459575982E-2</v>
      </c>
      <c r="AK38" s="208">
        <f t="shared" si="10"/>
        <v>0.17550665954777345</v>
      </c>
      <c r="AL38" s="208">
        <f t="shared" si="11"/>
        <v>3.1491071215721735E-2</v>
      </c>
      <c r="AM38" s="399">
        <f>depths!$B$3</f>
        <v>2270.8000000000002</v>
      </c>
      <c r="AN38" s="44"/>
      <c r="AO38" s="399">
        <f t="shared" si="12"/>
        <v>245.66287500734944</v>
      </c>
      <c r="AP38" s="452">
        <v>3</v>
      </c>
      <c r="AQ38" s="399">
        <f t="shared" si="13"/>
        <v>9.3711588149972922</v>
      </c>
      <c r="AR38" s="452">
        <v>3</v>
      </c>
      <c r="AS38" s="399">
        <f t="shared" si="14"/>
        <v>70.156215459575989</v>
      </c>
      <c r="AT38" s="452">
        <v>3</v>
      </c>
      <c r="AU38" s="399">
        <f t="shared" si="15"/>
        <v>175.50665954777344</v>
      </c>
      <c r="AV38" s="452">
        <v>3</v>
      </c>
      <c r="AW38" s="399">
        <f t="shared" si="16"/>
        <v>31.491071215721735</v>
      </c>
      <c r="AX38" s="452">
        <v>3</v>
      </c>
      <c r="AY38" s="399">
        <f t="shared" si="17"/>
        <v>7.4863970235250212</v>
      </c>
      <c r="AZ38" s="399">
        <f t="shared" si="18"/>
        <v>18.72838386506676</v>
      </c>
      <c r="BA38" s="399">
        <f>Main!R42</f>
        <v>39.807465687206999</v>
      </c>
      <c r="BB38" s="400">
        <v>2</v>
      </c>
      <c r="BC38" s="399">
        <f>Main!S42</f>
        <v>8.56</v>
      </c>
      <c r="BD38" s="400">
        <v>1</v>
      </c>
    </row>
    <row r="39" spans="1:56">
      <c r="A39" s="44">
        <f>Main!A43</f>
        <v>2022</v>
      </c>
      <c r="B39" s="44" t="str">
        <f>Main!B43</f>
        <v>47_2000</v>
      </c>
      <c r="C39" s="44">
        <v>13</v>
      </c>
      <c r="D39" s="44" t="str">
        <f>Main!$B$30</f>
        <v>McLane-PARFLUX-Mark78H-21 ; frame# 12419-02, controller# 12419-02 and Motor # 12419-02 Cup set ABx21</v>
      </c>
      <c r="E39" s="44">
        <v>2000</v>
      </c>
      <c r="F39" s="393">
        <v>1</v>
      </c>
      <c r="G39" s="398">
        <f>Main!E43</f>
        <v>916.82857142857142</v>
      </c>
      <c r="H39" s="208">
        <f>Main!I43</f>
        <v>107.86218487394957</v>
      </c>
      <c r="I39" s="208">
        <f>Main!J43</f>
        <v>39.396663025210088</v>
      </c>
      <c r="J39" s="505">
        <v>3</v>
      </c>
      <c r="K39" s="399">
        <f>Main!AF43</f>
        <v>76.617145424792767</v>
      </c>
      <c r="L39" s="399">
        <f>Main!AG43</f>
        <v>9.193729814308977</v>
      </c>
      <c r="M39" s="452">
        <v>1</v>
      </c>
      <c r="N39" s="399">
        <f>Main!M43</f>
        <v>13.390506744384766</v>
      </c>
      <c r="O39" s="452">
        <v>1</v>
      </c>
      <c r="P39" s="399">
        <f>Main!O43</f>
        <v>0.71725532412528992</v>
      </c>
      <c r="Q39" s="452">
        <v>1</v>
      </c>
      <c r="R39" s="399">
        <f>Main!AH43</f>
        <v>4.1967769300757887</v>
      </c>
      <c r="S39" s="452">
        <v>1</v>
      </c>
      <c r="T39" s="399">
        <f>Main!AB43</f>
        <v>4.0036366194561639</v>
      </c>
      <c r="U39" s="452">
        <v>1</v>
      </c>
      <c r="V39" s="399">
        <f>Main!AC43</f>
        <v>8.5645612126422535</v>
      </c>
      <c r="W39" s="399">
        <f t="shared" si="19"/>
        <v>30.184598602540774</v>
      </c>
      <c r="X39" s="399">
        <f t="shared" si="20"/>
        <v>3.6220227543915806</v>
      </c>
      <c r="Y39" s="399">
        <f t="shared" si="21"/>
        <v>5.2754128194532965</v>
      </c>
      <c r="Z39" s="399">
        <f t="shared" si="22"/>
        <v>0.28257466307601886</v>
      </c>
      <c r="AA39" s="399">
        <f t="shared" si="23"/>
        <v>1.6533900650617153</v>
      </c>
      <c r="AB39" s="399">
        <f t="shared" si="5"/>
        <v>3.3741513205325155</v>
      </c>
      <c r="AC39" s="63">
        <f>Main!T43</f>
        <v>44900</v>
      </c>
      <c r="AD39" s="63">
        <f>Main!U43</f>
        <v>44917</v>
      </c>
      <c r="AE39" s="63">
        <f>Main!V43</f>
        <v>44908.5</v>
      </c>
      <c r="AF39" s="398">
        <f>Main!H43</f>
        <v>17</v>
      </c>
      <c r="AG39" s="208">
        <f t="shared" si="6"/>
        <v>1.5772992277210578</v>
      </c>
      <c r="AH39" s="208">
        <f t="shared" si="7"/>
        <v>0.43925169187787649</v>
      </c>
      <c r="AI39" s="208">
        <f t="shared" si="8"/>
        <v>2.0169497721343244E-2</v>
      </c>
      <c r="AJ39" s="208">
        <f t="shared" si="9"/>
        <v>0.13766778226991802</v>
      </c>
      <c r="AK39" s="208">
        <f t="shared" si="10"/>
        <v>0.30158390960795844</v>
      </c>
      <c r="AL39" s="208">
        <f t="shared" si="11"/>
        <v>5.6151627900358055E-2</v>
      </c>
      <c r="AM39" s="399">
        <f>depths!$B$3</f>
        <v>2270.8000000000002</v>
      </c>
      <c r="AN39" s="44"/>
      <c r="AO39" s="399">
        <f t="shared" si="12"/>
        <v>439.25169187787651</v>
      </c>
      <c r="AP39" s="452">
        <v>3</v>
      </c>
      <c r="AQ39" s="399">
        <f t="shared" si="13"/>
        <v>20.169497721343244</v>
      </c>
      <c r="AR39" s="452">
        <v>3</v>
      </c>
      <c r="AS39" s="399">
        <f t="shared" si="14"/>
        <v>137.66778226991801</v>
      </c>
      <c r="AT39" s="452">
        <v>3</v>
      </c>
      <c r="AU39" s="399">
        <f t="shared" si="15"/>
        <v>301.58390960795845</v>
      </c>
      <c r="AV39" s="452">
        <v>3</v>
      </c>
      <c r="AW39" s="399">
        <f t="shared" si="16"/>
        <v>56.151627900358058</v>
      </c>
      <c r="AX39" s="452">
        <v>3</v>
      </c>
      <c r="AY39" s="399">
        <f t="shared" si="17"/>
        <v>6.8255434107433803</v>
      </c>
      <c r="AZ39" s="399">
        <f t="shared" si="18"/>
        <v>14.952474958700837</v>
      </c>
      <c r="BA39" s="399">
        <f>Main!R43</f>
        <v>39.226567166210792</v>
      </c>
      <c r="BB39" s="400">
        <v>2</v>
      </c>
      <c r="BC39" s="399">
        <f>Main!S43</f>
        <v>8.5949999999999989</v>
      </c>
      <c r="BD39" s="400">
        <v>1</v>
      </c>
    </row>
    <row r="40" spans="1:56" s="414" customFormat="1">
      <c r="A40" s="409">
        <f>Main!A44</f>
        <v>2022</v>
      </c>
      <c r="B40" s="409" t="str">
        <f>Main!B44</f>
        <v>47_2000</v>
      </c>
      <c r="C40" s="409">
        <v>14</v>
      </c>
      <c r="D40" s="44" t="str">
        <f>Main!$B$30</f>
        <v>McLane-PARFLUX-Mark78H-21 ; frame# 12419-02, controller# 12419-02 and Motor # 12419-02 Cup set ABx21</v>
      </c>
      <c r="E40" s="409">
        <v>2000</v>
      </c>
      <c r="F40" s="393">
        <v>9</v>
      </c>
      <c r="G40" s="410" t="str">
        <f>Main!E44</f>
        <v>NaN</v>
      </c>
      <c r="H40" s="411" t="str">
        <f>Main!I44</f>
        <v>NaN</v>
      </c>
      <c r="I40" s="411" t="str">
        <f>Main!J44</f>
        <v>NaN</v>
      </c>
      <c r="J40" s="505">
        <v>9</v>
      </c>
      <c r="K40" s="412" t="str">
        <f>Main!AF44</f>
        <v>NaN</v>
      </c>
      <c r="L40" s="412" t="str">
        <f>Main!AG44</f>
        <v>NaN</v>
      </c>
      <c r="M40" s="452">
        <v>9</v>
      </c>
      <c r="N40" s="412" t="str">
        <f>Main!M44</f>
        <v>NaN</v>
      </c>
      <c r="O40" s="452">
        <v>9</v>
      </c>
      <c r="P40" s="412" t="str">
        <f>Main!O44</f>
        <v>NaN</v>
      </c>
      <c r="Q40" s="452">
        <v>9</v>
      </c>
      <c r="R40" s="412" t="str">
        <f>Main!AH44</f>
        <v>NaN</v>
      </c>
      <c r="S40" s="452">
        <v>9</v>
      </c>
      <c r="T40" s="412" t="str">
        <f>Main!AB44</f>
        <v>NaN</v>
      </c>
      <c r="U40" s="452">
        <v>9</v>
      </c>
      <c r="V40" s="412" t="str">
        <f>Main!AC44</f>
        <v>NaN</v>
      </c>
      <c r="W40" s="412" t="s">
        <v>3656</v>
      </c>
      <c r="X40" s="412" t="s">
        <v>3656</v>
      </c>
      <c r="Y40" s="412" t="s">
        <v>3656</v>
      </c>
      <c r="Z40" s="412" t="s">
        <v>3656</v>
      </c>
      <c r="AA40" s="412" t="s">
        <v>3656</v>
      </c>
      <c r="AB40" s="412" t="s">
        <v>3656</v>
      </c>
      <c r="AC40" s="413">
        <f>Main!T44</f>
        <v>44917</v>
      </c>
      <c r="AD40" s="413">
        <f>Main!U44</f>
        <v>44934</v>
      </c>
      <c r="AE40" s="413">
        <f>Main!V44</f>
        <v>44925.5</v>
      </c>
      <c r="AF40" s="410">
        <f>Main!H44</f>
        <v>17</v>
      </c>
      <c r="AG40" s="412" t="s">
        <v>3656</v>
      </c>
      <c r="AH40" s="412" t="s">
        <v>3656</v>
      </c>
      <c r="AI40" s="412" t="s">
        <v>3656</v>
      </c>
      <c r="AJ40" s="412" t="s">
        <v>3656</v>
      </c>
      <c r="AK40" s="412" t="s">
        <v>3656</v>
      </c>
      <c r="AL40" s="412" t="s">
        <v>3656</v>
      </c>
      <c r="AM40" s="399">
        <f>depths!$B$3</f>
        <v>2270.8000000000002</v>
      </c>
      <c r="AN40" s="409"/>
      <c r="AO40" s="412" t="s">
        <v>3656</v>
      </c>
      <c r="AP40" s="452">
        <v>3</v>
      </c>
      <c r="AQ40" s="412" t="s">
        <v>3656</v>
      </c>
      <c r="AR40" s="452">
        <v>3</v>
      </c>
      <c r="AS40" s="412" t="s">
        <v>3656</v>
      </c>
      <c r="AT40" s="452">
        <v>3</v>
      </c>
      <c r="AU40" s="412" t="s">
        <v>3656</v>
      </c>
      <c r="AV40" s="452">
        <v>3</v>
      </c>
      <c r="AW40" s="412" t="s">
        <v>3656</v>
      </c>
      <c r="AX40" s="452">
        <v>3</v>
      </c>
      <c r="AY40" s="412" t="s">
        <v>3656</v>
      </c>
      <c r="AZ40" s="412" t="s">
        <v>3656</v>
      </c>
      <c r="BA40" s="412" t="s">
        <v>3656</v>
      </c>
      <c r="BB40" s="400">
        <v>2</v>
      </c>
      <c r="BC40" s="412" t="s">
        <v>3656</v>
      </c>
      <c r="BD40" s="400">
        <v>1</v>
      </c>
    </row>
    <row r="41" spans="1:56" s="414" customFormat="1">
      <c r="A41" s="409">
        <f>Main!A45</f>
        <v>2022</v>
      </c>
      <c r="B41" s="409" t="str">
        <f>Main!B45</f>
        <v>47_2000</v>
      </c>
      <c r="C41" s="409">
        <v>15</v>
      </c>
      <c r="D41" s="44" t="str">
        <f>Main!$B$30</f>
        <v>McLane-PARFLUX-Mark78H-21 ; frame# 12419-02, controller# 12419-02 and Motor # 12419-02 Cup set ABx21</v>
      </c>
      <c r="E41" s="409">
        <v>2000</v>
      </c>
      <c r="F41" s="393">
        <v>1</v>
      </c>
      <c r="G41" s="410" t="str">
        <f>Main!E45</f>
        <v>NaN</v>
      </c>
      <c r="H41" s="411" t="str">
        <f>Main!I45</f>
        <v>NaN</v>
      </c>
      <c r="I41" s="411" t="str">
        <f>Main!J45</f>
        <v>NaN</v>
      </c>
      <c r="J41" s="505">
        <v>9</v>
      </c>
      <c r="K41" s="412" t="str">
        <f>Main!AF45</f>
        <v>NaN</v>
      </c>
      <c r="L41" s="412" t="str">
        <f>Main!AG45</f>
        <v>NaN</v>
      </c>
      <c r="M41" s="452">
        <v>9</v>
      </c>
      <c r="N41" s="412" t="str">
        <f>Main!M45</f>
        <v>NaN</v>
      </c>
      <c r="O41" s="452">
        <v>9</v>
      </c>
      <c r="P41" s="412" t="str">
        <f>Main!O45</f>
        <v>NaN</v>
      </c>
      <c r="Q41" s="452">
        <v>9</v>
      </c>
      <c r="R41" s="412" t="str">
        <f>Main!AH45</f>
        <v>NaN</v>
      </c>
      <c r="S41" s="452">
        <v>9</v>
      </c>
      <c r="T41" s="412" t="str">
        <f>Main!AB45</f>
        <v>NaN</v>
      </c>
      <c r="U41" s="452">
        <v>9</v>
      </c>
      <c r="V41" s="412" t="str">
        <f>Main!AC45</f>
        <v>NaN</v>
      </c>
      <c r="W41" s="412" t="s">
        <v>3656</v>
      </c>
      <c r="X41" s="412" t="s">
        <v>3656</v>
      </c>
      <c r="Y41" s="412" t="s">
        <v>3656</v>
      </c>
      <c r="Z41" s="412" t="s">
        <v>3656</v>
      </c>
      <c r="AA41" s="412" t="s">
        <v>3656</v>
      </c>
      <c r="AB41" s="412" t="s">
        <v>3656</v>
      </c>
      <c r="AC41" s="413">
        <f>Main!T45</f>
        <v>44934</v>
      </c>
      <c r="AD41" s="413">
        <f>Main!U45</f>
        <v>44951</v>
      </c>
      <c r="AE41" s="413">
        <f>Main!V45</f>
        <v>44942.5</v>
      </c>
      <c r="AF41" s="410">
        <f>Main!H45</f>
        <v>17</v>
      </c>
      <c r="AG41" s="412" t="s">
        <v>3656</v>
      </c>
      <c r="AH41" s="412" t="s">
        <v>3656</v>
      </c>
      <c r="AI41" s="412" t="s">
        <v>3656</v>
      </c>
      <c r="AJ41" s="412" t="s">
        <v>3656</v>
      </c>
      <c r="AK41" s="412" t="s">
        <v>3656</v>
      </c>
      <c r="AL41" s="412" t="s">
        <v>3656</v>
      </c>
      <c r="AM41" s="399">
        <f>depths!$B$3</f>
        <v>2270.8000000000002</v>
      </c>
      <c r="AN41" s="409"/>
      <c r="AO41" s="412" t="s">
        <v>3656</v>
      </c>
      <c r="AP41" s="452">
        <v>3</v>
      </c>
      <c r="AQ41" s="412" t="s">
        <v>3656</v>
      </c>
      <c r="AR41" s="452">
        <v>3</v>
      </c>
      <c r="AS41" s="412" t="s">
        <v>3656</v>
      </c>
      <c r="AT41" s="452">
        <v>3</v>
      </c>
      <c r="AU41" s="412" t="s">
        <v>3656</v>
      </c>
      <c r="AV41" s="452">
        <v>3</v>
      </c>
      <c r="AW41" s="412" t="s">
        <v>3656</v>
      </c>
      <c r="AX41" s="452">
        <v>3</v>
      </c>
      <c r="AY41" s="412" t="s">
        <v>3656</v>
      </c>
      <c r="AZ41" s="412" t="s">
        <v>3656</v>
      </c>
      <c r="BA41" s="412">
        <f>Main!R45</f>
        <v>39.516930272554035</v>
      </c>
      <c r="BB41" s="400">
        <v>2</v>
      </c>
      <c r="BC41" s="412">
        <f>Main!S45</f>
        <v>8.64</v>
      </c>
      <c r="BD41" s="400">
        <v>1</v>
      </c>
    </row>
    <row r="42" spans="1:56" s="217" customFormat="1">
      <c r="A42" s="363">
        <f>Main!A46</f>
        <v>2022</v>
      </c>
      <c r="B42" s="363" t="str">
        <f>Main!B46</f>
        <v>47_2000</v>
      </c>
      <c r="C42" s="363">
        <v>16</v>
      </c>
      <c r="D42" s="44" t="str">
        <f>Main!$B$30</f>
        <v>McLane-PARFLUX-Mark78H-21 ; frame# 12419-02, controller# 12419-02 and Motor # 12419-02 Cup set ABx21</v>
      </c>
      <c r="E42" s="363">
        <v>2000</v>
      </c>
      <c r="F42" s="393">
        <v>1</v>
      </c>
      <c r="G42" s="415">
        <f>Main!E46</f>
        <v>33.999999999999993</v>
      </c>
      <c r="H42" s="416">
        <f>Main!I46</f>
        <v>3.8834951456310669E-2</v>
      </c>
      <c r="I42" s="416">
        <f>Main!J46</f>
        <v>1.4184466019417474E-2</v>
      </c>
      <c r="J42" s="505">
        <v>3</v>
      </c>
      <c r="K42" s="417">
        <f>Main!AF46</f>
        <v>69.361820952840063</v>
      </c>
      <c r="L42" s="417">
        <f>Main!AG46</f>
        <v>8.3231219035019492</v>
      </c>
      <c r="M42" s="452">
        <v>1</v>
      </c>
      <c r="N42" s="417">
        <f>Main!M46</f>
        <v>13.844083786010742</v>
      </c>
      <c r="O42" s="452">
        <v>1</v>
      </c>
      <c r="P42" s="417">
        <f>Main!O46</f>
        <v>0.86480331420898438</v>
      </c>
      <c r="Q42" s="452">
        <v>1</v>
      </c>
      <c r="R42" s="417">
        <f>Main!AH46</f>
        <v>5.5209618825087929</v>
      </c>
      <c r="S42" s="452">
        <v>1</v>
      </c>
      <c r="T42" s="417">
        <f>Main!AB46</f>
        <v>5.1309134890670283</v>
      </c>
      <c r="U42" s="452">
        <v>1</v>
      </c>
      <c r="V42" s="417">
        <f>Main!AC46</f>
        <v>10.976026755359126</v>
      </c>
      <c r="W42" s="418">
        <f t="shared" si="19"/>
        <v>9.8386039235047879E-3</v>
      </c>
      <c r="X42" s="418">
        <f t="shared" si="20"/>
        <v>1.1805903981569269E-3</v>
      </c>
      <c r="Y42" s="418">
        <f t="shared" si="21"/>
        <v>1.9637093603263778E-3</v>
      </c>
      <c r="Z42" s="418">
        <f t="shared" si="22"/>
        <v>1.2266773223876953E-4</v>
      </c>
      <c r="AA42" s="418">
        <f t="shared" si="23"/>
        <v>7.8311896216945107E-4</v>
      </c>
      <c r="AB42" s="418">
        <f t="shared" si="5"/>
        <v>1.5568907853960854E-3</v>
      </c>
      <c r="AC42" s="419">
        <f>Main!T46</f>
        <v>44951</v>
      </c>
      <c r="AD42" s="419">
        <f>Main!U46</f>
        <v>44968</v>
      </c>
      <c r="AE42" s="419">
        <f>Main!V46</f>
        <v>44959.5</v>
      </c>
      <c r="AF42" s="415">
        <f>Main!H46</f>
        <v>17</v>
      </c>
      <c r="AG42" s="420">
        <f t="shared" si="6"/>
        <v>7.277926803424201E-4</v>
      </c>
      <c r="AH42" s="420">
        <f t="shared" si="7"/>
        <v>1.6350619153425295E-4</v>
      </c>
      <c r="AI42" s="420">
        <f t="shared" si="8"/>
        <v>8.7557267836380819E-6</v>
      </c>
      <c r="AJ42" s="420">
        <f t="shared" si="9"/>
        <v>6.5205575534508828E-5</v>
      </c>
      <c r="AK42" s="420">
        <f t="shared" si="10"/>
        <v>9.8300615999744124E-5</v>
      </c>
      <c r="AL42" s="420">
        <f t="shared" si="11"/>
        <v>2.5909315782927024E-5</v>
      </c>
      <c r="AM42" s="399">
        <f>depths!$B$3</f>
        <v>2270.8000000000002</v>
      </c>
      <c r="AN42" s="363"/>
      <c r="AO42" s="417">
        <f t="shared" si="12"/>
        <v>0.16350619153425294</v>
      </c>
      <c r="AP42" s="452">
        <v>3</v>
      </c>
      <c r="AQ42" s="417">
        <f t="shared" si="13"/>
        <v>8.7557267836380816E-3</v>
      </c>
      <c r="AR42" s="452">
        <v>3</v>
      </c>
      <c r="AS42" s="417">
        <f t="shared" si="14"/>
        <v>6.5205575534508828E-2</v>
      </c>
      <c r="AT42" s="452">
        <v>3</v>
      </c>
      <c r="AU42" s="417">
        <f t="shared" si="15"/>
        <v>9.8300615999744129E-2</v>
      </c>
      <c r="AV42" s="452">
        <v>3</v>
      </c>
      <c r="AW42" s="417">
        <f t="shared" si="16"/>
        <v>2.5909315782927024E-2</v>
      </c>
      <c r="AX42" s="452">
        <v>3</v>
      </c>
      <c r="AY42" s="417">
        <f t="shared" si="17"/>
        <v>7.447191666185744</v>
      </c>
      <c r="AZ42" s="417">
        <f t="shared" si="18"/>
        <v>11.227008154644514</v>
      </c>
      <c r="BA42" s="417">
        <f>Main!R46</f>
        <v>38.791347926916671</v>
      </c>
      <c r="BB42" s="400">
        <v>2</v>
      </c>
      <c r="BC42" s="417">
        <f>Main!S46</f>
        <v>8.66</v>
      </c>
      <c r="BD42" s="400">
        <v>1</v>
      </c>
    </row>
    <row r="43" spans="1:56" s="217" customFormat="1">
      <c r="A43" s="363">
        <f>Main!A47</f>
        <v>2022</v>
      </c>
      <c r="B43" s="363" t="str">
        <f>Main!B47</f>
        <v>47_2000</v>
      </c>
      <c r="C43" s="363">
        <v>17</v>
      </c>
      <c r="D43" s="44" t="str">
        <f>Main!$B$30</f>
        <v>McLane-PARFLUX-Mark78H-21 ; frame# 12419-02, controller# 12419-02 and Motor # 12419-02 Cup set ABx21</v>
      </c>
      <c r="E43" s="363">
        <v>2000</v>
      </c>
      <c r="F43" s="393">
        <v>1</v>
      </c>
      <c r="G43" s="415" t="str">
        <f>Main!E47</f>
        <v>NaN</v>
      </c>
      <c r="H43" s="416" t="str">
        <f>Main!I47</f>
        <v>NaN</v>
      </c>
      <c r="I43" s="416" t="str">
        <f>Main!J47</f>
        <v>NaN</v>
      </c>
      <c r="J43" s="505">
        <v>9</v>
      </c>
      <c r="K43" s="417" t="str">
        <f>Main!AF47</f>
        <v>NaN</v>
      </c>
      <c r="L43" s="417" t="str">
        <f>Main!AG47</f>
        <v>NaN</v>
      </c>
      <c r="M43" s="452">
        <v>9</v>
      </c>
      <c r="N43" s="417" t="str">
        <f>Main!M47</f>
        <v>NaN</v>
      </c>
      <c r="O43" s="452">
        <v>9</v>
      </c>
      <c r="P43" s="417" t="str">
        <f>Main!O47</f>
        <v>NaN</v>
      </c>
      <c r="Q43" s="452">
        <v>9</v>
      </c>
      <c r="R43" s="417" t="str">
        <f>Main!AH47</f>
        <v>NaN</v>
      </c>
      <c r="S43" s="452">
        <v>9</v>
      </c>
      <c r="T43" s="417" t="str">
        <f>Main!AB47</f>
        <v>NaN</v>
      </c>
      <c r="U43" s="452">
        <v>9</v>
      </c>
      <c r="V43" s="417" t="str">
        <f>Main!AC47</f>
        <v>NaN</v>
      </c>
      <c r="W43" s="417" t="s">
        <v>3656</v>
      </c>
      <c r="X43" s="417" t="s">
        <v>3656</v>
      </c>
      <c r="Y43" s="417" t="s">
        <v>3656</v>
      </c>
      <c r="Z43" s="417" t="s">
        <v>3656</v>
      </c>
      <c r="AA43" s="417" t="s">
        <v>3656</v>
      </c>
      <c r="AB43" s="417" t="s">
        <v>3656</v>
      </c>
      <c r="AC43" s="419">
        <f>Main!T47</f>
        <v>44968</v>
      </c>
      <c r="AD43" s="419">
        <f>Main!U47</f>
        <v>44985</v>
      </c>
      <c r="AE43" s="419">
        <f>Main!V47</f>
        <v>44976.5</v>
      </c>
      <c r="AF43" s="415">
        <f>Main!H47</f>
        <v>17</v>
      </c>
      <c r="AG43" s="417" t="s">
        <v>3656</v>
      </c>
      <c r="AH43" s="417" t="s">
        <v>3656</v>
      </c>
      <c r="AI43" s="417" t="s">
        <v>3656</v>
      </c>
      <c r="AJ43" s="417" t="s">
        <v>3656</v>
      </c>
      <c r="AK43" s="417" t="s">
        <v>3656</v>
      </c>
      <c r="AL43" s="417" t="s">
        <v>3656</v>
      </c>
      <c r="AM43" s="399">
        <f>depths!$B$3</f>
        <v>2270.8000000000002</v>
      </c>
      <c r="AN43" s="363"/>
      <c r="AO43" s="417" t="s">
        <v>3656</v>
      </c>
      <c r="AP43" s="452">
        <v>3</v>
      </c>
      <c r="AQ43" s="417" t="s">
        <v>3656</v>
      </c>
      <c r="AR43" s="452">
        <v>3</v>
      </c>
      <c r="AS43" s="417" t="s">
        <v>3656</v>
      </c>
      <c r="AT43" s="452">
        <v>3</v>
      </c>
      <c r="AU43" s="417" t="s">
        <v>3656</v>
      </c>
      <c r="AV43" s="452">
        <v>3</v>
      </c>
      <c r="AW43" s="417" t="s">
        <v>3656</v>
      </c>
      <c r="AX43" s="452">
        <v>3</v>
      </c>
      <c r="AY43" s="417" t="s">
        <v>3656</v>
      </c>
      <c r="AZ43" s="417" t="s">
        <v>3656</v>
      </c>
      <c r="BA43" s="417">
        <f>Main!R47</f>
        <v>40.24358958265212</v>
      </c>
      <c r="BB43" s="400">
        <v>2</v>
      </c>
      <c r="BC43" s="417">
        <f>Main!S47</f>
        <v>8.64</v>
      </c>
      <c r="BD43" s="400">
        <v>1</v>
      </c>
    </row>
    <row r="44" spans="1:56" s="217" customFormat="1">
      <c r="A44" s="363">
        <f>Main!A48</f>
        <v>2022</v>
      </c>
      <c r="B44" s="363" t="str">
        <f>Main!B48</f>
        <v>47_2000</v>
      </c>
      <c r="C44" s="363">
        <v>18</v>
      </c>
      <c r="D44" s="44" t="str">
        <f>Main!$B$30</f>
        <v>McLane-PARFLUX-Mark78H-21 ; frame# 12419-02, controller# 12419-02 and Motor # 12419-02 Cup set ABx21</v>
      </c>
      <c r="E44" s="363">
        <v>2000</v>
      </c>
      <c r="F44" s="393">
        <v>1</v>
      </c>
      <c r="G44" s="415" t="str">
        <f>Main!E48</f>
        <v>NaN</v>
      </c>
      <c r="H44" s="416" t="str">
        <f>Main!I48</f>
        <v>NaN</v>
      </c>
      <c r="I44" s="416" t="str">
        <f>Main!J48</f>
        <v>NaN</v>
      </c>
      <c r="J44" s="505">
        <v>9</v>
      </c>
      <c r="K44" s="417" t="str">
        <f>Main!AF48</f>
        <v>NaN</v>
      </c>
      <c r="L44" s="417" t="str">
        <f>Main!AG48</f>
        <v>NaN</v>
      </c>
      <c r="M44" s="452">
        <v>9</v>
      </c>
      <c r="N44" s="417" t="str">
        <f>Main!M48</f>
        <v>NaN</v>
      </c>
      <c r="O44" s="452">
        <v>9</v>
      </c>
      <c r="P44" s="417" t="str">
        <f>Main!O48</f>
        <v>NaN</v>
      </c>
      <c r="Q44" s="452">
        <v>9</v>
      </c>
      <c r="R44" s="417" t="str">
        <f>Main!AH48</f>
        <v>NaN</v>
      </c>
      <c r="S44" s="452">
        <v>9</v>
      </c>
      <c r="T44" s="417" t="str">
        <f>Main!AB48</f>
        <v>NaN</v>
      </c>
      <c r="U44" s="452">
        <v>9</v>
      </c>
      <c r="V44" s="417" t="str">
        <f>Main!AC48</f>
        <v>NaN</v>
      </c>
      <c r="W44" s="417" t="s">
        <v>3656</v>
      </c>
      <c r="X44" s="417" t="s">
        <v>3656</v>
      </c>
      <c r="Y44" s="417" t="s">
        <v>3656</v>
      </c>
      <c r="Z44" s="417" t="s">
        <v>3656</v>
      </c>
      <c r="AA44" s="417" t="s">
        <v>3656</v>
      </c>
      <c r="AB44" s="417" t="s">
        <v>3656</v>
      </c>
      <c r="AC44" s="419">
        <f>Main!T48</f>
        <v>44985</v>
      </c>
      <c r="AD44" s="419">
        <f>Main!U48</f>
        <v>45002</v>
      </c>
      <c r="AE44" s="419">
        <f>Main!V48</f>
        <v>44993.5</v>
      </c>
      <c r="AF44" s="415">
        <f>Main!H48</f>
        <v>17</v>
      </c>
      <c r="AG44" s="417" t="s">
        <v>3656</v>
      </c>
      <c r="AH44" s="417" t="s">
        <v>3656</v>
      </c>
      <c r="AI44" s="417" t="s">
        <v>3656</v>
      </c>
      <c r="AJ44" s="417" t="s">
        <v>3656</v>
      </c>
      <c r="AK44" s="417" t="s">
        <v>3656</v>
      </c>
      <c r="AL44" s="417" t="s">
        <v>3656</v>
      </c>
      <c r="AM44" s="399">
        <f>depths!$B$3</f>
        <v>2270.8000000000002</v>
      </c>
      <c r="AN44" s="363"/>
      <c r="AO44" s="417" t="s">
        <v>3656</v>
      </c>
      <c r="AP44" s="452">
        <v>3</v>
      </c>
      <c r="AQ44" s="417" t="s">
        <v>3656</v>
      </c>
      <c r="AR44" s="452">
        <v>3</v>
      </c>
      <c r="AS44" s="417" t="s">
        <v>3656</v>
      </c>
      <c r="AT44" s="452">
        <v>3</v>
      </c>
      <c r="AU44" s="417" t="s">
        <v>3656</v>
      </c>
      <c r="AV44" s="452">
        <v>3</v>
      </c>
      <c r="AW44" s="417" t="s">
        <v>3656</v>
      </c>
      <c r="AX44" s="452">
        <v>3</v>
      </c>
      <c r="AY44" s="417" t="s">
        <v>3656</v>
      </c>
      <c r="AZ44" s="417" t="s">
        <v>3656</v>
      </c>
      <c r="BA44" s="417">
        <f>Main!R48</f>
        <v>39.516930272554035</v>
      </c>
      <c r="BB44" s="400">
        <v>2</v>
      </c>
      <c r="BC44" s="417">
        <f>Main!S48</f>
        <v>8.66</v>
      </c>
      <c r="BD44" s="400">
        <v>1</v>
      </c>
    </row>
    <row r="45" spans="1:56" s="217" customFormat="1">
      <c r="A45" s="363">
        <f>Main!A49</f>
        <v>2022</v>
      </c>
      <c r="B45" s="363" t="str">
        <f>Main!B49</f>
        <v>47_2000</v>
      </c>
      <c r="C45" s="363">
        <v>19</v>
      </c>
      <c r="D45" s="44" t="str">
        <f>Main!$B$30</f>
        <v>McLane-PARFLUX-Mark78H-21 ; frame# 12419-02, controller# 12419-02 and Motor # 12419-02 Cup set ABx21</v>
      </c>
      <c r="E45" s="363">
        <v>2000</v>
      </c>
      <c r="F45" s="393">
        <v>1</v>
      </c>
      <c r="G45" s="415" t="str">
        <f>Main!E49</f>
        <v>NaN</v>
      </c>
      <c r="H45" s="416" t="str">
        <f>Main!I49</f>
        <v>NaN</v>
      </c>
      <c r="I45" s="416" t="str">
        <f>Main!J49</f>
        <v>NaN</v>
      </c>
      <c r="J45" s="505">
        <v>9</v>
      </c>
      <c r="K45" s="417" t="str">
        <f>Main!AF49</f>
        <v>NaN</v>
      </c>
      <c r="L45" s="417" t="str">
        <f>Main!AG49</f>
        <v>NaN</v>
      </c>
      <c r="M45" s="452">
        <v>9</v>
      </c>
      <c r="N45" s="417" t="str">
        <f>Main!M49</f>
        <v>NaN</v>
      </c>
      <c r="O45" s="452">
        <v>9</v>
      </c>
      <c r="P45" s="417" t="str">
        <f>Main!O49</f>
        <v>NaN</v>
      </c>
      <c r="Q45" s="452">
        <v>9</v>
      </c>
      <c r="R45" s="417" t="str">
        <f>Main!AH49</f>
        <v>NaN</v>
      </c>
      <c r="S45" s="452">
        <v>9</v>
      </c>
      <c r="T45" s="417" t="str">
        <f>Main!AB49</f>
        <v>NaN</v>
      </c>
      <c r="U45" s="452">
        <v>9</v>
      </c>
      <c r="V45" s="417" t="str">
        <f>Main!AC49</f>
        <v>NaN</v>
      </c>
      <c r="W45" s="417" t="s">
        <v>3656</v>
      </c>
      <c r="X45" s="417" t="s">
        <v>3656</v>
      </c>
      <c r="Y45" s="417" t="s">
        <v>3656</v>
      </c>
      <c r="Z45" s="417" t="s">
        <v>3656</v>
      </c>
      <c r="AA45" s="417" t="s">
        <v>3656</v>
      </c>
      <c r="AB45" s="417" t="s">
        <v>3656</v>
      </c>
      <c r="AC45" s="419">
        <f>Main!T49</f>
        <v>45002</v>
      </c>
      <c r="AD45" s="419">
        <f>Main!U49</f>
        <v>45019</v>
      </c>
      <c r="AE45" s="419">
        <f>Main!V49</f>
        <v>45010.5</v>
      </c>
      <c r="AF45" s="415">
        <f>Main!H49</f>
        <v>17</v>
      </c>
      <c r="AG45" s="417" t="s">
        <v>3656</v>
      </c>
      <c r="AH45" s="417" t="s">
        <v>3656</v>
      </c>
      <c r="AI45" s="417" t="s">
        <v>3656</v>
      </c>
      <c r="AJ45" s="417" t="s">
        <v>3656</v>
      </c>
      <c r="AK45" s="417" t="s">
        <v>3656</v>
      </c>
      <c r="AL45" s="417" t="s">
        <v>3656</v>
      </c>
      <c r="AM45" s="399">
        <f>depths!$B$3</f>
        <v>2270.8000000000002</v>
      </c>
      <c r="AN45" s="363"/>
      <c r="AO45" s="417" t="s">
        <v>3656</v>
      </c>
      <c r="AP45" s="452">
        <v>3</v>
      </c>
      <c r="AQ45" s="417" t="s">
        <v>3656</v>
      </c>
      <c r="AR45" s="452">
        <v>3</v>
      </c>
      <c r="AS45" s="417" t="s">
        <v>3656</v>
      </c>
      <c r="AT45" s="452">
        <v>3</v>
      </c>
      <c r="AU45" s="417" t="s">
        <v>3656</v>
      </c>
      <c r="AV45" s="452">
        <v>3</v>
      </c>
      <c r="AW45" s="417" t="s">
        <v>3656</v>
      </c>
      <c r="AX45" s="452">
        <v>3</v>
      </c>
      <c r="AY45" s="417" t="s">
        <v>3656</v>
      </c>
      <c r="AZ45" s="417" t="s">
        <v>3656</v>
      </c>
      <c r="BA45" s="417">
        <f>Main!R49</f>
        <v>40.24358958265212</v>
      </c>
      <c r="BB45" s="400">
        <v>2</v>
      </c>
      <c r="BC45" s="417">
        <f>Main!S49</f>
        <v>8.65</v>
      </c>
      <c r="BD45" s="400">
        <v>1</v>
      </c>
    </row>
    <row r="46" spans="1:56">
      <c r="A46" s="44">
        <f>Main!A50</f>
        <v>2022</v>
      </c>
      <c r="B46" s="44" t="str">
        <f>Main!B50</f>
        <v>47_2000</v>
      </c>
      <c r="C46" s="44">
        <v>20</v>
      </c>
      <c r="D46" s="44" t="str">
        <f>Main!$B$30</f>
        <v>McLane-PARFLUX-Mark78H-21 ; frame# 12419-02, controller# 12419-02 and Motor # 12419-02 Cup set ABx21</v>
      </c>
      <c r="E46" s="44">
        <v>2000</v>
      </c>
      <c r="F46" s="393">
        <v>1</v>
      </c>
      <c r="G46" s="398">
        <f>Main!E50</f>
        <v>235.82857142857142</v>
      </c>
      <c r="H46" s="208">
        <f>Main!I50</f>
        <v>27.744537815126051</v>
      </c>
      <c r="I46" s="208">
        <f>Main!J50</f>
        <v>10.13369243697479</v>
      </c>
      <c r="J46" s="505">
        <v>3</v>
      </c>
      <c r="K46" s="399">
        <f>Main!AF50</f>
        <v>52.769539895909041</v>
      </c>
      <c r="L46" s="399">
        <f>Main!AG50</f>
        <v>6.3321191299747275</v>
      </c>
      <c r="M46" s="452">
        <v>1</v>
      </c>
      <c r="N46" s="399">
        <f>Main!M50</f>
        <v>15.185502052307129</v>
      </c>
      <c r="O46" s="452">
        <v>1</v>
      </c>
      <c r="P46" s="399">
        <f>Main!O50</f>
        <v>1.3417773246765137</v>
      </c>
      <c r="Q46" s="452">
        <v>1</v>
      </c>
      <c r="R46" s="399">
        <f>Main!AH50</f>
        <v>8.8533829223324005</v>
      </c>
      <c r="S46" s="452">
        <v>1</v>
      </c>
      <c r="T46" s="399">
        <f>Main!AB50</f>
        <v>8.4289366031335415</v>
      </c>
      <c r="U46" s="452">
        <v>3</v>
      </c>
      <c r="V46" s="399">
        <f>Main!AC50</f>
        <v>18.031142772598596</v>
      </c>
      <c r="W46" s="399">
        <f t="shared" si="19"/>
        <v>5.3475028734581294</v>
      </c>
      <c r="X46" s="399">
        <f t="shared" si="20"/>
        <v>0.64167747737448289</v>
      </c>
      <c r="Y46" s="399">
        <f t="shared" si="21"/>
        <v>1.5388520729912991</v>
      </c>
      <c r="Z46" s="399">
        <f t="shared" si="22"/>
        <v>0.13597158727178654</v>
      </c>
      <c r="AA46" s="399">
        <f t="shared" si="23"/>
        <v>0.89717459561681623</v>
      </c>
      <c r="AB46" s="399">
        <f t="shared" si="5"/>
        <v>1.8272205514469504</v>
      </c>
      <c r="AC46" s="63">
        <f>Main!T50</f>
        <v>45019</v>
      </c>
      <c r="AD46" s="63">
        <f>Main!U50</f>
        <v>45036</v>
      </c>
      <c r="AE46" s="63">
        <f>Main!V50</f>
        <v>45027.5</v>
      </c>
      <c r="AF46" s="398">
        <f>Main!H50</f>
        <v>17</v>
      </c>
      <c r="AG46" s="208">
        <f t="shared" si="6"/>
        <v>0.85416251106914343</v>
      </c>
      <c r="AH46" s="208">
        <f t="shared" si="7"/>
        <v>0.12813089700177346</v>
      </c>
      <c r="AI46" s="208">
        <f t="shared" si="8"/>
        <v>9.7053238595136721E-3</v>
      </c>
      <c r="AJ46" s="208">
        <f t="shared" si="9"/>
        <v>7.4702297719968044E-2</v>
      </c>
      <c r="AK46" s="208">
        <f t="shared" si="10"/>
        <v>5.3428599281805406E-2</v>
      </c>
      <c r="AL46" s="208">
        <f t="shared" si="11"/>
        <v>3.0408063761806457E-2</v>
      </c>
      <c r="AM46" s="399">
        <f>depths!$B$3</f>
        <v>2270.8000000000002</v>
      </c>
      <c r="AN46" s="44"/>
      <c r="AO46" s="399">
        <f t="shared" si="12"/>
        <v>128.13089700177346</v>
      </c>
      <c r="AP46" s="452">
        <v>3</v>
      </c>
      <c r="AQ46" s="399">
        <f t="shared" si="13"/>
        <v>9.7053238595136726</v>
      </c>
      <c r="AR46" s="452">
        <v>3</v>
      </c>
      <c r="AS46" s="399">
        <f t="shared" si="14"/>
        <v>74.702297719968044</v>
      </c>
      <c r="AT46" s="452">
        <v>3</v>
      </c>
      <c r="AU46" s="399">
        <f t="shared" si="15"/>
        <v>53.428599281805404</v>
      </c>
      <c r="AV46" s="452">
        <v>3</v>
      </c>
      <c r="AW46" s="399">
        <f t="shared" si="16"/>
        <v>30.408063761806456</v>
      </c>
      <c r="AX46" s="452">
        <v>3</v>
      </c>
      <c r="AY46" s="399">
        <f t="shared" si="17"/>
        <v>7.6970432724654412</v>
      </c>
      <c r="AZ46" s="399">
        <f t="shared" si="18"/>
        <v>5.5050815464990235</v>
      </c>
      <c r="BA46" s="399">
        <f>Main!R50</f>
        <v>39.734815737579275</v>
      </c>
      <c r="BB46" s="400">
        <v>2</v>
      </c>
      <c r="BC46" s="399">
        <f>Main!S50</f>
        <v>8.61</v>
      </c>
      <c r="BD46" s="400">
        <v>1</v>
      </c>
    </row>
    <row r="47" spans="1:56" s="195" customFormat="1" ht="15" thickBot="1">
      <c r="A47" s="391">
        <f>Main!A51</f>
        <v>2022</v>
      </c>
      <c r="B47" s="391" t="str">
        <f>Main!B51</f>
        <v>47_2000</v>
      </c>
      <c r="C47" s="391">
        <v>21</v>
      </c>
      <c r="D47" s="44" t="str">
        <f>Main!$B$30</f>
        <v>McLane-PARFLUX-Mark78H-21 ; frame# 12419-02, controller# 12419-02 and Motor # 12419-02 Cup set ABx21</v>
      </c>
      <c r="E47" s="391">
        <v>2000</v>
      </c>
      <c r="F47" s="393">
        <v>1</v>
      </c>
      <c r="G47" s="402">
        <f>Main!E51</f>
        <v>27.142857142857146</v>
      </c>
      <c r="H47" s="403">
        <f>Main!I51</f>
        <v>3.1932773109243699</v>
      </c>
      <c r="I47" s="403">
        <f>Main!J51</f>
        <v>1.1663445378151263</v>
      </c>
      <c r="J47" s="506">
        <v>3</v>
      </c>
      <c r="K47" s="404">
        <f>Main!AF51</f>
        <v>53.656208178012044</v>
      </c>
      <c r="L47" s="404">
        <f>Main!AG51</f>
        <v>6.4385155321817802</v>
      </c>
      <c r="M47" s="518">
        <v>1</v>
      </c>
      <c r="N47" s="404">
        <f>Main!M51</f>
        <v>15.645127296447754</v>
      </c>
      <c r="O47" s="518">
        <v>1</v>
      </c>
      <c r="P47" s="404">
        <f>Main!O51</f>
        <v>1.4059737920761108</v>
      </c>
      <c r="Q47" s="518">
        <v>1</v>
      </c>
      <c r="R47" s="404">
        <f>Main!AH51</f>
        <v>9.2066117642659737</v>
      </c>
      <c r="S47" s="518">
        <v>1</v>
      </c>
      <c r="T47" s="404">
        <f>Main!AB51</f>
        <v>6.8890644374282441</v>
      </c>
      <c r="U47" s="518">
        <v>1</v>
      </c>
      <c r="V47" s="404">
        <f>Main!AC51</f>
        <v>14.737055252583239</v>
      </c>
      <c r="W47" s="404">
        <f t="shared" si="0"/>
        <v>0.62581625328295654</v>
      </c>
      <c r="X47" s="404">
        <f t="shared" si="1"/>
        <v>7.509527422598071E-2</v>
      </c>
      <c r="Y47" s="404">
        <f t="shared" si="2"/>
        <v>0.18247608765634171</v>
      </c>
      <c r="Z47" s="404">
        <f t="shared" si="3"/>
        <v>1.639849852699192E-2</v>
      </c>
      <c r="AA47" s="404">
        <f t="shared" si="4"/>
        <v>0.107380813430361</v>
      </c>
      <c r="AB47" s="404">
        <f t="shared" si="5"/>
        <v>0.17188483897330176</v>
      </c>
      <c r="AC47" s="405">
        <f>Main!T51</f>
        <v>45036</v>
      </c>
      <c r="AD47" s="405">
        <f>Main!U51</f>
        <v>45053</v>
      </c>
      <c r="AE47" s="405">
        <f>Main!V51</f>
        <v>45044.5</v>
      </c>
      <c r="AF47" s="402">
        <f>Main!H51</f>
        <v>17</v>
      </c>
      <c r="AG47" s="403">
        <f t="shared" si="6"/>
        <v>8.0350226772508679E-2</v>
      </c>
      <c r="AH47" s="403">
        <f t="shared" si="7"/>
        <v>1.5193679238662924E-2</v>
      </c>
      <c r="AI47" s="403">
        <f t="shared" si="8"/>
        <v>1.1704852624548122E-3</v>
      </c>
      <c r="AJ47" s="403">
        <f t="shared" si="9"/>
        <v>8.9409503272573684E-3</v>
      </c>
      <c r="AK47" s="403">
        <f t="shared" si="10"/>
        <v>6.2527289114055543E-3</v>
      </c>
      <c r="AL47" s="403">
        <f t="shared" si="11"/>
        <v>2.8604566312747837E-3</v>
      </c>
      <c r="AM47" s="404">
        <f>depths!$B$3</f>
        <v>2270.8000000000002</v>
      </c>
      <c r="AN47" s="391"/>
      <c r="AO47" s="404">
        <f t="shared" si="12"/>
        <v>15.193679238662924</v>
      </c>
      <c r="AP47" s="452">
        <v>3</v>
      </c>
      <c r="AQ47" s="404">
        <f t="shared" si="13"/>
        <v>1.1704852624548121</v>
      </c>
      <c r="AR47" s="452">
        <v>3</v>
      </c>
      <c r="AS47" s="404">
        <f t="shared" si="14"/>
        <v>8.9409503272573687</v>
      </c>
      <c r="AT47" s="452">
        <v>3</v>
      </c>
      <c r="AU47" s="404">
        <f t="shared" si="15"/>
        <v>6.252728911405554</v>
      </c>
      <c r="AV47" s="452">
        <v>3</v>
      </c>
      <c r="AW47" s="404">
        <f t="shared" si="16"/>
        <v>2.8604566312747837</v>
      </c>
      <c r="AX47" s="452">
        <v>3</v>
      </c>
      <c r="AY47" s="404">
        <f t="shared" si="17"/>
        <v>7.6386697159312114</v>
      </c>
      <c r="AZ47" s="404">
        <f t="shared" si="18"/>
        <v>5.3419971288591492</v>
      </c>
      <c r="BA47" s="404">
        <f>Main!R51</f>
        <v>39.952797679863593</v>
      </c>
      <c r="BB47" s="406">
        <v>2</v>
      </c>
      <c r="BC47" s="404">
        <f>Main!S51</f>
        <v>8.66</v>
      </c>
      <c r="BD47" s="400">
        <v>1</v>
      </c>
    </row>
    <row r="48" spans="1:56">
      <c r="A48" s="44">
        <f>Main!A55</f>
        <v>2022</v>
      </c>
      <c r="B48" s="44" t="str">
        <f>Main!B55</f>
        <v>47_3800</v>
      </c>
      <c r="C48" s="44">
        <v>1</v>
      </c>
      <c r="D48" s="44" t="str">
        <f>Main!$B$54</f>
        <v>McLane-PARFLUX-Mark78H-21 ; frame# 12993-01, controller# 12993-01 and Motor # 12993-01 Cup set ACx21</v>
      </c>
      <c r="E48" s="44">
        <v>3800</v>
      </c>
      <c r="F48" s="393">
        <v>1</v>
      </c>
      <c r="G48" s="398">
        <f>Main!E55</f>
        <v>351.81428571428569</v>
      </c>
      <c r="H48" s="208">
        <f>Main!I55</f>
        <v>41.389915966386553</v>
      </c>
      <c r="I48" s="208">
        <f>Main!J55</f>
        <v>15.117666806722688</v>
      </c>
      <c r="J48" s="505">
        <v>3</v>
      </c>
      <c r="K48" s="399">
        <f>Main!AF55</f>
        <v>77.489697265803002</v>
      </c>
      <c r="L48" s="399">
        <f>Main!AG55</f>
        <v>9.2984323039508077</v>
      </c>
      <c r="M48" s="452">
        <v>1</v>
      </c>
      <c r="N48" s="399">
        <f>Main!M55</f>
        <v>13.722061157226563</v>
      </c>
      <c r="O48" s="452">
        <v>1</v>
      </c>
      <c r="P48" s="399">
        <f>Main!O55</f>
        <v>0.75171852111816406</v>
      </c>
      <c r="Q48" s="452">
        <v>1</v>
      </c>
      <c r="R48" s="399">
        <f>Main!AH55</f>
        <v>4.4236288532757548</v>
      </c>
      <c r="S48" s="452">
        <v>1</v>
      </c>
      <c r="T48" s="399">
        <f>Main!AB55</f>
        <v>2.9817780428992289</v>
      </c>
      <c r="U48" s="452">
        <v>1</v>
      </c>
      <c r="V48" s="399">
        <f>Main!AC55</f>
        <v>6.3786060020581932</v>
      </c>
      <c r="W48" s="399">
        <f t="shared" ref="W48:W60" si="24">(K48/100)*$I48</f>
        <v>11.7146342421822</v>
      </c>
      <c r="X48" s="399">
        <f t="shared" ref="X48:X60" si="25">(L48/100)*$I48</f>
        <v>1.4057060139599509</v>
      </c>
      <c r="Y48" s="399">
        <f t="shared" ref="Y48:Y60" si="26">(N48/100)*$I48</f>
        <v>2.0744554847642269</v>
      </c>
      <c r="Z48" s="399">
        <f t="shared" ref="Z48:Z60" si="27">(P48/100)*$I48</f>
        <v>0.11364230134706738</v>
      </c>
      <c r="AA48" s="399">
        <f t="shared" ref="AA48:AA60" si="28">(R48/100)*$I48</f>
        <v>0.66874947080427627</v>
      </c>
      <c r="AB48" s="399">
        <f t="shared" ref="AB48:AB60" si="29">(V48/100)*$I48</f>
        <v>0.96429640230477254</v>
      </c>
      <c r="AC48" s="63">
        <f>Main!T55</f>
        <v>44696</v>
      </c>
      <c r="AD48" s="63">
        <f>Main!U55</f>
        <v>44713</v>
      </c>
      <c r="AE48" s="63">
        <f>Main!V55</f>
        <v>44704.5</v>
      </c>
      <c r="AF48" s="398">
        <f>Main!H55</f>
        <v>17</v>
      </c>
      <c r="AG48" s="208">
        <f t="shared" ref="AG48:AG60" si="30">(T48/100)*$I48</f>
        <v>0.45077526944152213</v>
      </c>
      <c r="AH48" s="208">
        <f t="shared" ref="AH48:AH60" si="31">Y48/12.01</f>
        <v>0.17272735093790401</v>
      </c>
      <c r="AI48" s="208">
        <f t="shared" ref="AI48:AI60" si="32">Z48/14.01</f>
        <v>8.1115133010040957E-3</v>
      </c>
      <c r="AJ48" s="208">
        <f t="shared" ref="AJ48:AJ60" si="33">AA48/12.01</f>
        <v>5.5682720300106271E-2</v>
      </c>
      <c r="AK48" s="208">
        <f t="shared" ref="AK48:AK60" si="34">X48/12.01</f>
        <v>0.11704463063779774</v>
      </c>
      <c r="AL48" s="208">
        <f t="shared" ref="AL48:AL60" si="35">AG48/28.09</f>
        <v>1.6047535401976579E-2</v>
      </c>
      <c r="AM48" s="399">
        <f>depths!$B$4</f>
        <v>3992.7</v>
      </c>
      <c r="AN48" s="44"/>
      <c r="AO48" s="399">
        <f t="shared" ref="AO48:AO60" si="36">AH48*1000</f>
        <v>172.72735093790399</v>
      </c>
      <c r="AP48" s="452">
        <v>3</v>
      </c>
      <c r="AQ48" s="399">
        <f t="shared" ref="AQ48:AQ60" si="37">AI48*1000</f>
        <v>8.111513301004095</v>
      </c>
      <c r="AR48" s="452">
        <v>3</v>
      </c>
      <c r="AS48" s="399">
        <f t="shared" ref="AS48:AS60" si="38">AJ48*1000</f>
        <v>55.682720300106268</v>
      </c>
      <c r="AT48" s="452">
        <v>3</v>
      </c>
      <c r="AU48" s="399">
        <f t="shared" ref="AU48:AU60" si="39">AK48*1000</f>
        <v>117.04463063779774</v>
      </c>
      <c r="AV48" s="452">
        <v>3</v>
      </c>
      <c r="AW48" s="399">
        <f t="shared" ref="AW48:AW60" si="40">AL48*1000</f>
        <v>16.047535401976578</v>
      </c>
      <c r="AX48" s="452">
        <v>3</v>
      </c>
      <c r="AY48" s="399">
        <f t="shared" ref="AY48:AY60" si="41">AS48/AQ48</f>
        <v>6.8646525295364436</v>
      </c>
      <c r="AZ48" s="399">
        <f t="shared" ref="AZ48:AZ60" si="42">AU48/AQ48</f>
        <v>14.429444456844964</v>
      </c>
      <c r="BA48" s="399">
        <f>Main!R55</f>
        <v>38.791347926916671</v>
      </c>
      <c r="BB48" s="400">
        <v>2</v>
      </c>
      <c r="BC48" s="399">
        <f>Main!S55</f>
        <v>8.5399999999999991</v>
      </c>
      <c r="BD48" s="400">
        <v>1</v>
      </c>
    </row>
    <row r="49" spans="1:56">
      <c r="A49" s="44">
        <f>Main!A56</f>
        <v>2022</v>
      </c>
      <c r="B49" s="44" t="str">
        <f>Main!B56</f>
        <v>47_3800</v>
      </c>
      <c r="C49" s="44">
        <v>2</v>
      </c>
      <c r="D49" s="44" t="str">
        <f>Main!$B$54</f>
        <v>McLane-PARFLUX-Mark78H-21 ; frame# 12993-01, controller# 12993-01 and Motor # 12993-01 Cup set ACx21</v>
      </c>
      <c r="E49" s="44">
        <v>3800</v>
      </c>
      <c r="F49" s="393">
        <v>1</v>
      </c>
      <c r="G49" s="398">
        <f>Main!E56</f>
        <v>293.91428571428571</v>
      </c>
      <c r="H49" s="208">
        <f>Main!I56</f>
        <v>34.5781512605042</v>
      </c>
      <c r="I49" s="208">
        <f>Main!J56</f>
        <v>12.629669747899161</v>
      </c>
      <c r="J49" s="505">
        <v>3</v>
      </c>
      <c r="K49" s="399">
        <f>Main!AF56</f>
        <v>74.926814619169619</v>
      </c>
      <c r="L49" s="399">
        <f>Main!AG56</f>
        <v>8.9908973459686248</v>
      </c>
      <c r="M49" s="452">
        <v>1</v>
      </c>
      <c r="N49" s="399">
        <f>Main!M56</f>
        <v>13.56171989440918</v>
      </c>
      <c r="O49" s="452">
        <v>1</v>
      </c>
      <c r="P49" s="399">
        <f>Main!O56</f>
        <v>0.72249287366867065</v>
      </c>
      <c r="Q49" s="452">
        <v>1</v>
      </c>
      <c r="R49" s="399">
        <f>Main!AH56</f>
        <v>4.5708225484405549</v>
      </c>
      <c r="S49" s="452">
        <v>1</v>
      </c>
      <c r="T49" s="399">
        <f>Main!AB56</f>
        <v>3.1893919758275429</v>
      </c>
      <c r="U49" s="452">
        <v>1</v>
      </c>
      <c r="V49" s="399">
        <f>Main!AC56</f>
        <v>6.8227327813270584</v>
      </c>
      <c r="W49" s="399">
        <f t="shared" si="24"/>
        <v>9.4630092390217513</v>
      </c>
      <c r="X49" s="399">
        <f t="shared" si="25"/>
        <v>1.135520642168468</v>
      </c>
      <c r="Y49" s="399">
        <f t="shared" si="26"/>
        <v>1.7128004347990182</v>
      </c>
      <c r="Z49" s="399">
        <f t="shared" si="27"/>
        <v>9.1248463896459409E-2</v>
      </c>
      <c r="AA49" s="399">
        <f t="shared" si="28"/>
        <v>0.57727979263055018</v>
      </c>
      <c r="AB49" s="399">
        <f t="shared" si="29"/>
        <v>0.86168861806326247</v>
      </c>
      <c r="AC49" s="63">
        <f>Main!T56</f>
        <v>44713</v>
      </c>
      <c r="AD49" s="63">
        <f>Main!U56</f>
        <v>44730</v>
      </c>
      <c r="AE49" s="63">
        <f>Main!V56</f>
        <v>44721.5</v>
      </c>
      <c r="AF49" s="398">
        <f>Main!H56</f>
        <v>17</v>
      </c>
      <c r="AG49" s="208">
        <f t="shared" si="30"/>
        <v>0.4028096735130145</v>
      </c>
      <c r="AH49" s="208">
        <f t="shared" si="31"/>
        <v>0.14261452412981002</v>
      </c>
      <c r="AI49" s="208">
        <f t="shared" si="32"/>
        <v>6.5130952103111643E-3</v>
      </c>
      <c r="AJ49" s="208">
        <f t="shared" si="33"/>
        <v>4.8066593890970039E-2</v>
      </c>
      <c r="AK49" s="208">
        <f t="shared" si="34"/>
        <v>9.4547930238839978E-2</v>
      </c>
      <c r="AL49" s="208">
        <f t="shared" si="35"/>
        <v>1.4339967017195247E-2</v>
      </c>
      <c r="AM49" s="399">
        <f>depths!$B$4</f>
        <v>3992.7</v>
      </c>
      <c r="AN49" s="44"/>
      <c r="AO49" s="399">
        <f t="shared" si="36"/>
        <v>142.61452412981001</v>
      </c>
      <c r="AP49" s="452">
        <v>3</v>
      </c>
      <c r="AQ49" s="399">
        <f t="shared" si="37"/>
        <v>6.5130952103111639</v>
      </c>
      <c r="AR49" s="452">
        <v>3</v>
      </c>
      <c r="AS49" s="399">
        <f t="shared" si="38"/>
        <v>48.06659389097004</v>
      </c>
      <c r="AT49" s="452">
        <v>3</v>
      </c>
      <c r="AU49" s="399">
        <f t="shared" si="39"/>
        <v>94.547930238839982</v>
      </c>
      <c r="AV49" s="452">
        <v>3</v>
      </c>
      <c r="AW49" s="399">
        <f t="shared" si="40"/>
        <v>14.339967017195248</v>
      </c>
      <c r="AX49" s="452">
        <v>3</v>
      </c>
      <c r="AY49" s="399">
        <f t="shared" si="41"/>
        <v>7.3799925133711737</v>
      </c>
      <c r="AZ49" s="399">
        <f t="shared" si="42"/>
        <v>14.516589606913323</v>
      </c>
      <c r="BA49" s="399">
        <f>Main!R56</f>
        <v>38.936377437123824</v>
      </c>
      <c r="BB49" s="400">
        <v>2</v>
      </c>
      <c r="BC49" s="399">
        <f>Main!S56</f>
        <v>8.56</v>
      </c>
      <c r="BD49" s="400">
        <v>1</v>
      </c>
    </row>
    <row r="50" spans="1:56">
      <c r="A50" s="44">
        <f>Main!A57</f>
        <v>2022</v>
      </c>
      <c r="B50" s="44" t="str">
        <f>Main!B57</f>
        <v>47_3800</v>
      </c>
      <c r="C50" s="44">
        <v>3</v>
      </c>
      <c r="D50" s="44" t="str">
        <f>Main!$B$54</f>
        <v>McLane-PARFLUX-Mark78H-21 ; frame# 12993-01, controller# 12993-01 and Motor # 12993-01 Cup set ACx21</v>
      </c>
      <c r="E50" s="44">
        <v>3800</v>
      </c>
      <c r="F50" s="393">
        <v>1</v>
      </c>
      <c r="G50" s="398">
        <f>Main!E57</f>
        <v>214.01428571428571</v>
      </c>
      <c r="H50" s="208">
        <f>Main!I57</f>
        <v>25.178151260504201</v>
      </c>
      <c r="I50" s="208">
        <f>Main!J57</f>
        <v>9.1963197478991585</v>
      </c>
      <c r="J50" s="505">
        <v>3</v>
      </c>
      <c r="K50" s="399">
        <f>Main!AF57</f>
        <v>75.648154819494309</v>
      </c>
      <c r="L50" s="399">
        <f>Main!AG57</f>
        <v>9.0774550853520957</v>
      </c>
      <c r="M50" s="452">
        <v>1</v>
      </c>
      <c r="N50" s="399">
        <f>Main!M57</f>
        <v>13.43907642364502</v>
      </c>
      <c r="O50" s="452">
        <v>1</v>
      </c>
      <c r="P50" s="399">
        <f>Main!O57</f>
        <v>0.66684079170227051</v>
      </c>
      <c r="Q50" s="452">
        <v>1</v>
      </c>
      <c r="R50" s="399">
        <f>Main!AH57</f>
        <v>4.3616213382929239</v>
      </c>
      <c r="S50" s="452">
        <v>1</v>
      </c>
      <c r="T50" s="399">
        <f>Main!AB57</f>
        <v>2.8857565008631845</v>
      </c>
      <c r="U50" s="452">
        <v>1</v>
      </c>
      <c r="V50" s="399">
        <f>Main!AC57</f>
        <v>6.1731971568838997</v>
      </c>
      <c r="W50" s="399">
        <f t="shared" si="24"/>
        <v>6.956846200586484</v>
      </c>
      <c r="X50" s="399">
        <f t="shared" si="25"/>
        <v>0.83479179462091124</v>
      </c>
      <c r="Y50" s="399">
        <f t="shared" si="26"/>
        <v>1.2359004390829269</v>
      </c>
      <c r="Z50" s="399">
        <f t="shared" si="27"/>
        <v>6.1324811414363002E-2</v>
      </c>
      <c r="AA50" s="399">
        <f t="shared" si="28"/>
        <v>0.40110864446201572</v>
      </c>
      <c r="AB50" s="399">
        <f t="shared" si="29"/>
        <v>0.56770694921526355</v>
      </c>
      <c r="AC50" s="63">
        <f>Main!T57</f>
        <v>44730</v>
      </c>
      <c r="AD50" s="63">
        <f>Main!U57</f>
        <v>44747</v>
      </c>
      <c r="AE50" s="63">
        <f>Main!V57</f>
        <v>44738.5</v>
      </c>
      <c r="AF50" s="398">
        <f>Main!H57</f>
        <v>17</v>
      </c>
      <c r="AG50" s="208">
        <f t="shared" si="30"/>
        <v>0.26538339496516478</v>
      </c>
      <c r="AH50" s="208">
        <f t="shared" si="31"/>
        <v>0.10290594829999392</v>
      </c>
      <c r="AI50" s="208">
        <f t="shared" si="32"/>
        <v>4.3772170888196288E-3</v>
      </c>
      <c r="AJ50" s="208">
        <f t="shared" si="33"/>
        <v>3.3397888797836443E-2</v>
      </c>
      <c r="AK50" s="208">
        <f t="shared" si="34"/>
        <v>6.9508059502157479E-2</v>
      </c>
      <c r="AL50" s="208">
        <f t="shared" si="35"/>
        <v>9.4476110703155848E-3</v>
      </c>
      <c r="AM50" s="399">
        <f>depths!$B$4</f>
        <v>3992.7</v>
      </c>
      <c r="AN50" s="44"/>
      <c r="AO50" s="399">
        <f t="shared" si="36"/>
        <v>102.90594829999391</v>
      </c>
      <c r="AP50" s="452">
        <v>3</v>
      </c>
      <c r="AQ50" s="399">
        <f t="shared" si="37"/>
        <v>4.3772170888196289</v>
      </c>
      <c r="AR50" s="452">
        <v>3</v>
      </c>
      <c r="AS50" s="399">
        <f t="shared" si="38"/>
        <v>33.397888797836444</v>
      </c>
      <c r="AT50" s="452">
        <v>3</v>
      </c>
      <c r="AU50" s="399">
        <f t="shared" si="39"/>
        <v>69.508059502157479</v>
      </c>
      <c r="AV50" s="452">
        <v>3</v>
      </c>
      <c r="AW50" s="399">
        <f t="shared" si="40"/>
        <v>9.4476110703155847</v>
      </c>
      <c r="AX50" s="452">
        <v>3</v>
      </c>
      <c r="AY50" s="399">
        <f t="shared" si="41"/>
        <v>7.6299365830271402</v>
      </c>
      <c r="AZ50" s="399">
        <f t="shared" si="42"/>
        <v>15.879509307339653</v>
      </c>
      <c r="BA50" s="399">
        <f>Main!R57</f>
        <v>39.081455997028186</v>
      </c>
      <c r="BB50" s="400">
        <v>2</v>
      </c>
      <c r="BC50" s="399">
        <f>Main!S57</f>
        <v>8.5949999999999989</v>
      </c>
      <c r="BD50" s="400">
        <v>1</v>
      </c>
    </row>
    <row r="51" spans="1:56">
      <c r="A51" s="44">
        <f>Main!A58</f>
        <v>2022</v>
      </c>
      <c r="B51" s="44" t="str">
        <f>Main!B58</f>
        <v>47_3800</v>
      </c>
      <c r="C51" s="44">
        <v>4</v>
      </c>
      <c r="D51" s="44" t="str">
        <f>Main!$B$54</f>
        <v>McLane-PARFLUX-Mark78H-21 ; frame# 12993-01, controller# 12993-01 and Motor # 12993-01 Cup set ACx21</v>
      </c>
      <c r="E51" s="44">
        <v>3800</v>
      </c>
      <c r="F51" s="393">
        <v>1</v>
      </c>
      <c r="G51" s="398">
        <f>Main!E58</f>
        <v>205.2285714285714</v>
      </c>
      <c r="H51" s="208">
        <f>Main!I58</f>
        <v>24.144537815126046</v>
      </c>
      <c r="I51" s="208">
        <f>Main!J58</f>
        <v>8.818792436974789</v>
      </c>
      <c r="J51" s="505">
        <v>3</v>
      </c>
      <c r="K51" s="399">
        <f>Main!AF58</f>
        <v>66.848783464945782</v>
      </c>
      <c r="L51" s="399">
        <f>Main!AG58</f>
        <v>8.0215681514164068</v>
      </c>
      <c r="M51" s="452">
        <v>1</v>
      </c>
      <c r="N51" s="399">
        <f>Main!M58</f>
        <v>15.685426712036133</v>
      </c>
      <c r="O51" s="520">
        <v>3</v>
      </c>
      <c r="P51" s="399">
        <f>Main!O58</f>
        <v>1.2000707387924194</v>
      </c>
      <c r="Q51" s="520">
        <v>3</v>
      </c>
      <c r="R51" s="399">
        <f>Main!AH58</f>
        <v>7.663858560619726</v>
      </c>
      <c r="S51" s="520">
        <v>3</v>
      </c>
      <c r="T51" s="399">
        <f>Main!AB58</f>
        <v>3.1093136535900041</v>
      </c>
      <c r="U51" s="452">
        <v>1</v>
      </c>
      <c r="V51" s="399">
        <f>Main!AC58</f>
        <v>6.6514295992959536</v>
      </c>
      <c r="W51" s="399">
        <f t="shared" si="24"/>
        <v>5.8952554604162923</v>
      </c>
      <c r="X51" s="399">
        <f t="shared" si="25"/>
        <v>0.7074054454638885</v>
      </c>
      <c r="Y51" s="399">
        <f t="shared" si="26"/>
        <v>1.3832652245882657</v>
      </c>
      <c r="Z51" s="399">
        <f t="shared" si="27"/>
        <v>0.10583174755097335</v>
      </c>
      <c r="AA51" s="399">
        <f t="shared" si="28"/>
        <v>0.67585977912437722</v>
      </c>
      <c r="AB51" s="399">
        <f t="shared" si="29"/>
        <v>0.58657577045341402</v>
      </c>
      <c r="AC51" s="63">
        <f>Main!T58</f>
        <v>44747</v>
      </c>
      <c r="AD51" s="63">
        <f>Main!U58</f>
        <v>44764</v>
      </c>
      <c r="AE51" s="63">
        <f>Main!V58</f>
        <v>44755.5</v>
      </c>
      <c r="AF51" s="398">
        <f>Main!H58</f>
        <v>17</v>
      </c>
      <c r="AG51" s="208">
        <f t="shared" si="30"/>
        <v>0.27420391732461974</v>
      </c>
      <c r="AH51" s="208">
        <f t="shared" si="31"/>
        <v>0.11517612194739932</v>
      </c>
      <c r="AI51" s="208">
        <f t="shared" si="32"/>
        <v>7.5540148144877485E-3</v>
      </c>
      <c r="AJ51" s="208">
        <f t="shared" si="33"/>
        <v>5.6274752633170458E-2</v>
      </c>
      <c r="AK51" s="208">
        <f t="shared" si="34"/>
        <v>5.8901369314228853E-2</v>
      </c>
      <c r="AL51" s="208">
        <f t="shared" si="35"/>
        <v>9.7616204102748214E-3</v>
      </c>
      <c r="AM51" s="399">
        <f>depths!$B$4</f>
        <v>3992.7</v>
      </c>
      <c r="AN51" s="44"/>
      <c r="AO51" s="399">
        <f t="shared" si="36"/>
        <v>115.17612194739932</v>
      </c>
      <c r="AP51" s="452">
        <v>3</v>
      </c>
      <c r="AQ51" s="399">
        <f t="shared" si="37"/>
        <v>7.5540148144877488</v>
      </c>
      <c r="AR51" s="452">
        <v>3</v>
      </c>
      <c r="AS51" s="399">
        <f t="shared" si="38"/>
        <v>56.274752633170458</v>
      </c>
      <c r="AT51" s="452">
        <v>3</v>
      </c>
      <c r="AU51" s="399">
        <f t="shared" si="39"/>
        <v>58.901369314228852</v>
      </c>
      <c r="AV51" s="452">
        <v>3</v>
      </c>
      <c r="AW51" s="399">
        <f t="shared" si="40"/>
        <v>9.761620410274821</v>
      </c>
      <c r="AX51" s="452">
        <v>3</v>
      </c>
      <c r="AY51" s="399">
        <f t="shared" si="41"/>
        <v>7.4496481692413186</v>
      </c>
      <c r="AZ51" s="399">
        <f t="shared" si="42"/>
        <v>7.7973595181813335</v>
      </c>
      <c r="BA51" s="399">
        <f>Main!R58</f>
        <v>39.008908556296177</v>
      </c>
      <c r="BB51" s="400">
        <v>2</v>
      </c>
      <c r="BC51" s="399">
        <f>Main!S58</f>
        <v>8.56</v>
      </c>
      <c r="BD51" s="400">
        <v>1</v>
      </c>
    </row>
    <row r="52" spans="1:56">
      <c r="A52" s="44">
        <f>Main!A59</f>
        <v>2022</v>
      </c>
      <c r="B52" s="44" t="str">
        <f>Main!B59</f>
        <v>47_3800</v>
      </c>
      <c r="C52" s="44">
        <v>5</v>
      </c>
      <c r="D52" s="44" t="str">
        <f>Main!$B$54</f>
        <v>McLane-PARFLUX-Mark78H-21 ; frame# 12993-01, controller# 12993-01 and Motor # 12993-01 Cup set ACx21</v>
      </c>
      <c r="E52" s="44">
        <v>3800</v>
      </c>
      <c r="F52" s="393">
        <v>1</v>
      </c>
      <c r="G52" s="398">
        <f>Main!E59</f>
        <v>329.88571428571436</v>
      </c>
      <c r="H52" s="208">
        <f>Main!I59</f>
        <v>38.810084033613457</v>
      </c>
      <c r="I52" s="208">
        <f>Main!J59</f>
        <v>14.175383193277314</v>
      </c>
      <c r="J52" s="505">
        <v>3</v>
      </c>
      <c r="K52" s="399">
        <f>Main!AF59</f>
        <v>76.970075613599562</v>
      </c>
      <c r="L52" s="399">
        <f>Main!AG59</f>
        <v>9.236079927736105</v>
      </c>
      <c r="M52" s="452">
        <v>1</v>
      </c>
      <c r="N52" s="399">
        <f>Main!M59</f>
        <v>12.691935539245605</v>
      </c>
      <c r="O52" s="452">
        <v>1</v>
      </c>
      <c r="P52" s="399">
        <f>Main!O59</f>
        <v>0.53777742385864258</v>
      </c>
      <c r="Q52" s="452">
        <v>1</v>
      </c>
      <c r="R52" s="399">
        <f>Main!AH59</f>
        <v>3.4558556115095005</v>
      </c>
      <c r="S52" s="452">
        <v>1</v>
      </c>
      <c r="T52" s="399">
        <f>Main!AB59</f>
        <v>3.5649032282377582</v>
      </c>
      <c r="U52" s="452">
        <v>1</v>
      </c>
      <c r="V52" s="399">
        <f>Main!AC59</f>
        <v>7.6260247413601601</v>
      </c>
      <c r="W52" s="399">
        <f t="shared" si="24"/>
        <v>10.910803162383033</v>
      </c>
      <c r="X52" s="399">
        <f t="shared" si="25"/>
        <v>1.3092497217939632</v>
      </c>
      <c r="Y52" s="399">
        <f t="shared" si="26"/>
        <v>1.7991304973318121</v>
      </c>
      <c r="Z52" s="399">
        <f t="shared" si="27"/>
        <v>7.6232010558897723E-2</v>
      </c>
      <c r="AA52" s="399">
        <f t="shared" si="28"/>
        <v>0.4898807755378487</v>
      </c>
      <c r="AB52" s="399">
        <f t="shared" si="29"/>
        <v>1.0810182295019379</v>
      </c>
      <c r="AC52" s="63">
        <f>Main!T59</f>
        <v>44764</v>
      </c>
      <c r="AD52" s="63">
        <f>Main!U59</f>
        <v>44781</v>
      </c>
      <c r="AE52" s="63">
        <f>Main!V59</f>
        <v>44772.5</v>
      </c>
      <c r="AF52" s="398">
        <f>Main!H59</f>
        <v>17</v>
      </c>
      <c r="AG52" s="208">
        <f t="shared" si="30"/>
        <v>0.50533869307221557</v>
      </c>
      <c r="AH52" s="208">
        <f t="shared" si="31"/>
        <v>0.14980270585610425</v>
      </c>
      <c r="AI52" s="208">
        <f t="shared" si="32"/>
        <v>5.4412569992075459E-3</v>
      </c>
      <c r="AJ52" s="208">
        <f t="shared" si="33"/>
        <v>4.0789406789163089E-2</v>
      </c>
      <c r="AK52" s="208">
        <f t="shared" si="34"/>
        <v>0.10901329906694114</v>
      </c>
      <c r="AL52" s="208">
        <f t="shared" si="35"/>
        <v>1.798998551342882E-2</v>
      </c>
      <c r="AM52" s="399">
        <f>depths!$B$4</f>
        <v>3992.7</v>
      </c>
      <c r="AN52" s="44"/>
      <c r="AO52" s="399">
        <f t="shared" si="36"/>
        <v>149.80270585610424</v>
      </c>
      <c r="AP52" s="452">
        <v>3</v>
      </c>
      <c r="AQ52" s="399">
        <f t="shared" si="37"/>
        <v>5.4412569992075461</v>
      </c>
      <c r="AR52" s="452">
        <v>3</v>
      </c>
      <c r="AS52" s="399">
        <f t="shared" si="38"/>
        <v>40.789406789163088</v>
      </c>
      <c r="AT52" s="452">
        <v>3</v>
      </c>
      <c r="AU52" s="399">
        <f t="shared" si="39"/>
        <v>109.01329906694114</v>
      </c>
      <c r="AV52" s="452">
        <v>3</v>
      </c>
      <c r="AW52" s="399">
        <f t="shared" si="40"/>
        <v>17.98998551342882</v>
      </c>
      <c r="AX52" s="452">
        <v>3</v>
      </c>
      <c r="AY52" s="399">
        <f t="shared" si="41"/>
        <v>7.4963205735556278</v>
      </c>
      <c r="AZ52" s="399">
        <f t="shared" si="42"/>
        <v>20.034580076408378</v>
      </c>
      <c r="BA52" s="399">
        <f>Main!R59</f>
        <v>38.501420298682284</v>
      </c>
      <c r="BB52" s="400">
        <v>2</v>
      </c>
      <c r="BC52" s="399">
        <f>Main!S59</f>
        <v>8.56</v>
      </c>
      <c r="BD52" s="400">
        <v>1</v>
      </c>
    </row>
    <row r="53" spans="1:56">
      <c r="A53" s="44">
        <f>Main!A60</f>
        <v>2022</v>
      </c>
      <c r="B53" s="44" t="str">
        <f>Main!B60</f>
        <v>47_3800</v>
      </c>
      <c r="C53" s="44">
        <v>6</v>
      </c>
      <c r="D53" s="44" t="str">
        <f>Main!$B$54</f>
        <v>McLane-PARFLUX-Mark78H-21 ; frame# 12993-01, controller# 12993-01 and Motor # 12993-01 Cup set ACx21</v>
      </c>
      <c r="E53" s="44">
        <v>3800</v>
      </c>
      <c r="F53" s="393">
        <v>1</v>
      </c>
      <c r="G53" s="398">
        <f>Main!E60</f>
        <v>196</v>
      </c>
      <c r="H53" s="208">
        <f>Main!I60</f>
        <v>23.058823529411764</v>
      </c>
      <c r="I53" s="208">
        <f>Main!J60</f>
        <v>8.4222352941176464</v>
      </c>
      <c r="J53" s="505">
        <v>3</v>
      </c>
      <c r="K53" s="399">
        <f>Main!AF60</f>
        <v>75.414397032601002</v>
      </c>
      <c r="L53" s="399">
        <f>Main!AG60</f>
        <v>9.0494051505395614</v>
      </c>
      <c r="M53" s="452">
        <v>1</v>
      </c>
      <c r="N53" s="399">
        <f>Main!M60</f>
        <v>11.987616539001465</v>
      </c>
      <c r="O53" s="452">
        <v>1</v>
      </c>
      <c r="P53" s="399">
        <f>Main!O60</f>
        <v>0.45570942759513855</v>
      </c>
      <c r="Q53" s="452">
        <v>1</v>
      </c>
      <c r="R53" s="399">
        <f>Main!AH60</f>
        <v>2.9382113884619034</v>
      </c>
      <c r="S53" s="452">
        <v>1</v>
      </c>
      <c r="T53" s="399">
        <f>Main!AB60</f>
        <v>4.8161621418845755</v>
      </c>
      <c r="U53" s="452">
        <v>1</v>
      </c>
      <c r="V53" s="399">
        <f>Main!AC60</f>
        <v>10.302712107719621</v>
      </c>
      <c r="W53" s="399">
        <f t="shared" si="24"/>
        <v>6.3515779637257328</v>
      </c>
      <c r="X53" s="399">
        <f t="shared" si="25"/>
        <v>0.76216219449644307</v>
      </c>
      <c r="Y53" s="399">
        <f t="shared" si="26"/>
        <v>1.0096252710712657</v>
      </c>
      <c r="Z53" s="399">
        <f t="shared" si="27"/>
        <v>3.8380920249539256E-2</v>
      </c>
      <c r="AA53" s="399">
        <f t="shared" si="28"/>
        <v>0.24746307657482258</v>
      </c>
      <c r="AB53" s="399">
        <f t="shared" si="29"/>
        <v>0.86771865538769399</v>
      </c>
      <c r="AC53" s="63">
        <f>Main!T60</f>
        <v>44781</v>
      </c>
      <c r="AD53" s="63">
        <f>Main!U60</f>
        <v>44798</v>
      </c>
      <c r="AE53" s="63">
        <f>Main!V60</f>
        <v>44789.5</v>
      </c>
      <c r="AF53" s="398">
        <f>Main!H60</f>
        <v>17</v>
      </c>
      <c r="AG53" s="208">
        <f t="shared" si="30"/>
        <v>0.40562850773573511</v>
      </c>
      <c r="AH53" s="208">
        <f t="shared" si="31"/>
        <v>8.406538476863161E-2</v>
      </c>
      <c r="AI53" s="208">
        <f t="shared" si="32"/>
        <v>2.739537491044915E-3</v>
      </c>
      <c r="AJ53" s="208">
        <f t="shared" si="33"/>
        <v>2.0604752420884477E-2</v>
      </c>
      <c r="AK53" s="208">
        <f t="shared" si="34"/>
        <v>6.346063234774714E-2</v>
      </c>
      <c r="AL53" s="208">
        <f t="shared" si="35"/>
        <v>1.4440317114123713E-2</v>
      </c>
      <c r="AM53" s="399">
        <f>depths!$B$4</f>
        <v>3992.7</v>
      </c>
      <c r="AN53" s="44"/>
      <c r="AO53" s="399">
        <f t="shared" si="36"/>
        <v>84.065384768631603</v>
      </c>
      <c r="AP53" s="452">
        <v>3</v>
      </c>
      <c r="AQ53" s="399">
        <f t="shared" si="37"/>
        <v>2.7395374910449148</v>
      </c>
      <c r="AR53" s="452">
        <v>3</v>
      </c>
      <c r="AS53" s="399">
        <f t="shared" si="38"/>
        <v>20.604752420884477</v>
      </c>
      <c r="AT53" s="452">
        <v>3</v>
      </c>
      <c r="AU53" s="399">
        <f t="shared" si="39"/>
        <v>63.460632347747136</v>
      </c>
      <c r="AV53" s="452">
        <v>3</v>
      </c>
      <c r="AW53" s="399">
        <f t="shared" si="40"/>
        <v>14.440317114123713</v>
      </c>
      <c r="AX53" s="452">
        <v>3</v>
      </c>
      <c r="AY53" s="399">
        <f t="shared" si="41"/>
        <v>7.5212522143748464</v>
      </c>
      <c r="AZ53" s="399">
        <f t="shared" si="42"/>
        <v>23.164724905276611</v>
      </c>
      <c r="BA53" s="399">
        <f>Main!R60</f>
        <v>39.008908556296177</v>
      </c>
      <c r="BB53" s="400">
        <v>2</v>
      </c>
      <c r="BC53" s="399">
        <f>Main!S60</f>
        <v>8.61</v>
      </c>
      <c r="BD53" s="400">
        <v>1</v>
      </c>
    </row>
    <row r="54" spans="1:56">
      <c r="A54" s="44">
        <f>Main!A61</f>
        <v>2022</v>
      </c>
      <c r="B54" s="44" t="str">
        <f>Main!B61</f>
        <v>47_3800</v>
      </c>
      <c r="C54" s="44">
        <v>7</v>
      </c>
      <c r="D54" s="44" t="str">
        <f>Main!$B$54</f>
        <v>McLane-PARFLUX-Mark78H-21 ; frame# 12993-01, controller# 12993-01 and Motor # 12993-01 Cup set ACx21</v>
      </c>
      <c r="E54" s="44">
        <v>3800</v>
      </c>
      <c r="F54" s="393">
        <v>1</v>
      </c>
      <c r="G54" s="398">
        <f>Main!E61</f>
        <v>277.94285714285712</v>
      </c>
      <c r="H54" s="208">
        <f>Main!I61</f>
        <v>32.699159663865544</v>
      </c>
      <c r="I54" s="208">
        <f>Main!J61</f>
        <v>11.94336806722689</v>
      </c>
      <c r="J54" s="505">
        <v>3</v>
      </c>
      <c r="K54" s="399">
        <f>Main!AF61</f>
        <v>74.20951087100832</v>
      </c>
      <c r="L54" s="399">
        <f>Main!AG61</f>
        <v>8.9048239635837447</v>
      </c>
      <c r="M54" s="452">
        <v>1</v>
      </c>
      <c r="N54" s="399">
        <f>Main!M61</f>
        <v>11.95491886138916</v>
      </c>
      <c r="O54" s="452">
        <v>1</v>
      </c>
      <c r="P54" s="399">
        <f>Main!O61</f>
        <v>0.55595111846923828</v>
      </c>
      <c r="Q54" s="452">
        <v>1</v>
      </c>
      <c r="R54" s="399">
        <f>Main!AH61</f>
        <v>3.0500948978054154</v>
      </c>
      <c r="S54" s="452">
        <v>1</v>
      </c>
      <c r="T54" s="399">
        <f>Main!AB61</f>
        <v>4.8313627272540316</v>
      </c>
      <c r="U54" s="452">
        <v>1</v>
      </c>
      <c r="V54" s="399">
        <f>Main!AC61</f>
        <v>10.335229130676211</v>
      </c>
      <c r="W54" s="399">
        <f t="shared" si="24"/>
        <v>8.8631150242132755</v>
      </c>
      <c r="X54" s="399">
        <f t="shared" si="25"/>
        <v>1.063535901709429</v>
      </c>
      <c r="Y54" s="399">
        <f t="shared" si="26"/>
        <v>1.4278199617540375</v>
      </c>
      <c r="Z54" s="399">
        <f t="shared" si="27"/>
        <v>6.6399288352645733E-2</v>
      </c>
      <c r="AA54" s="399">
        <f t="shared" si="28"/>
        <v>0.36428406004460867</v>
      </c>
      <c r="AB54" s="399">
        <f t="shared" si="29"/>
        <v>1.2343744556679139</v>
      </c>
      <c r="AC54" s="63">
        <f>Main!T61</f>
        <v>44798</v>
      </c>
      <c r="AD54" s="63">
        <f>Main!U61</f>
        <v>44815</v>
      </c>
      <c r="AE54" s="63">
        <f>Main!V61</f>
        <v>44806.5</v>
      </c>
      <c r="AF54" s="398">
        <f>Main!H61</f>
        <v>17</v>
      </c>
      <c r="AG54" s="208">
        <f t="shared" si="30"/>
        <v>0.57702743317876015</v>
      </c>
      <c r="AH54" s="208">
        <f t="shared" si="31"/>
        <v>0.11888592520849604</v>
      </c>
      <c r="AI54" s="208">
        <f t="shared" si="32"/>
        <v>4.7394210101817085E-3</v>
      </c>
      <c r="AJ54" s="208">
        <f t="shared" si="33"/>
        <v>3.0331728563248016E-2</v>
      </c>
      <c r="AK54" s="208">
        <f t="shared" si="34"/>
        <v>8.8554196645248051E-2</v>
      </c>
      <c r="AL54" s="208">
        <f t="shared" si="35"/>
        <v>2.0542094452786052E-2</v>
      </c>
      <c r="AM54" s="399">
        <f>depths!$B$4</f>
        <v>3992.7</v>
      </c>
      <c r="AN54" s="44"/>
      <c r="AO54" s="399">
        <f t="shared" si="36"/>
        <v>118.88592520849605</v>
      </c>
      <c r="AP54" s="452">
        <v>3</v>
      </c>
      <c r="AQ54" s="399">
        <f t="shared" si="37"/>
        <v>4.7394210101817089</v>
      </c>
      <c r="AR54" s="452">
        <v>3</v>
      </c>
      <c r="AS54" s="399">
        <f t="shared" si="38"/>
        <v>30.331728563248017</v>
      </c>
      <c r="AT54" s="452">
        <v>3</v>
      </c>
      <c r="AU54" s="399">
        <f t="shared" si="39"/>
        <v>88.554196645248055</v>
      </c>
      <c r="AV54" s="452">
        <v>3</v>
      </c>
      <c r="AW54" s="399">
        <f t="shared" si="40"/>
        <v>20.542094452786053</v>
      </c>
      <c r="AX54" s="452">
        <v>3</v>
      </c>
      <c r="AY54" s="399">
        <f t="shared" si="41"/>
        <v>6.3998805968252865</v>
      </c>
      <c r="AZ54" s="399">
        <f t="shared" si="42"/>
        <v>18.684602286863072</v>
      </c>
      <c r="BA54" s="399">
        <f>Main!R61</f>
        <v>38.936377437123824</v>
      </c>
      <c r="BB54" s="400">
        <v>2</v>
      </c>
      <c r="BC54" s="399">
        <f>Main!S61</f>
        <v>8.6300000000000008</v>
      </c>
      <c r="BD54" s="400">
        <v>1</v>
      </c>
    </row>
    <row r="55" spans="1:56">
      <c r="A55" s="44">
        <f>Main!A62</f>
        <v>2022</v>
      </c>
      <c r="B55" s="44" t="str">
        <f>Main!B62</f>
        <v>47_3800</v>
      </c>
      <c r="C55" s="44">
        <v>8</v>
      </c>
      <c r="D55" s="44" t="str">
        <f>Main!$B$54</f>
        <v>McLane-PARFLUX-Mark78H-21 ; frame# 12993-01, controller# 12993-01 and Motor # 12993-01 Cup set ACx21</v>
      </c>
      <c r="E55" s="44">
        <v>3800</v>
      </c>
      <c r="F55" s="393">
        <v>1</v>
      </c>
      <c r="G55" s="398">
        <f>Main!E62</f>
        <v>210.02857142857141</v>
      </c>
      <c r="H55" s="208">
        <f>Main!I62</f>
        <v>24.709243697478989</v>
      </c>
      <c r="I55" s="208">
        <f>Main!J62</f>
        <v>9.0250512605042008</v>
      </c>
      <c r="J55" s="505">
        <v>3</v>
      </c>
      <c r="K55" s="399">
        <f>Main!AF62</f>
        <v>72.132016068871607</v>
      </c>
      <c r="L55" s="399">
        <f>Main!AG62</f>
        <v>8.655533471284933</v>
      </c>
      <c r="M55" s="452">
        <v>1</v>
      </c>
      <c r="N55" s="399">
        <f>Main!M62</f>
        <v>12.301887512207031</v>
      </c>
      <c r="O55" s="452">
        <v>1</v>
      </c>
      <c r="P55" s="399">
        <f>Main!O62</f>
        <v>0.58643555641174316</v>
      </c>
      <c r="Q55" s="452">
        <v>1</v>
      </c>
      <c r="R55" s="399">
        <f>Main!AH62</f>
        <v>3.6463540409220982</v>
      </c>
      <c r="S55" s="452">
        <v>1</v>
      </c>
      <c r="T55" s="399">
        <f>Main!AB62</f>
        <v>4.9919887118528061</v>
      </c>
      <c r="U55" s="452">
        <v>1</v>
      </c>
      <c r="V55" s="399">
        <f>Main!AC62</f>
        <v>10.678839504992348</v>
      </c>
      <c r="W55" s="399">
        <f t="shared" si="24"/>
        <v>6.5099514254507893</v>
      </c>
      <c r="X55" s="399">
        <f t="shared" si="25"/>
        <v>0.78116633265356383</v>
      </c>
      <c r="Y55" s="399">
        <f t="shared" si="26"/>
        <v>1.1102516539862495</v>
      </c>
      <c r="Z55" s="399">
        <f t="shared" si="27"/>
        <v>5.2926109575982851E-2</v>
      </c>
      <c r="AA55" s="399">
        <f t="shared" si="28"/>
        <v>0.32908532133268564</v>
      </c>
      <c r="AB55" s="399">
        <f t="shared" si="29"/>
        <v>0.96377073935253255</v>
      </c>
      <c r="AC55" s="63">
        <f>Main!T62</f>
        <v>44815</v>
      </c>
      <c r="AD55" s="63">
        <f>Main!U62</f>
        <v>44832</v>
      </c>
      <c r="AE55" s="63">
        <f>Main!V62</f>
        <v>44823.5</v>
      </c>
      <c r="AF55" s="398">
        <f>Main!H62</f>
        <v>17</v>
      </c>
      <c r="AG55" s="208">
        <f t="shared" si="30"/>
        <v>0.45052954016329905</v>
      </c>
      <c r="AH55" s="208">
        <f t="shared" si="31"/>
        <v>9.2443934553392962E-2</v>
      </c>
      <c r="AI55" s="208">
        <f t="shared" si="32"/>
        <v>3.7777380139887833E-3</v>
      </c>
      <c r="AJ55" s="208">
        <f t="shared" si="33"/>
        <v>2.7400942658841437E-2</v>
      </c>
      <c r="AK55" s="208">
        <f t="shared" si="34"/>
        <v>6.5042991894551525E-2</v>
      </c>
      <c r="AL55" s="208">
        <f t="shared" si="35"/>
        <v>1.6038787474663547E-2</v>
      </c>
      <c r="AM55" s="399">
        <f>depths!$B$4</f>
        <v>3992.7</v>
      </c>
      <c r="AN55" s="44"/>
      <c r="AO55" s="399">
        <f t="shared" si="36"/>
        <v>92.443934553392964</v>
      </c>
      <c r="AP55" s="452">
        <v>3</v>
      </c>
      <c r="AQ55" s="399">
        <f t="shared" si="37"/>
        <v>3.7777380139887833</v>
      </c>
      <c r="AR55" s="452">
        <v>3</v>
      </c>
      <c r="AS55" s="399">
        <f t="shared" si="38"/>
        <v>27.400942658841437</v>
      </c>
      <c r="AT55" s="452">
        <v>3</v>
      </c>
      <c r="AU55" s="399">
        <f t="shared" si="39"/>
        <v>65.04299189455152</v>
      </c>
      <c r="AV55" s="452">
        <v>3</v>
      </c>
      <c r="AW55" s="399">
        <f t="shared" si="40"/>
        <v>16.038787474663547</v>
      </c>
      <c r="AX55" s="452">
        <v>3</v>
      </c>
      <c r="AY55" s="399">
        <f t="shared" si="41"/>
        <v>7.253267049588155</v>
      </c>
      <c r="AZ55" s="399">
        <f t="shared" si="42"/>
        <v>17.217443786122921</v>
      </c>
      <c r="BA55" s="399">
        <f>Main!R62</f>
        <v>39.008908556296177</v>
      </c>
      <c r="BB55" s="400">
        <v>2</v>
      </c>
      <c r="BC55" s="399">
        <f>Main!S62</f>
        <v>8.61</v>
      </c>
      <c r="BD55" s="400">
        <v>1</v>
      </c>
    </row>
    <row r="56" spans="1:56">
      <c r="A56" s="44">
        <f>Main!A63</f>
        <v>2022</v>
      </c>
      <c r="B56" s="44" t="str">
        <f>Main!B63</f>
        <v>47_3800</v>
      </c>
      <c r="C56" s="44">
        <v>9</v>
      </c>
      <c r="D56" s="44" t="str">
        <f>Main!$B$54</f>
        <v>McLane-PARFLUX-Mark78H-21 ; frame# 12993-01, controller# 12993-01 and Motor # 12993-01 Cup set ACx21</v>
      </c>
      <c r="E56" s="44">
        <v>3800</v>
      </c>
      <c r="F56" s="393">
        <v>1</v>
      </c>
      <c r="G56" s="398">
        <f>Main!E63</f>
        <v>308.02857142857141</v>
      </c>
      <c r="H56" s="208">
        <f>Main!I63</f>
        <v>36.238655462184873</v>
      </c>
      <c r="I56" s="208">
        <f>Main!J63</f>
        <v>13.236168907563027</v>
      </c>
      <c r="J56" s="505">
        <v>3</v>
      </c>
      <c r="K56" s="399">
        <f>Main!AF63</f>
        <v>72.860644900303129</v>
      </c>
      <c r="L56" s="399">
        <f>Main!AG63</f>
        <v>8.7429658152329672</v>
      </c>
      <c r="M56" s="452">
        <v>1</v>
      </c>
      <c r="N56" s="399">
        <f>Main!M63</f>
        <v>12.759530067443848</v>
      </c>
      <c r="O56" s="452">
        <v>1</v>
      </c>
      <c r="P56" s="399">
        <f>Main!O63</f>
        <v>0.63776969909667969</v>
      </c>
      <c r="Q56" s="452">
        <v>1</v>
      </c>
      <c r="R56" s="399">
        <f>Main!AH63</f>
        <v>4.0165642522108804</v>
      </c>
      <c r="S56" s="452">
        <v>1</v>
      </c>
      <c r="T56" s="399">
        <f>Main!AB63</f>
        <v>5.1377537829064073</v>
      </c>
      <c r="U56" s="452">
        <v>1</v>
      </c>
      <c r="V56" s="399">
        <f>Main!AC63</f>
        <v>10.990659480770596</v>
      </c>
      <c r="W56" s="399">
        <f t="shared" si="24"/>
        <v>9.643958026143828</v>
      </c>
      <c r="X56" s="399">
        <f t="shared" si="25"/>
        <v>1.1572337228347302</v>
      </c>
      <c r="Y56" s="399">
        <f t="shared" si="26"/>
        <v>1.6888729515381582</v>
      </c>
      <c r="Z56" s="399">
        <f t="shared" si="27"/>
        <v>8.4416274613692985E-2</v>
      </c>
      <c r="AA56" s="399">
        <f t="shared" si="28"/>
        <v>0.53163922870342795</v>
      </c>
      <c r="AB56" s="399">
        <f t="shared" si="29"/>
        <v>1.4547422529298855</v>
      </c>
      <c r="AC56" s="63">
        <f>Main!T63</f>
        <v>44832</v>
      </c>
      <c r="AD56" s="63">
        <f>Main!U63</f>
        <v>44849</v>
      </c>
      <c r="AE56" s="63">
        <f>Main!V63</f>
        <v>44840.5</v>
      </c>
      <c r="AF56" s="398">
        <f>Main!H63</f>
        <v>17</v>
      </c>
      <c r="AG56" s="208">
        <f t="shared" si="30"/>
        <v>0.68004176876020117</v>
      </c>
      <c r="AH56" s="208">
        <f t="shared" si="31"/>
        <v>0.14062222743864763</v>
      </c>
      <c r="AI56" s="208">
        <f t="shared" si="32"/>
        <v>6.0254300223906484E-3</v>
      </c>
      <c r="AJ56" s="208">
        <f t="shared" si="33"/>
        <v>4.4266380408278766E-2</v>
      </c>
      <c r="AK56" s="208">
        <f t="shared" si="34"/>
        <v>9.6355847030368882E-2</v>
      </c>
      <c r="AL56" s="208">
        <f t="shared" si="35"/>
        <v>2.4209390130302641E-2</v>
      </c>
      <c r="AM56" s="399">
        <f>depths!$B$4</f>
        <v>3992.7</v>
      </c>
      <c r="AN56" s="44"/>
      <c r="AO56" s="399">
        <f t="shared" si="36"/>
        <v>140.62222743864763</v>
      </c>
      <c r="AP56" s="452">
        <v>3</v>
      </c>
      <c r="AQ56" s="399">
        <f t="shared" si="37"/>
        <v>6.0254300223906485</v>
      </c>
      <c r="AR56" s="452">
        <v>3</v>
      </c>
      <c r="AS56" s="399">
        <f t="shared" si="38"/>
        <v>44.266380408278764</v>
      </c>
      <c r="AT56" s="452">
        <v>3</v>
      </c>
      <c r="AU56" s="399">
        <f t="shared" si="39"/>
        <v>96.355847030368878</v>
      </c>
      <c r="AV56" s="452">
        <v>3</v>
      </c>
      <c r="AW56" s="399">
        <f t="shared" si="40"/>
        <v>24.209390130302641</v>
      </c>
      <c r="AX56" s="452">
        <v>3</v>
      </c>
      <c r="AY56" s="399">
        <f t="shared" si="41"/>
        <v>7.3465927317691495</v>
      </c>
      <c r="AZ56" s="399">
        <f t="shared" si="42"/>
        <v>15.991530342615903</v>
      </c>
      <c r="BA56" s="399">
        <f>Main!R63</f>
        <v>38.936377437123824</v>
      </c>
      <c r="BB56" s="400">
        <v>2</v>
      </c>
      <c r="BC56" s="399">
        <f>Main!S63</f>
        <v>8.61</v>
      </c>
      <c r="BD56" s="400">
        <v>1</v>
      </c>
    </row>
    <row r="57" spans="1:56">
      <c r="A57" s="44">
        <f>Main!A64</f>
        <v>2022</v>
      </c>
      <c r="B57" s="44" t="str">
        <f>Main!B64</f>
        <v>47_3800</v>
      </c>
      <c r="C57" s="44">
        <v>10</v>
      </c>
      <c r="D57" s="44" t="str">
        <f>Main!$B$54</f>
        <v>McLane-PARFLUX-Mark78H-21 ; frame# 12993-01, controller# 12993-01 and Motor # 12993-01 Cup set ACx21</v>
      </c>
      <c r="E57" s="44">
        <v>3800</v>
      </c>
      <c r="F57" s="393">
        <v>1</v>
      </c>
      <c r="G57" s="398">
        <f>Main!E64</f>
        <v>279.45714285714286</v>
      </c>
      <c r="H57" s="208">
        <f>Main!I64</f>
        <v>32.877310924369745</v>
      </c>
      <c r="I57" s="208">
        <f>Main!J64</f>
        <v>12.008437815126051</v>
      </c>
      <c r="J57" s="505">
        <v>3</v>
      </c>
      <c r="K57" s="399">
        <f>Main!AF64</f>
        <v>77.050570104651754</v>
      </c>
      <c r="L57" s="399">
        <f>Main!AG64</f>
        <v>9.2457389224450708</v>
      </c>
      <c r="M57" s="452">
        <v>1</v>
      </c>
      <c r="N57" s="399">
        <f>Main!M64</f>
        <v>12.43962574005127</v>
      </c>
      <c r="O57" s="452">
        <v>1</v>
      </c>
      <c r="P57" s="399">
        <f>Main!O64</f>
        <v>0.49478974938392639</v>
      </c>
      <c r="Q57" s="452">
        <v>1</v>
      </c>
      <c r="R57" s="399">
        <f>Main!AH64</f>
        <v>3.1938868176061987</v>
      </c>
      <c r="S57" s="452">
        <v>1</v>
      </c>
      <c r="T57" s="399">
        <f>Main!AB64</f>
        <v>4.5738479734292179</v>
      </c>
      <c r="U57" s="452">
        <v>1</v>
      </c>
      <c r="V57" s="399">
        <f>Main!AC64</f>
        <v>9.784354742732706</v>
      </c>
      <c r="W57" s="399">
        <f t="shared" si="24"/>
        <v>9.252569797217209</v>
      </c>
      <c r="X57" s="399">
        <f t="shared" si="25"/>
        <v>1.1102688090507218</v>
      </c>
      <c r="Y57" s="399">
        <f t="shared" si="26"/>
        <v>1.4938047214284704</v>
      </c>
      <c r="Z57" s="399">
        <f t="shared" si="27"/>
        <v>5.941651937038684E-2</v>
      </c>
      <c r="AA57" s="399">
        <f t="shared" si="28"/>
        <v>0.38353591237774876</v>
      </c>
      <c r="AB57" s="399">
        <f t="shared" si="29"/>
        <v>1.1749481548923935</v>
      </c>
      <c r="AC57" s="63">
        <f>Main!T64</f>
        <v>44849</v>
      </c>
      <c r="AD57" s="63">
        <f>Main!U64</f>
        <v>44866</v>
      </c>
      <c r="AE57" s="63">
        <f>Main!V64</f>
        <v>44857.5</v>
      </c>
      <c r="AF57" s="398">
        <f>Main!H64</f>
        <v>17</v>
      </c>
      <c r="AG57" s="208">
        <f t="shared" si="30"/>
        <v>0.54924768964765081</v>
      </c>
      <c r="AH57" s="208">
        <f t="shared" si="31"/>
        <v>0.12438007672177107</v>
      </c>
      <c r="AI57" s="208">
        <f t="shared" si="32"/>
        <v>4.2410078065943501E-3</v>
      </c>
      <c r="AJ57" s="208">
        <f t="shared" si="33"/>
        <v>3.1934713770004057E-2</v>
      </c>
      <c r="AK57" s="208">
        <f t="shared" si="34"/>
        <v>9.2445362951767016E-2</v>
      </c>
      <c r="AL57" s="208">
        <f t="shared" si="35"/>
        <v>1.9553139538898215E-2</v>
      </c>
      <c r="AM57" s="399">
        <f>depths!$B$4</f>
        <v>3992.7</v>
      </c>
      <c r="AN57" s="44"/>
      <c r="AO57" s="399">
        <f t="shared" si="36"/>
        <v>124.38007672177106</v>
      </c>
      <c r="AP57" s="452">
        <v>3</v>
      </c>
      <c r="AQ57" s="399">
        <f t="shared" si="37"/>
        <v>4.2410078065943502</v>
      </c>
      <c r="AR57" s="452">
        <v>3</v>
      </c>
      <c r="AS57" s="399">
        <f t="shared" si="38"/>
        <v>31.934713770004056</v>
      </c>
      <c r="AT57" s="452">
        <v>3</v>
      </c>
      <c r="AU57" s="399">
        <f t="shared" si="39"/>
        <v>92.445362951767009</v>
      </c>
      <c r="AV57" s="452">
        <v>3</v>
      </c>
      <c r="AW57" s="399">
        <f t="shared" si="40"/>
        <v>19.553139538898215</v>
      </c>
      <c r="AX57" s="452">
        <v>3</v>
      </c>
      <c r="AY57" s="399">
        <f t="shared" si="41"/>
        <v>7.5299823123052771</v>
      </c>
      <c r="AZ57" s="399">
        <f t="shared" si="42"/>
        <v>21.797970474853539</v>
      </c>
      <c r="BA57" s="399">
        <f>Main!R64</f>
        <v>39.081450562157663</v>
      </c>
      <c r="BB57" s="400">
        <v>2</v>
      </c>
      <c r="BC57" s="399">
        <f>Main!S64</f>
        <v>8.59</v>
      </c>
      <c r="BD57" s="400">
        <v>1</v>
      </c>
    </row>
    <row r="58" spans="1:56">
      <c r="A58" s="44">
        <f>Main!A65</f>
        <v>2022</v>
      </c>
      <c r="B58" s="44" t="str">
        <f>Main!B65</f>
        <v>47_3800</v>
      </c>
      <c r="C58" s="44">
        <v>11</v>
      </c>
      <c r="D58" s="44" t="str">
        <f>Main!$B$54</f>
        <v>McLane-PARFLUX-Mark78H-21 ; frame# 12993-01, controller# 12993-01 and Motor # 12993-01 Cup set ACx21</v>
      </c>
      <c r="E58" s="44">
        <v>3800</v>
      </c>
      <c r="F58" s="393">
        <v>1</v>
      </c>
      <c r="G58" s="398">
        <f>Main!E65</f>
        <v>228.74285714285716</v>
      </c>
      <c r="H58" s="208">
        <f>Main!I65</f>
        <v>26.910924369747903</v>
      </c>
      <c r="I58" s="208">
        <f>Main!J65</f>
        <v>9.8292151260504212</v>
      </c>
      <c r="J58" s="505">
        <v>3</v>
      </c>
      <c r="K58" s="399">
        <f>Main!AF65</f>
        <v>78.872279924359887</v>
      </c>
      <c r="L58" s="399">
        <f>Main!AG65</f>
        <v>9.4643363106616576</v>
      </c>
      <c r="M58" s="452">
        <v>1</v>
      </c>
      <c r="N58" s="399">
        <f>Main!M65</f>
        <v>12.442903518676758</v>
      </c>
      <c r="O58" s="452">
        <v>1</v>
      </c>
      <c r="P58" s="399">
        <f>Main!O65</f>
        <v>0.44762051105499268</v>
      </c>
      <c r="Q58" s="452">
        <v>1</v>
      </c>
      <c r="R58" s="399">
        <f>Main!AH65</f>
        <v>2.9785672080151002</v>
      </c>
      <c r="S58" s="452">
        <v>1</v>
      </c>
      <c r="T58" s="399">
        <f>Main!AB65</f>
        <v>4.3048398969958983</v>
      </c>
      <c r="U58" s="452">
        <v>1</v>
      </c>
      <c r="V58" s="399">
        <f>Main!AC65</f>
        <v>9.208893891437647</v>
      </c>
      <c r="W58" s="399">
        <f t="shared" si="24"/>
        <v>7.752526068586012</v>
      </c>
      <c r="X58" s="399">
        <f t="shared" si="25"/>
        <v>0.93026997622783802</v>
      </c>
      <c r="Y58" s="399">
        <f t="shared" si="26"/>
        <v>1.2230397547776359</v>
      </c>
      <c r="Z58" s="399">
        <f t="shared" si="27"/>
        <v>4.3997582979921533E-2</v>
      </c>
      <c r="AA58" s="399">
        <f t="shared" si="28"/>
        <v>0.29276977854979797</v>
      </c>
      <c r="AB58" s="399">
        <f t="shared" si="29"/>
        <v>0.90516199131912245</v>
      </c>
      <c r="AC58" s="63">
        <f>Main!T65</f>
        <v>44866</v>
      </c>
      <c r="AD58" s="63">
        <f>Main!U65</f>
        <v>44883</v>
      </c>
      <c r="AE58" s="63">
        <f>Main!V65</f>
        <v>44874.5</v>
      </c>
      <c r="AF58" s="398">
        <f>Main!H65</f>
        <v>17</v>
      </c>
      <c r="AG58" s="208">
        <f t="shared" si="30"/>
        <v>0.42313197430777422</v>
      </c>
      <c r="AH58" s="208">
        <f t="shared" si="31"/>
        <v>0.10183511696733022</v>
      </c>
      <c r="AI58" s="208">
        <f t="shared" si="32"/>
        <v>3.1404413261899738E-3</v>
      </c>
      <c r="AJ58" s="208">
        <f t="shared" si="33"/>
        <v>2.4377167239783344E-2</v>
      </c>
      <c r="AK58" s="208">
        <f t="shared" si="34"/>
        <v>7.7457949727546882E-2</v>
      </c>
      <c r="AL58" s="208">
        <f t="shared" si="35"/>
        <v>1.5063438031604636E-2</v>
      </c>
      <c r="AM58" s="399">
        <f>depths!$B$4</f>
        <v>3992.7</v>
      </c>
      <c r="AN58" s="44"/>
      <c r="AO58" s="399">
        <f t="shared" si="36"/>
        <v>101.83511696733022</v>
      </c>
      <c r="AP58" s="452">
        <v>3</v>
      </c>
      <c r="AQ58" s="399">
        <f t="shared" si="37"/>
        <v>3.1404413261899737</v>
      </c>
      <c r="AR58" s="452">
        <v>3</v>
      </c>
      <c r="AS58" s="399">
        <f t="shared" si="38"/>
        <v>24.377167239783343</v>
      </c>
      <c r="AT58" s="452">
        <v>3</v>
      </c>
      <c r="AU58" s="399">
        <f t="shared" si="39"/>
        <v>77.457949727546875</v>
      </c>
      <c r="AV58" s="452">
        <v>3</v>
      </c>
      <c r="AW58" s="399">
        <f t="shared" si="40"/>
        <v>15.063438031604635</v>
      </c>
      <c r="AX58" s="452">
        <v>3</v>
      </c>
      <c r="AY58" s="399">
        <f t="shared" si="41"/>
        <v>7.7623380626435887</v>
      </c>
      <c r="AZ58" s="399">
        <f t="shared" si="42"/>
        <v>24.664670242866762</v>
      </c>
      <c r="BA58" s="399">
        <f>Main!R65</f>
        <v>38.501420298682284</v>
      </c>
      <c r="BB58" s="400">
        <v>2</v>
      </c>
      <c r="BC58" s="399">
        <f>Main!S65</f>
        <v>8.6199999999999992</v>
      </c>
      <c r="BD58" s="400">
        <v>1</v>
      </c>
    </row>
    <row r="59" spans="1:56">
      <c r="A59" s="44">
        <f>Main!A66</f>
        <v>2022</v>
      </c>
      <c r="B59" s="44" t="str">
        <f>Main!B66</f>
        <v>47_3800</v>
      </c>
      <c r="C59" s="44">
        <v>12</v>
      </c>
      <c r="D59" s="44" t="str">
        <f>Main!$B$54</f>
        <v>McLane-PARFLUX-Mark78H-21 ; frame# 12993-01, controller# 12993-01 and Motor # 12993-01 Cup set ACx21</v>
      </c>
      <c r="E59" s="44">
        <v>3800</v>
      </c>
      <c r="F59" s="393">
        <v>1</v>
      </c>
      <c r="G59" s="398">
        <f>Main!E66</f>
        <v>196.8</v>
      </c>
      <c r="H59" s="208">
        <f>Main!I66</f>
        <v>23.152941176470591</v>
      </c>
      <c r="I59" s="208">
        <f>Main!J66</f>
        <v>8.4566117647058832</v>
      </c>
      <c r="J59" s="505">
        <v>3</v>
      </c>
      <c r="K59" s="399">
        <f>Main!AF66</f>
        <v>75.89706552902544</v>
      </c>
      <c r="L59" s="399">
        <f>Main!AG66</f>
        <v>9.1073233060829697</v>
      </c>
      <c r="M59" s="452">
        <v>1</v>
      </c>
      <c r="N59" s="399">
        <f>Main!M66</f>
        <v>13.223359107971191</v>
      </c>
      <c r="O59" s="452">
        <v>1</v>
      </c>
      <c r="P59" s="399">
        <f>Main!O66</f>
        <v>0.65887707471847534</v>
      </c>
      <c r="Q59" s="452">
        <v>1</v>
      </c>
      <c r="R59" s="399">
        <f>Main!AH66</f>
        <v>4.1160358018882217</v>
      </c>
      <c r="S59" s="452">
        <v>1</v>
      </c>
      <c r="T59" s="399">
        <f>Main!AB66</f>
        <v>3.847949771234386</v>
      </c>
      <c r="U59" s="452">
        <v>1</v>
      </c>
      <c r="V59" s="399">
        <f>Main!AC66</f>
        <v>8.2315166163572187</v>
      </c>
      <c r="W59" s="399">
        <f t="shared" si="24"/>
        <v>6.4183201725940986</v>
      </c>
      <c r="X59" s="399">
        <f t="shared" si="25"/>
        <v>0.77017097415201319</v>
      </c>
      <c r="Y59" s="399">
        <f t="shared" si="26"/>
        <v>1.1182481420139987</v>
      </c>
      <c r="Z59" s="399">
        <f t="shared" si="27"/>
        <v>5.5718676215592552E-2</v>
      </c>
      <c r="AA59" s="399">
        <f t="shared" si="28"/>
        <v>0.3480771678619855</v>
      </c>
      <c r="AB59" s="399">
        <f t="shared" si="29"/>
        <v>0.69610740259258419</v>
      </c>
      <c r="AC59" s="63">
        <f>Main!T66</f>
        <v>44883</v>
      </c>
      <c r="AD59" s="63">
        <f>Main!U66</f>
        <v>44900</v>
      </c>
      <c r="AE59" s="63">
        <f>Main!V66</f>
        <v>44891.5</v>
      </c>
      <c r="AF59" s="398">
        <f>Main!H66</f>
        <v>17</v>
      </c>
      <c r="AG59" s="208">
        <f t="shared" si="30"/>
        <v>0.32540617305418018</v>
      </c>
      <c r="AH59" s="208">
        <f t="shared" si="31"/>
        <v>9.3109753706411211E-2</v>
      </c>
      <c r="AI59" s="208">
        <f t="shared" si="32"/>
        <v>3.9770646834826947E-3</v>
      </c>
      <c r="AJ59" s="208">
        <f t="shared" si="33"/>
        <v>2.8982278756201959E-2</v>
      </c>
      <c r="AK59" s="208">
        <f t="shared" si="34"/>
        <v>6.4127474950209262E-2</v>
      </c>
      <c r="AL59" s="208">
        <f t="shared" si="35"/>
        <v>1.1584413423075122E-2</v>
      </c>
      <c r="AM59" s="399">
        <f>depths!$B$4</f>
        <v>3992.7</v>
      </c>
      <c r="AN59" s="44"/>
      <c r="AO59" s="399">
        <f t="shared" si="36"/>
        <v>93.109753706411212</v>
      </c>
      <c r="AP59" s="452">
        <v>3</v>
      </c>
      <c r="AQ59" s="399">
        <f t="shared" si="37"/>
        <v>3.9770646834826948</v>
      </c>
      <c r="AR59" s="452">
        <v>3</v>
      </c>
      <c r="AS59" s="399">
        <f t="shared" si="38"/>
        <v>28.982278756201961</v>
      </c>
      <c r="AT59" s="452">
        <v>3</v>
      </c>
      <c r="AU59" s="399">
        <f t="shared" si="39"/>
        <v>64.127474950209262</v>
      </c>
      <c r="AV59" s="452">
        <v>3</v>
      </c>
      <c r="AW59" s="399">
        <f t="shared" si="40"/>
        <v>11.584413423075121</v>
      </c>
      <c r="AX59" s="452">
        <v>3</v>
      </c>
      <c r="AY59" s="399">
        <f t="shared" si="41"/>
        <v>7.2873541324508535</v>
      </c>
      <c r="AZ59" s="399">
        <f t="shared" si="42"/>
        <v>16.124322849598002</v>
      </c>
      <c r="BA59" s="399">
        <f>Main!R66</f>
        <v>38.863862682020248</v>
      </c>
      <c r="BB59" s="400">
        <v>2</v>
      </c>
      <c r="BC59" s="399">
        <f>Main!S66</f>
        <v>8.5949999999999989</v>
      </c>
      <c r="BD59" s="400">
        <v>1</v>
      </c>
    </row>
    <row r="60" spans="1:56">
      <c r="A60" s="44">
        <f>Main!A67</f>
        <v>2022</v>
      </c>
      <c r="B60" s="44" t="str">
        <f>Main!B67</f>
        <v>47_3800</v>
      </c>
      <c r="C60" s="44">
        <v>13</v>
      </c>
      <c r="D60" s="44" t="str">
        <f>Main!$B$54</f>
        <v>McLane-PARFLUX-Mark78H-21 ; frame# 12993-01, controller# 12993-01 and Motor # 12993-01 Cup set ACx21</v>
      </c>
      <c r="E60" s="44">
        <v>3800</v>
      </c>
      <c r="F60" s="393">
        <v>1</v>
      </c>
      <c r="G60" s="398">
        <f>Main!E67</f>
        <v>510.01428571428568</v>
      </c>
      <c r="H60" s="208">
        <f>Main!I67</f>
        <v>60.001680672268904</v>
      </c>
      <c r="I60" s="208">
        <f>Main!J67</f>
        <v>21.915613865546216</v>
      </c>
      <c r="J60" s="505">
        <v>3</v>
      </c>
      <c r="K60" s="399">
        <f>Main!AF67</f>
        <v>67.236085237491039</v>
      </c>
      <c r="L60" s="399">
        <f>Main!AG67</f>
        <v>8.0680427079095001</v>
      </c>
      <c r="M60" s="452">
        <v>1</v>
      </c>
      <c r="N60" s="399">
        <f>Main!M67</f>
        <v>12.236926078796387</v>
      </c>
      <c r="O60" s="452">
        <v>1</v>
      </c>
      <c r="P60" s="399">
        <f>Main!O67</f>
        <v>0.67238980531692505</v>
      </c>
      <c r="Q60" s="452">
        <v>1</v>
      </c>
      <c r="R60" s="399">
        <f>Main!AH67</f>
        <v>4.1688833708868867</v>
      </c>
      <c r="S60" s="452">
        <v>1</v>
      </c>
      <c r="T60" s="399">
        <f>Main!AB67</f>
        <v>7.3716944065287597</v>
      </c>
      <c r="U60" s="452">
        <v>1</v>
      </c>
      <c r="V60" s="399">
        <f>Main!AC67</f>
        <v>15.769495083243617</v>
      </c>
      <c r="W60" s="399">
        <f t="shared" si="24"/>
        <v>14.735200818958059</v>
      </c>
      <c r="X60" s="399">
        <f t="shared" si="25"/>
        <v>1.768161086372805</v>
      </c>
      <c r="Y60" s="399">
        <f t="shared" si="26"/>
        <v>2.6817974684413417</v>
      </c>
      <c r="Z60" s="399">
        <f t="shared" si="27"/>
        <v>0.14735835340455522</v>
      </c>
      <c r="AA60" s="399">
        <f t="shared" si="28"/>
        <v>0.91363638206853703</v>
      </c>
      <c r="AB60" s="399">
        <f t="shared" si="29"/>
        <v>3.4559816509899672</v>
      </c>
      <c r="AC60" s="63">
        <f>Main!T67</f>
        <v>44900</v>
      </c>
      <c r="AD60" s="63">
        <f>Main!U67</f>
        <v>44917</v>
      </c>
      <c r="AE60" s="63">
        <f>Main!V67</f>
        <v>44908.5</v>
      </c>
      <c r="AF60" s="398">
        <f>Main!H67</f>
        <v>17</v>
      </c>
      <c r="AG60" s="208">
        <f t="shared" si="30"/>
        <v>1.6155520814829119</v>
      </c>
      <c r="AH60" s="208">
        <f t="shared" si="31"/>
        <v>0.22329704150219332</v>
      </c>
      <c r="AI60" s="208">
        <f t="shared" si="32"/>
        <v>1.051808375478624E-2</v>
      </c>
      <c r="AJ60" s="208">
        <f t="shared" si="33"/>
        <v>7.6072971029853206E-2</v>
      </c>
      <c r="AK60" s="208">
        <f t="shared" si="34"/>
        <v>0.14722407047234012</v>
      </c>
      <c r="AL60" s="208">
        <f t="shared" si="35"/>
        <v>5.7513424047095474E-2</v>
      </c>
      <c r="AM60" s="399">
        <f>depths!$B$4</f>
        <v>3992.7</v>
      </c>
      <c r="AN60" s="44"/>
      <c r="AO60" s="399">
        <f t="shared" si="36"/>
        <v>223.29704150219331</v>
      </c>
      <c r="AP60" s="452">
        <v>3</v>
      </c>
      <c r="AQ60" s="399">
        <f t="shared" si="37"/>
        <v>10.51808375478624</v>
      </c>
      <c r="AR60" s="452">
        <v>3</v>
      </c>
      <c r="AS60" s="399">
        <f t="shared" si="38"/>
        <v>76.072971029853207</v>
      </c>
      <c r="AT60" s="452">
        <v>3</v>
      </c>
      <c r="AU60" s="399">
        <f t="shared" si="39"/>
        <v>147.22407047234012</v>
      </c>
      <c r="AV60" s="452">
        <v>3</v>
      </c>
      <c r="AW60" s="399">
        <f t="shared" si="40"/>
        <v>57.513424047095477</v>
      </c>
      <c r="AX60" s="452">
        <v>3</v>
      </c>
      <c r="AY60" s="399">
        <f t="shared" si="41"/>
        <v>7.2325884451372913</v>
      </c>
      <c r="AZ60" s="399">
        <f t="shared" si="42"/>
        <v>13.99723313720011</v>
      </c>
      <c r="BA60" s="399">
        <f>Main!R67</f>
        <v>38.718849570056641</v>
      </c>
      <c r="BB60" s="400">
        <v>2</v>
      </c>
      <c r="BC60" s="399">
        <f>Main!S67</f>
        <v>8.57</v>
      </c>
      <c r="BD60" s="400">
        <v>1</v>
      </c>
    </row>
    <row r="61" spans="1:56">
      <c r="A61" s="44">
        <f>Main!A68</f>
        <v>2022</v>
      </c>
      <c r="B61" s="44" t="str">
        <f>Main!B68</f>
        <v>47_3800</v>
      </c>
      <c r="C61" s="44">
        <v>14</v>
      </c>
      <c r="D61" s="44" t="str">
        <f>Main!$B$54</f>
        <v>McLane-PARFLUX-Mark78H-21 ; frame# 12993-01, controller# 12993-01 and Motor # 12993-01 Cup set ACx21</v>
      </c>
      <c r="E61" s="44">
        <v>3800</v>
      </c>
      <c r="F61" s="393">
        <v>1</v>
      </c>
      <c r="G61" s="398">
        <f>Main!E68</f>
        <v>621.44285714285718</v>
      </c>
      <c r="H61" s="208">
        <f>Main!I68</f>
        <v>73.110924369747906</v>
      </c>
      <c r="I61" s="208">
        <f>Main!J68</f>
        <v>26.703765126050424</v>
      </c>
      <c r="J61" s="505">
        <v>3</v>
      </c>
      <c r="K61" s="399">
        <f>Main!AF68</f>
        <v>62.362810057453608</v>
      </c>
      <c r="L61" s="399">
        <f>Main!AG68</f>
        <v>7.4832705258132464</v>
      </c>
      <c r="M61" s="452">
        <v>1</v>
      </c>
      <c r="N61" s="399">
        <f>Main!M68</f>
        <v>11.76308536529541</v>
      </c>
      <c r="O61" s="452">
        <v>1</v>
      </c>
      <c r="P61" s="399">
        <f>Main!O68</f>
        <v>0.66294419765472412</v>
      </c>
      <c r="Q61" s="452">
        <v>1</v>
      </c>
      <c r="R61" s="399">
        <f>Main!AH68</f>
        <v>4.2798148394821638</v>
      </c>
      <c r="S61" s="452">
        <v>1</v>
      </c>
      <c r="T61" s="399">
        <f>Main!AB68</f>
        <v>9.5316443569085969</v>
      </c>
      <c r="U61" s="452">
        <v>1</v>
      </c>
      <c r="V61" s="399">
        <f>Main!AC68</f>
        <v>20.390050174675601</v>
      </c>
      <c r="W61" s="399">
        <f t="shared" ref="W61:W68" si="43">(K61/100)*$I61</f>
        <v>16.653218323747364</v>
      </c>
      <c r="X61" s="399">
        <f t="shared" ref="X61:X68" si="44">(L61/100)*$I61</f>
        <v>1.9983149849601278</v>
      </c>
      <c r="Y61" s="399">
        <f t="shared" ref="Y61:Y68" si="45">(N61/100)*$I61</f>
        <v>3.1411866875252969</v>
      </c>
      <c r="Z61" s="399">
        <f t="shared" ref="Z61:Z68" si="46">(P61/100)*$I61</f>
        <v>0.17703106145849701</v>
      </c>
      <c r="AA61" s="399">
        <f t="shared" ref="AA61:AA68" si="47">(R61/100)*$I61</f>
        <v>1.1428717025651689</v>
      </c>
      <c r="AB61" s="399">
        <f t="shared" ref="AB61:AB68" si="48">(V61/100)*$I61</f>
        <v>5.4449111077292063</v>
      </c>
      <c r="AC61" s="63">
        <f>Main!T68</f>
        <v>44917</v>
      </c>
      <c r="AD61" s="63">
        <f>Main!U68</f>
        <v>44934</v>
      </c>
      <c r="AE61" s="63">
        <f>Main!V68</f>
        <v>44925.5</v>
      </c>
      <c r="AF61" s="398">
        <f>Main!H68</f>
        <v>17</v>
      </c>
      <c r="AG61" s="208">
        <f t="shared" ref="AG61:AG68" si="49">(T61/100)*$I61</f>
        <v>2.5453079217193113</v>
      </c>
      <c r="AH61" s="208">
        <f t="shared" ref="AH61:AH68" si="50">Y61/12.01</f>
        <v>0.26154760095964169</v>
      </c>
      <c r="AI61" s="208">
        <f t="shared" ref="AI61:AI68" si="51">Z61/14.01</f>
        <v>1.2636050068415203E-2</v>
      </c>
      <c r="AJ61" s="208">
        <f t="shared" ref="AJ61:AJ68" si="52">AA61/12.01</f>
        <v>9.5160008539980759E-2</v>
      </c>
      <c r="AK61" s="208">
        <f t="shared" ref="AK61:AK68" si="53">X61/12.01</f>
        <v>0.16638759241966095</v>
      </c>
      <c r="AL61" s="208">
        <f t="shared" ref="AL61:AL68" si="54">AG61/28.09</f>
        <v>9.0612599562809232E-2</v>
      </c>
      <c r="AM61" s="399">
        <f>depths!$B$4</f>
        <v>3992.7</v>
      </c>
      <c r="AN61" s="44"/>
      <c r="AO61" s="399">
        <f t="shared" ref="AO61:AO68" si="55">AH61*1000</f>
        <v>261.54760095964167</v>
      </c>
      <c r="AP61" s="452">
        <v>3</v>
      </c>
      <c r="AQ61" s="399">
        <f t="shared" ref="AQ61:AQ68" si="56">AI61*1000</f>
        <v>12.636050068415203</v>
      </c>
      <c r="AR61" s="452">
        <v>3</v>
      </c>
      <c r="AS61" s="399">
        <f t="shared" ref="AS61:AS68" si="57">AJ61*1000</f>
        <v>95.160008539980765</v>
      </c>
      <c r="AT61" s="452">
        <v>3</v>
      </c>
      <c r="AU61" s="399">
        <f t="shared" ref="AU61:AU68" si="58">AK61*1000</f>
        <v>166.38759241966093</v>
      </c>
      <c r="AV61" s="452">
        <v>3</v>
      </c>
      <c r="AW61" s="399">
        <f t="shared" ref="AW61:AW68" si="59">AL61*1000</f>
        <v>90.612599562809237</v>
      </c>
      <c r="AX61" s="452">
        <v>3</v>
      </c>
      <c r="AY61" s="399">
        <f t="shared" ref="AY61:AY68" si="60">AS61/AQ61</f>
        <v>7.5308350334762171</v>
      </c>
      <c r="AZ61" s="399">
        <f t="shared" ref="AZ61:AZ68" si="61">AU61/AQ61</f>
        <v>13.167690181567082</v>
      </c>
      <c r="BA61" s="399">
        <f>Main!R68</f>
        <v>38.646362168235825</v>
      </c>
      <c r="BB61" s="400">
        <v>2</v>
      </c>
      <c r="BC61" s="399">
        <f>Main!S68</f>
        <v>8.56</v>
      </c>
      <c r="BD61" s="400">
        <v>1</v>
      </c>
    </row>
    <row r="62" spans="1:56">
      <c r="A62" s="44">
        <f>Main!A69</f>
        <v>2022</v>
      </c>
      <c r="B62" s="44" t="str">
        <f>Main!B69</f>
        <v>47_3800</v>
      </c>
      <c r="C62" s="44">
        <v>15</v>
      </c>
      <c r="D62" s="44" t="str">
        <f>Main!$B$54</f>
        <v>McLane-PARFLUX-Mark78H-21 ; frame# 12993-01, controller# 12993-01 and Motor # 12993-01 Cup set ACx21</v>
      </c>
      <c r="E62" s="44">
        <v>3800</v>
      </c>
      <c r="F62" s="393">
        <v>1</v>
      </c>
      <c r="G62" s="398">
        <f>Main!E69</f>
        <v>1272.8571428571429</v>
      </c>
      <c r="H62" s="208">
        <f>Main!I69</f>
        <v>149.74789915966386</v>
      </c>
      <c r="I62" s="208">
        <f>Main!J69</f>
        <v>54.69542016806723</v>
      </c>
      <c r="J62" s="505">
        <v>3</v>
      </c>
      <c r="K62" s="399">
        <f>Main!AF69</f>
        <v>57.706363580897133</v>
      </c>
      <c r="L62" s="399">
        <f>Main!AG69</f>
        <v>6.9245168609136121</v>
      </c>
      <c r="M62" s="452">
        <v>1</v>
      </c>
      <c r="N62" s="399">
        <f>Main!M69</f>
        <v>13.305138111114502</v>
      </c>
      <c r="O62" s="452">
        <v>1</v>
      </c>
      <c r="P62" s="399">
        <f>Main!O69</f>
        <v>1.0291791558265686</v>
      </c>
      <c r="Q62" s="452">
        <v>1</v>
      </c>
      <c r="R62" s="399">
        <f>Main!AH69</f>
        <v>6.3806212502008899</v>
      </c>
      <c r="S62" s="452">
        <v>1</v>
      </c>
      <c r="T62" s="399">
        <f>Main!AB69</f>
        <v>9.4117479666618653</v>
      </c>
      <c r="U62" s="452">
        <v>1</v>
      </c>
      <c r="V62" s="399">
        <f>Main!AC69</f>
        <v>20.133568363001476</v>
      </c>
      <c r="W62" s="399">
        <f t="shared" si="43"/>
        <v>31.562738024284215</v>
      </c>
      <c r="X62" s="399">
        <f t="shared" si="44"/>
        <v>3.7873935916853601</v>
      </c>
      <c r="Y62" s="399">
        <f t="shared" si="45"/>
        <v>7.2773011938157195</v>
      </c>
      <c r="Z62" s="399">
        <f t="shared" si="46"/>
        <v>0.56291386356150908</v>
      </c>
      <c r="AA62" s="399">
        <f t="shared" si="47"/>
        <v>3.4899076021303608</v>
      </c>
      <c r="AB62" s="399">
        <f t="shared" si="48"/>
        <v>11.012139810968712</v>
      </c>
      <c r="AC62" s="63">
        <f>Main!T69</f>
        <v>44934</v>
      </c>
      <c r="AD62" s="63">
        <f>Main!U69</f>
        <v>44951</v>
      </c>
      <c r="AE62" s="63">
        <f>Main!V69</f>
        <v>44942.5</v>
      </c>
      <c r="AF62" s="398">
        <f>Main!H69</f>
        <v>17</v>
      </c>
      <c r="AG62" s="208">
        <f t="shared" si="49"/>
        <v>5.1477950955252316</v>
      </c>
      <c r="AH62" s="208">
        <f t="shared" si="50"/>
        <v>0.6059368188023081</v>
      </c>
      <c r="AI62" s="208">
        <f t="shared" si="51"/>
        <v>4.0179433516167672E-2</v>
      </c>
      <c r="AJ62" s="208">
        <f t="shared" si="52"/>
        <v>0.29058348061035477</v>
      </c>
      <c r="AK62" s="208">
        <f t="shared" si="53"/>
        <v>0.31535333819195338</v>
      </c>
      <c r="AL62" s="208">
        <f t="shared" si="54"/>
        <v>0.18326077235760882</v>
      </c>
      <c r="AM62" s="399">
        <f>depths!$B$4</f>
        <v>3992.7</v>
      </c>
      <c r="AN62" s="44"/>
      <c r="AO62" s="399">
        <f t="shared" si="55"/>
        <v>605.93681880230815</v>
      </c>
      <c r="AP62" s="452">
        <v>3</v>
      </c>
      <c r="AQ62" s="399">
        <f t="shared" si="56"/>
        <v>40.17943351616767</v>
      </c>
      <c r="AR62" s="452">
        <v>3</v>
      </c>
      <c r="AS62" s="399">
        <f t="shared" si="57"/>
        <v>290.5834806103548</v>
      </c>
      <c r="AT62" s="452">
        <v>3</v>
      </c>
      <c r="AU62" s="399">
        <f t="shared" si="58"/>
        <v>315.35333819195336</v>
      </c>
      <c r="AV62" s="452">
        <v>3</v>
      </c>
      <c r="AW62" s="399">
        <f t="shared" si="59"/>
        <v>183.26077235760883</v>
      </c>
      <c r="AX62" s="452">
        <v>3</v>
      </c>
      <c r="AY62" s="399">
        <f t="shared" si="60"/>
        <v>7.2321447860490089</v>
      </c>
      <c r="AZ62" s="399">
        <f t="shared" si="61"/>
        <v>7.8486257917264899</v>
      </c>
      <c r="BA62" s="399">
        <f>Main!R69</f>
        <v>37.922094495813525</v>
      </c>
      <c r="BB62" s="400">
        <v>2</v>
      </c>
      <c r="BC62" s="399">
        <f>Main!S69</f>
        <v>8.4499999999999993</v>
      </c>
      <c r="BD62" s="400">
        <v>1</v>
      </c>
    </row>
    <row r="63" spans="1:56">
      <c r="A63" s="44">
        <f>Main!A70</f>
        <v>2022</v>
      </c>
      <c r="B63" s="44" t="str">
        <f>Main!B70</f>
        <v>47_3800</v>
      </c>
      <c r="C63" s="44">
        <v>16</v>
      </c>
      <c r="D63" s="44" t="str">
        <f>Main!$B$54</f>
        <v>McLane-PARFLUX-Mark78H-21 ; frame# 12993-01, controller# 12993-01 and Motor # 12993-01 Cup set ACx21</v>
      </c>
      <c r="E63" s="44">
        <v>3800</v>
      </c>
      <c r="F63" s="393">
        <v>1</v>
      </c>
      <c r="G63" s="398">
        <f>Main!E70</f>
        <v>638.87142857142862</v>
      </c>
      <c r="H63" s="208">
        <f>Main!I70</f>
        <v>75.161344537815125</v>
      </c>
      <c r="I63" s="208">
        <f>Main!J70</f>
        <v>27.452681092436979</v>
      </c>
      <c r="J63" s="505">
        <v>3</v>
      </c>
      <c r="K63" s="399">
        <f>Main!AF70</f>
        <v>68.556134240857176</v>
      </c>
      <c r="L63" s="399">
        <f>Main!AG70</f>
        <v>8.2264429434091237</v>
      </c>
      <c r="M63" s="452">
        <v>1</v>
      </c>
      <c r="N63" s="399">
        <f>Main!M70</f>
        <v>12.947148323059082</v>
      </c>
      <c r="O63" s="452">
        <v>1</v>
      </c>
      <c r="P63" s="399">
        <f>Main!O70</f>
        <v>0.78940832614898682</v>
      </c>
      <c r="Q63" s="452">
        <v>1</v>
      </c>
      <c r="R63" s="399">
        <f>Main!AH70</f>
        <v>4.7207053796499583</v>
      </c>
      <c r="S63" s="452">
        <v>1</v>
      </c>
      <c r="T63" s="399">
        <f>Main!AB70</f>
        <v>6.4618643680017236</v>
      </c>
      <c r="U63" s="452">
        <v>1</v>
      </c>
      <c r="V63" s="399">
        <f>Main!AC70</f>
        <v>13.823190810723517</v>
      </c>
      <c r="W63" s="399">
        <f t="shared" si="43"/>
        <v>18.820496902445512</v>
      </c>
      <c r="X63" s="399">
        <f t="shared" si="44"/>
        <v>2.2583791465053924</v>
      </c>
      <c r="Y63" s="399">
        <f t="shared" si="45"/>
        <v>3.554339339694212</v>
      </c>
      <c r="Z63" s="399">
        <f t="shared" si="46"/>
        <v>0.21671375029482612</v>
      </c>
      <c r="AA63" s="399">
        <f t="shared" si="47"/>
        <v>1.2959601931888194</v>
      </c>
      <c r="AB63" s="399">
        <f t="shared" si="48"/>
        <v>3.7948364900669813</v>
      </c>
      <c r="AC63" s="63">
        <f>Main!T70</f>
        <v>44951</v>
      </c>
      <c r="AD63" s="63">
        <f>Main!U70</f>
        <v>44968</v>
      </c>
      <c r="AE63" s="63">
        <f>Main!V70</f>
        <v>44959.5</v>
      </c>
      <c r="AF63" s="398">
        <f>Main!H70</f>
        <v>17</v>
      </c>
      <c r="AG63" s="208">
        <f t="shared" si="49"/>
        <v>1.7739550175733316</v>
      </c>
      <c r="AH63" s="208">
        <f t="shared" si="50"/>
        <v>0.29594832137337318</v>
      </c>
      <c r="AI63" s="208">
        <f t="shared" si="51"/>
        <v>1.5468504660587161E-2</v>
      </c>
      <c r="AJ63" s="208">
        <f t="shared" si="52"/>
        <v>0.10790676046534717</v>
      </c>
      <c r="AK63" s="208">
        <f t="shared" si="53"/>
        <v>0.18804156090802601</v>
      </c>
      <c r="AL63" s="208">
        <f t="shared" si="54"/>
        <v>6.3152546015426539E-2</v>
      </c>
      <c r="AM63" s="399">
        <f>depths!$B$4</f>
        <v>3992.7</v>
      </c>
      <c r="AN63" s="44"/>
      <c r="AO63" s="399">
        <f t="shared" si="55"/>
        <v>295.94832137337318</v>
      </c>
      <c r="AP63" s="452">
        <v>3</v>
      </c>
      <c r="AQ63" s="399">
        <f t="shared" si="56"/>
        <v>15.468504660587161</v>
      </c>
      <c r="AR63" s="452">
        <v>3</v>
      </c>
      <c r="AS63" s="399">
        <f t="shared" si="57"/>
        <v>107.90676046534716</v>
      </c>
      <c r="AT63" s="452">
        <v>3</v>
      </c>
      <c r="AU63" s="399">
        <f t="shared" si="58"/>
        <v>188.04156090802601</v>
      </c>
      <c r="AV63" s="452">
        <v>3</v>
      </c>
      <c r="AW63" s="399">
        <f t="shared" si="59"/>
        <v>63.152546015426537</v>
      </c>
      <c r="AX63" s="452">
        <v>3</v>
      </c>
      <c r="AY63" s="399">
        <f t="shared" si="60"/>
        <v>6.9759012156027742</v>
      </c>
      <c r="AZ63" s="399">
        <f t="shared" si="61"/>
        <v>12.15641492400651</v>
      </c>
      <c r="BA63" s="399">
        <f>Main!R70</f>
        <v>37.632698574553245</v>
      </c>
      <c r="BB63" s="400">
        <v>2</v>
      </c>
      <c r="BC63" s="399">
        <f>Main!S70</f>
        <v>8.41</v>
      </c>
      <c r="BD63" s="400">
        <v>1</v>
      </c>
    </row>
    <row r="64" spans="1:56">
      <c r="A64" s="44">
        <f>Main!A71</f>
        <v>2022</v>
      </c>
      <c r="B64" s="44" t="str">
        <f>Main!B71</f>
        <v>47_3800</v>
      </c>
      <c r="C64" s="44">
        <v>17</v>
      </c>
      <c r="D64" s="44" t="str">
        <f>Main!$B$54</f>
        <v>McLane-PARFLUX-Mark78H-21 ; frame# 12993-01, controller# 12993-01 and Motor # 12993-01 Cup set ACx21</v>
      </c>
      <c r="E64" s="44">
        <v>3800</v>
      </c>
      <c r="F64" s="393">
        <v>1</v>
      </c>
      <c r="G64" s="398">
        <f>Main!E71</f>
        <v>112.31428571428572</v>
      </c>
      <c r="H64" s="208">
        <f>Main!I71</f>
        <v>13.213445378151262</v>
      </c>
      <c r="I64" s="208">
        <f>Main!J71</f>
        <v>4.8262109243697484</v>
      </c>
      <c r="J64" s="505">
        <v>3</v>
      </c>
      <c r="K64" s="399">
        <f>Main!AF71</f>
        <v>73.514730433964701</v>
      </c>
      <c r="L64" s="399">
        <f>Main!AG71</f>
        <v>8.8214532822169147</v>
      </c>
      <c r="M64" s="452">
        <v>1</v>
      </c>
      <c r="N64" s="399">
        <f>Main!M71</f>
        <v>13.637119121551514</v>
      </c>
      <c r="O64" s="452">
        <v>1</v>
      </c>
      <c r="P64" s="399">
        <f>Main!O71</f>
        <v>0.76293784379959106</v>
      </c>
      <c r="Q64" s="452">
        <v>1</v>
      </c>
      <c r="R64" s="399">
        <f>Main!AH71</f>
        <v>4.8156658393345992</v>
      </c>
      <c r="S64" s="452">
        <v>1</v>
      </c>
      <c r="T64" s="399">
        <f>Main!AB71</f>
        <v>4.1185132049686688</v>
      </c>
      <c r="U64" s="452">
        <v>1</v>
      </c>
      <c r="V64" s="399">
        <f>Main!AC71</f>
        <v>8.8103046809030729</v>
      </c>
      <c r="W64" s="399">
        <f t="shared" si="43"/>
        <v>3.5479759512249767</v>
      </c>
      <c r="X64" s="399">
        <f t="shared" si="44"/>
        <v>0.42574194199452647</v>
      </c>
      <c r="Y64" s="399">
        <f t="shared" si="45"/>
        <v>0.65815613281363505</v>
      </c>
      <c r="Z64" s="399">
        <f t="shared" si="46"/>
        <v>3.6820989563606868E-2</v>
      </c>
      <c r="AA64" s="399">
        <f t="shared" si="47"/>
        <v>0.23241419081910858</v>
      </c>
      <c r="AB64" s="399">
        <f t="shared" si="48"/>
        <v>0.42520388698000344</v>
      </c>
      <c r="AC64" s="63">
        <f>Main!T71</f>
        <v>44968</v>
      </c>
      <c r="AD64" s="63">
        <f>Main!U71</f>
        <v>44985</v>
      </c>
      <c r="AE64" s="63">
        <f>Main!V71</f>
        <v>44976.5</v>
      </c>
      <c r="AF64" s="398">
        <f>Main!H71</f>
        <v>17</v>
      </c>
      <c r="AG64" s="208">
        <f t="shared" si="49"/>
        <v>0.19876813421980852</v>
      </c>
      <c r="AH64" s="208">
        <f t="shared" si="50"/>
        <v>5.480067717016112E-2</v>
      </c>
      <c r="AI64" s="208">
        <f t="shared" si="51"/>
        <v>2.6281934021132668E-3</v>
      </c>
      <c r="AJ64" s="208">
        <f t="shared" si="52"/>
        <v>1.9351722799259667E-2</v>
      </c>
      <c r="AK64" s="208">
        <f t="shared" si="53"/>
        <v>3.5448954370901453E-2</v>
      </c>
      <c r="AL64" s="208">
        <f t="shared" si="54"/>
        <v>7.0761172737560879E-3</v>
      </c>
      <c r="AM64" s="399">
        <f>depths!$B$4</f>
        <v>3992.7</v>
      </c>
      <c r="AN64" s="44"/>
      <c r="AO64" s="399">
        <f t="shared" si="55"/>
        <v>54.800677170161123</v>
      </c>
      <c r="AP64" s="452">
        <v>3</v>
      </c>
      <c r="AQ64" s="399">
        <f t="shared" si="56"/>
        <v>2.6281934021132667</v>
      </c>
      <c r="AR64" s="452">
        <v>3</v>
      </c>
      <c r="AS64" s="399">
        <f t="shared" si="57"/>
        <v>19.351722799259669</v>
      </c>
      <c r="AT64" s="452">
        <v>3</v>
      </c>
      <c r="AU64" s="399">
        <f t="shared" si="58"/>
        <v>35.448954370901454</v>
      </c>
      <c r="AV64" s="452">
        <v>3</v>
      </c>
      <c r="AW64" s="399">
        <f t="shared" si="59"/>
        <v>7.076117273756088</v>
      </c>
      <c r="AX64" s="452">
        <v>3</v>
      </c>
      <c r="AY64" s="399">
        <f t="shared" si="60"/>
        <v>7.3631273800852775</v>
      </c>
      <c r="AZ64" s="399">
        <f t="shared" si="61"/>
        <v>13.487955012137922</v>
      </c>
      <c r="BA64" s="399">
        <f>Main!R71</f>
        <v>36.476921764898364</v>
      </c>
      <c r="BB64" s="400">
        <v>2</v>
      </c>
      <c r="BC64" s="399">
        <f>Main!S71</f>
        <v>8.57</v>
      </c>
      <c r="BD64" s="400">
        <v>1</v>
      </c>
    </row>
    <row r="65" spans="1:56">
      <c r="A65" s="44">
        <f>Main!A72</f>
        <v>2022</v>
      </c>
      <c r="B65" s="44" t="str">
        <f>Main!B72</f>
        <v>47_3800</v>
      </c>
      <c r="C65" s="44">
        <v>18</v>
      </c>
      <c r="D65" s="44" t="str">
        <f>Main!$B$54</f>
        <v>McLane-PARFLUX-Mark78H-21 ; frame# 12993-01, controller# 12993-01 and Motor # 12993-01 Cup set ACx21</v>
      </c>
      <c r="E65" s="44">
        <v>3800</v>
      </c>
      <c r="F65" s="393">
        <v>1</v>
      </c>
      <c r="G65" s="398">
        <f>Main!E72</f>
        <v>325.74285714285725</v>
      </c>
      <c r="H65" s="208">
        <f>Main!I72</f>
        <v>38.322689075630265</v>
      </c>
      <c r="I65" s="208">
        <f>Main!J72</f>
        <v>13.997362184873953</v>
      </c>
      <c r="J65" s="505">
        <v>3</v>
      </c>
      <c r="K65" s="399">
        <f>Main!AF72</f>
        <v>71.572303862458924</v>
      </c>
      <c r="L65" s="399">
        <f>Main!AG72</f>
        <v>8.5883704000037131</v>
      </c>
      <c r="M65" s="452">
        <v>1</v>
      </c>
      <c r="N65" s="399">
        <f>Main!M72</f>
        <v>12.892898559570313</v>
      </c>
      <c r="O65" s="452">
        <v>1</v>
      </c>
      <c r="P65" s="399">
        <f>Main!O72</f>
        <v>0.59488427639007568</v>
      </c>
      <c r="Q65" s="452">
        <v>1</v>
      </c>
      <c r="R65" s="399">
        <f>Main!AH72</f>
        <v>4.3045281595665994</v>
      </c>
      <c r="S65" s="452">
        <v>1</v>
      </c>
      <c r="T65" s="399">
        <f>Main!AB72</f>
        <v>5.387426142924153</v>
      </c>
      <c r="U65" s="452">
        <v>1</v>
      </c>
      <c r="V65" s="399">
        <f>Main!AC72</f>
        <v>11.524757455618101</v>
      </c>
      <c r="W65" s="399">
        <f t="shared" si="43"/>
        <v>10.018234595686904</v>
      </c>
      <c r="X65" s="399">
        <f t="shared" si="44"/>
        <v>1.2021453106670277</v>
      </c>
      <c r="Y65" s="399">
        <f t="shared" si="45"/>
        <v>1.8046657075114536</v>
      </c>
      <c r="Z65" s="399">
        <f t="shared" si="46"/>
        <v>8.3268106747185502E-2</v>
      </c>
      <c r="AA65" s="399">
        <f t="shared" si="47"/>
        <v>0.60252039684442593</v>
      </c>
      <c r="AB65" s="399">
        <f t="shared" si="48"/>
        <v>1.6131620419911297</v>
      </c>
      <c r="AC65" s="63">
        <f>Main!T72</f>
        <v>44985</v>
      </c>
      <c r="AD65" s="63">
        <f>Main!U72</f>
        <v>45002</v>
      </c>
      <c r="AE65" s="63">
        <f>Main!V72</f>
        <v>44993.5</v>
      </c>
      <c r="AF65" s="398">
        <f>Main!H72</f>
        <v>17</v>
      </c>
      <c r="AG65" s="208">
        <f t="shared" si="49"/>
        <v>0.75409754966767883</v>
      </c>
      <c r="AH65" s="208">
        <f t="shared" si="50"/>
        <v>0.15026358930153652</v>
      </c>
      <c r="AI65" s="208">
        <f t="shared" si="51"/>
        <v>5.9434765701060314E-3</v>
      </c>
      <c r="AJ65" s="208">
        <f t="shared" si="52"/>
        <v>5.0168226215189501E-2</v>
      </c>
      <c r="AK65" s="208">
        <f t="shared" si="53"/>
        <v>0.10009536308634702</v>
      </c>
      <c r="AL65" s="208">
        <f t="shared" si="54"/>
        <v>2.6845765385107825E-2</v>
      </c>
      <c r="AM65" s="399">
        <f>depths!$B$4</f>
        <v>3992.7</v>
      </c>
      <c r="AN65" s="44"/>
      <c r="AO65" s="399">
        <f t="shared" si="55"/>
        <v>150.26358930153651</v>
      </c>
      <c r="AP65" s="452">
        <v>3</v>
      </c>
      <c r="AQ65" s="399">
        <f t="shared" si="56"/>
        <v>5.9434765701060313</v>
      </c>
      <c r="AR65" s="452">
        <v>3</v>
      </c>
      <c r="AS65" s="399">
        <f t="shared" si="57"/>
        <v>50.168226215189499</v>
      </c>
      <c r="AT65" s="452">
        <v>3</v>
      </c>
      <c r="AU65" s="399">
        <f t="shared" si="58"/>
        <v>100.09536308634702</v>
      </c>
      <c r="AV65" s="452">
        <v>3</v>
      </c>
      <c r="AW65" s="399">
        <f t="shared" si="59"/>
        <v>26.845765385107825</v>
      </c>
      <c r="AX65" s="452">
        <v>3</v>
      </c>
      <c r="AY65" s="399">
        <f t="shared" si="60"/>
        <v>8.4408890358079596</v>
      </c>
      <c r="AZ65" s="399">
        <f t="shared" si="61"/>
        <v>16.841214381124637</v>
      </c>
      <c r="BA65" s="399">
        <f>Main!R72</f>
        <v>38.646362168235825</v>
      </c>
      <c r="BB65" s="400">
        <v>2</v>
      </c>
      <c r="BC65" s="399">
        <f>Main!S72</f>
        <v>8.61</v>
      </c>
      <c r="BD65" s="400">
        <v>1</v>
      </c>
    </row>
    <row r="66" spans="1:56">
      <c r="A66" s="44">
        <f>Main!A73</f>
        <v>2022</v>
      </c>
      <c r="B66" s="44" t="str">
        <f>Main!B73</f>
        <v>47_3800</v>
      </c>
      <c r="C66" s="44">
        <v>19</v>
      </c>
      <c r="D66" s="44" t="str">
        <f>Main!$B$54</f>
        <v>McLane-PARFLUX-Mark78H-21 ; frame# 12993-01, controller# 12993-01 and Motor # 12993-01 Cup set ACx21</v>
      </c>
      <c r="E66" s="44">
        <v>3800</v>
      </c>
      <c r="F66" s="393">
        <v>1</v>
      </c>
      <c r="G66" s="398">
        <f>Main!E73</f>
        <v>239.55714285714288</v>
      </c>
      <c r="H66" s="208">
        <f>Main!I73</f>
        <v>28.183193277310927</v>
      </c>
      <c r="I66" s="208">
        <f>Main!J73</f>
        <v>10.293911344537817</v>
      </c>
      <c r="J66" s="505">
        <v>3</v>
      </c>
      <c r="K66" s="399">
        <f>Main!AF73</f>
        <v>71.209945716490836</v>
      </c>
      <c r="L66" s="399">
        <f>Main!AG73</f>
        <v>8.544888972033851</v>
      </c>
      <c r="M66" s="452">
        <v>1</v>
      </c>
      <c r="N66" s="399">
        <f>Main!M73</f>
        <v>12.664948463439941</v>
      </c>
      <c r="O66" s="452">
        <v>1</v>
      </c>
      <c r="P66" s="399">
        <f>Main!O73</f>
        <v>0.64429038763046265</v>
      </c>
      <c r="Q66" s="452">
        <v>1</v>
      </c>
      <c r="R66" s="399">
        <f>Main!AH73</f>
        <v>4.1200594914060904</v>
      </c>
      <c r="S66" s="452">
        <v>1</v>
      </c>
      <c r="T66" s="399">
        <f>Main!AB73</f>
        <v>5.1655244267323752</v>
      </c>
      <c r="U66" s="452">
        <v>1</v>
      </c>
      <c r="V66" s="399">
        <f>Main!AC73</f>
        <v>11.05006631549834</v>
      </c>
      <c r="W66" s="399">
        <f t="shared" si="43"/>
        <v>7.3302886805490717</v>
      </c>
      <c r="X66" s="399">
        <f t="shared" si="44"/>
        <v>0.87960329527035341</v>
      </c>
      <c r="Y66" s="399">
        <f t="shared" si="45"/>
        <v>1.3037185666579119</v>
      </c>
      <c r="Z66" s="399">
        <f t="shared" si="46"/>
        <v>6.632268130405887E-2</v>
      </c>
      <c r="AA66" s="399">
        <f t="shared" si="47"/>
        <v>0.42411527138755861</v>
      </c>
      <c r="AB66" s="399">
        <f t="shared" si="48"/>
        <v>1.1374840300300355</v>
      </c>
      <c r="AC66" s="63">
        <f>Main!T73</f>
        <v>45002</v>
      </c>
      <c r="AD66" s="63">
        <f>Main!U73</f>
        <v>45019</v>
      </c>
      <c r="AE66" s="63">
        <f>Main!V73</f>
        <v>45010.5</v>
      </c>
      <c r="AF66" s="398">
        <f>Main!H73</f>
        <v>17</v>
      </c>
      <c r="AG66" s="208">
        <f t="shared" si="49"/>
        <v>0.53173450496827601</v>
      </c>
      <c r="AH66" s="208">
        <f t="shared" si="50"/>
        <v>0.10855275326044229</v>
      </c>
      <c r="AI66" s="208">
        <f t="shared" si="51"/>
        <v>4.7339529838728673E-3</v>
      </c>
      <c r="AJ66" s="208">
        <f t="shared" si="52"/>
        <v>3.5313511356166415E-2</v>
      </c>
      <c r="AK66" s="208">
        <f t="shared" si="53"/>
        <v>7.3239241904275887E-2</v>
      </c>
      <c r="AL66" s="208">
        <f t="shared" si="54"/>
        <v>1.8929672658179995E-2</v>
      </c>
      <c r="AM66" s="399">
        <f>depths!$B$4</f>
        <v>3992.7</v>
      </c>
      <c r="AN66" s="44"/>
      <c r="AO66" s="399">
        <f t="shared" si="55"/>
        <v>108.5527532604423</v>
      </c>
      <c r="AP66" s="452">
        <v>3</v>
      </c>
      <c r="AQ66" s="399">
        <f t="shared" si="56"/>
        <v>4.7339529838728671</v>
      </c>
      <c r="AR66" s="452">
        <v>3</v>
      </c>
      <c r="AS66" s="399">
        <f t="shared" si="57"/>
        <v>35.313511356166416</v>
      </c>
      <c r="AT66" s="452">
        <v>3</v>
      </c>
      <c r="AU66" s="399">
        <f t="shared" si="58"/>
        <v>73.239241904275886</v>
      </c>
      <c r="AV66" s="452">
        <v>3</v>
      </c>
      <c r="AW66" s="399">
        <f t="shared" si="59"/>
        <v>18.929672658179996</v>
      </c>
      <c r="AX66" s="452">
        <v>3</v>
      </c>
      <c r="AY66" s="399">
        <f t="shared" si="60"/>
        <v>7.4596244357450887</v>
      </c>
      <c r="AZ66" s="399">
        <f t="shared" si="61"/>
        <v>15.471053927611793</v>
      </c>
      <c r="BA66" s="399">
        <f>Main!R73</f>
        <v>38.863857221644167</v>
      </c>
      <c r="BB66" s="400">
        <v>2</v>
      </c>
      <c r="BC66" s="399">
        <f>Main!S73</f>
        <v>8.6300000000000008</v>
      </c>
      <c r="BD66" s="400">
        <v>1</v>
      </c>
    </row>
    <row r="67" spans="1:56">
      <c r="A67" s="44">
        <f>Main!A74</f>
        <v>2022</v>
      </c>
      <c r="B67" s="44" t="str">
        <f>Main!B74</f>
        <v>47_3800</v>
      </c>
      <c r="C67" s="44">
        <v>20</v>
      </c>
      <c r="D67" s="44" t="str">
        <f>Main!$B$54</f>
        <v>McLane-PARFLUX-Mark78H-21 ; frame# 12993-01, controller# 12993-01 and Motor # 12993-01 Cup set ACx21</v>
      </c>
      <c r="E67" s="44">
        <v>3800</v>
      </c>
      <c r="F67" s="393">
        <v>1</v>
      </c>
      <c r="G67" s="398">
        <f>Main!E74</f>
        <v>509.21428571428572</v>
      </c>
      <c r="H67" s="208">
        <f>Main!I74</f>
        <v>59.907563025210088</v>
      </c>
      <c r="I67" s="208">
        <f>Main!J74</f>
        <v>21.881237394957985</v>
      </c>
      <c r="J67" s="505">
        <v>3</v>
      </c>
      <c r="K67" s="399">
        <f>Main!AF74</f>
        <v>72.645345110830917</v>
      </c>
      <c r="L67" s="399">
        <f>Main!AG74</f>
        <v>8.7171307611793285</v>
      </c>
      <c r="M67" s="452">
        <v>1</v>
      </c>
      <c r="N67" s="399">
        <f>Main!M74</f>
        <v>12.459025382995605</v>
      </c>
      <c r="O67" s="452">
        <v>1</v>
      </c>
      <c r="P67" s="399">
        <f>Main!O74</f>
        <v>0.57904958724975586</v>
      </c>
      <c r="Q67" s="452">
        <v>1</v>
      </c>
      <c r="R67" s="399">
        <f>Main!AH74</f>
        <v>3.741894621816277</v>
      </c>
      <c r="S67" s="452">
        <v>1</v>
      </c>
      <c r="T67" s="399">
        <f>Main!AB74</f>
        <v>4.7855142405063296</v>
      </c>
      <c r="U67" s="452">
        <v>1</v>
      </c>
      <c r="V67" s="399">
        <f>Main!AC74</f>
        <v>10.237150256747078</v>
      </c>
      <c r="W67" s="399">
        <f t="shared" si="43"/>
        <v>15.895700420087417</v>
      </c>
      <c r="X67" s="399">
        <f t="shared" si="44"/>
        <v>1.9074160758825569</v>
      </c>
      <c r="Y67" s="399">
        <f t="shared" si="45"/>
        <v>2.7261889211513419</v>
      </c>
      <c r="Z67" s="399">
        <f t="shared" si="46"/>
        <v>0.12670321482064342</v>
      </c>
      <c r="AA67" s="399">
        <f t="shared" si="47"/>
        <v>0.8187728452687848</v>
      </c>
      <c r="AB67" s="399">
        <f t="shared" si="48"/>
        <v>2.2400151501573791</v>
      </c>
      <c r="AC67" s="63">
        <f>Main!T74</f>
        <v>45019</v>
      </c>
      <c r="AD67" s="63">
        <f>Main!U74</f>
        <v>45036</v>
      </c>
      <c r="AE67" s="63">
        <f>Main!V74</f>
        <v>45027.5</v>
      </c>
      <c r="AF67" s="398">
        <f>Main!H74</f>
        <v>17</v>
      </c>
      <c r="AG67" s="208">
        <f t="shared" si="49"/>
        <v>1.0471297315347106</v>
      </c>
      <c r="AH67" s="208">
        <f t="shared" si="50"/>
        <v>0.22699324905506593</v>
      </c>
      <c r="AI67" s="208">
        <f t="shared" si="51"/>
        <v>9.0437697944784744E-3</v>
      </c>
      <c r="AJ67" s="208">
        <f t="shared" si="52"/>
        <v>6.8174258556934625E-2</v>
      </c>
      <c r="AK67" s="208">
        <f t="shared" si="53"/>
        <v>0.15881899049813131</v>
      </c>
      <c r="AL67" s="208">
        <f t="shared" si="54"/>
        <v>3.727766933195837E-2</v>
      </c>
      <c r="AM67" s="399">
        <f>depths!$B$4</f>
        <v>3992.7</v>
      </c>
      <c r="AN67" s="44"/>
      <c r="AO67" s="399">
        <f t="shared" si="55"/>
        <v>226.99324905506595</v>
      </c>
      <c r="AP67" s="452">
        <v>3</v>
      </c>
      <c r="AQ67" s="399">
        <f t="shared" si="56"/>
        <v>9.0437697944784752</v>
      </c>
      <c r="AR67" s="452">
        <v>3</v>
      </c>
      <c r="AS67" s="399">
        <f t="shared" si="57"/>
        <v>68.174258556934632</v>
      </c>
      <c r="AT67" s="452">
        <v>3</v>
      </c>
      <c r="AU67" s="399">
        <f t="shared" si="58"/>
        <v>158.81899049813131</v>
      </c>
      <c r="AV67" s="452">
        <v>3</v>
      </c>
      <c r="AW67" s="399">
        <f t="shared" si="59"/>
        <v>37.277669331958371</v>
      </c>
      <c r="AX67" s="452">
        <v>3</v>
      </c>
      <c r="AY67" s="399">
        <f t="shared" si="60"/>
        <v>7.5382567343274598</v>
      </c>
      <c r="AZ67" s="399">
        <f t="shared" si="61"/>
        <v>17.561149178641813</v>
      </c>
      <c r="BA67" s="399">
        <f>Main!R74</f>
        <v>37.777374168095484</v>
      </c>
      <c r="BB67" s="400">
        <v>2</v>
      </c>
      <c r="BC67" s="399">
        <f>Main!S74</f>
        <v>8.56</v>
      </c>
      <c r="BD67" s="400">
        <v>1</v>
      </c>
    </row>
    <row r="68" spans="1:56" ht="15" thickBot="1">
      <c r="A68" s="44">
        <f>Main!A75</f>
        <v>2022</v>
      </c>
      <c r="B68" s="44" t="str">
        <f>Main!B75</f>
        <v>47_3800</v>
      </c>
      <c r="C68" s="44">
        <v>21</v>
      </c>
      <c r="D68" s="44" t="str">
        <f>Main!$B$54</f>
        <v>McLane-PARFLUX-Mark78H-21 ; frame# 12993-01, controller# 12993-01 and Motor # 12993-01 Cup set ACx21</v>
      </c>
      <c r="E68" s="44">
        <v>3800</v>
      </c>
      <c r="F68" s="393">
        <v>1</v>
      </c>
      <c r="G68" s="398">
        <f>Main!E75</f>
        <v>226.87142857142857</v>
      </c>
      <c r="H68" s="208">
        <f>Main!I75</f>
        <v>26.69075630252101</v>
      </c>
      <c r="I68" s="208">
        <f>Main!J75</f>
        <v>9.7487987394957987</v>
      </c>
      <c r="J68" s="505">
        <v>3</v>
      </c>
      <c r="K68" s="399">
        <f>Main!AF75</f>
        <v>70.36685210175213</v>
      </c>
      <c r="L68" s="399">
        <f>Main!AG75</f>
        <v>8.4437213435728662</v>
      </c>
      <c r="M68" s="452">
        <v>1</v>
      </c>
      <c r="N68" s="399">
        <f>Main!M75</f>
        <v>13.983448028564453</v>
      </c>
      <c r="O68" s="452">
        <v>1</v>
      </c>
      <c r="P68" s="399">
        <f>Main!O75</f>
        <v>0.97274410724639893</v>
      </c>
      <c r="Q68" s="452">
        <v>1</v>
      </c>
      <c r="R68" s="399">
        <f>Main!AH75</f>
        <v>5.5397266849915869</v>
      </c>
      <c r="S68" s="452">
        <v>1</v>
      </c>
      <c r="T68" s="399">
        <f>Main!AB75</f>
        <v>4.3909189112546629</v>
      </c>
      <c r="U68" s="452">
        <v>1</v>
      </c>
      <c r="V68" s="399">
        <f>Main!AC75</f>
        <v>9.3930337264967161</v>
      </c>
      <c r="W68" s="399">
        <f t="shared" si="43"/>
        <v>6.8599227907184845</v>
      </c>
      <c r="X68" s="399">
        <f t="shared" si="44"/>
        <v>0.82316139990876924</v>
      </c>
      <c r="Y68" s="399">
        <f t="shared" si="45"/>
        <v>1.3632182051467414</v>
      </c>
      <c r="Z68" s="399">
        <f t="shared" si="46"/>
        <v>9.4830865265756598E-2</v>
      </c>
      <c r="AA68" s="399">
        <f t="shared" si="47"/>
        <v>0.54005680523797217</v>
      </c>
      <c r="AB68" s="399">
        <f t="shared" si="48"/>
        <v>0.91570795352912715</v>
      </c>
      <c r="AC68" s="63">
        <f>Main!T75</f>
        <v>45036</v>
      </c>
      <c r="AD68" s="63">
        <f>Main!U75</f>
        <v>45053</v>
      </c>
      <c r="AE68" s="63">
        <f>Main!V75</f>
        <v>45044.5</v>
      </c>
      <c r="AF68" s="398">
        <f>Main!H75</f>
        <v>17</v>
      </c>
      <c r="AG68" s="208">
        <f t="shared" si="49"/>
        <v>0.42806184747267717</v>
      </c>
      <c r="AH68" s="208">
        <f t="shared" si="50"/>
        <v>0.11350692798890437</v>
      </c>
      <c r="AI68" s="208">
        <f t="shared" si="51"/>
        <v>6.7687983772845538E-3</v>
      </c>
      <c r="AJ68" s="208">
        <f t="shared" si="52"/>
        <v>4.496726105228744E-2</v>
      </c>
      <c r="AK68" s="208">
        <f t="shared" si="53"/>
        <v>6.8539666936616922E-2</v>
      </c>
      <c r="AL68" s="208">
        <f t="shared" si="54"/>
        <v>1.523894081426405E-2</v>
      </c>
      <c r="AM68" s="399">
        <f>depths!$B$4</f>
        <v>3992.7</v>
      </c>
      <c r="AN68" s="44"/>
      <c r="AO68" s="399">
        <f t="shared" si="55"/>
        <v>113.50692798890437</v>
      </c>
      <c r="AP68" s="452">
        <v>3</v>
      </c>
      <c r="AQ68" s="399">
        <f t="shared" si="56"/>
        <v>6.7687983772845541</v>
      </c>
      <c r="AR68" s="452">
        <v>3</v>
      </c>
      <c r="AS68" s="399">
        <f t="shared" si="57"/>
        <v>44.967261052287441</v>
      </c>
      <c r="AT68" s="452">
        <v>3</v>
      </c>
      <c r="AU68" s="399">
        <f t="shared" si="58"/>
        <v>68.539666936616925</v>
      </c>
      <c r="AV68" s="452">
        <v>3</v>
      </c>
      <c r="AW68" s="399">
        <f t="shared" si="59"/>
        <v>15.238940814264049</v>
      </c>
      <c r="AX68" s="452">
        <v>3</v>
      </c>
      <c r="AY68" s="399">
        <f t="shared" si="60"/>
        <v>6.6433151862217237</v>
      </c>
      <c r="AZ68" s="399">
        <f t="shared" si="61"/>
        <v>10.125824868211403</v>
      </c>
      <c r="BA68" s="399">
        <f>Main!R75</f>
        <v>38.428965865577133</v>
      </c>
      <c r="BB68" s="406">
        <v>2</v>
      </c>
      <c r="BC68" s="399">
        <f>Main!S75</f>
        <v>8.6</v>
      </c>
      <c r="BD68" s="400">
        <v>1</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96763-87CF-4E82-915D-20641C777D29}">
  <dimension ref="A1:AK76"/>
  <sheetViews>
    <sheetView tabSelected="1" workbookViewId="0">
      <selection activeCell="G15" sqref="G15"/>
    </sheetView>
  </sheetViews>
  <sheetFormatPr defaultRowHeight="14.5"/>
  <cols>
    <col min="6" max="6" width="16.453125" customWidth="1"/>
    <col min="7" max="7" width="16" customWidth="1"/>
    <col min="10" max="10" width="12" customWidth="1"/>
    <col min="11" max="11" width="24" bestFit="1" customWidth="1"/>
    <col min="12" max="12" width="11.7265625" customWidth="1"/>
    <col min="13" max="13" width="15.453125" bestFit="1" customWidth="1"/>
    <col min="15" max="15" width="19.81640625" customWidth="1"/>
    <col min="23" max="23" width="29.54296875" bestFit="1" customWidth="1"/>
    <col min="26" max="26" width="32.81640625" bestFit="1" customWidth="1"/>
    <col min="29" max="29" width="28.81640625" customWidth="1"/>
    <col min="32" max="32" width="22.1796875" customWidth="1"/>
  </cols>
  <sheetData>
    <row r="1" spans="1:37" s="64" customFormat="1">
      <c r="A1" s="64" t="s">
        <v>3715</v>
      </c>
      <c r="B1" s="64" t="s">
        <v>3716</v>
      </c>
      <c r="C1" s="64" t="s">
        <v>3717</v>
      </c>
      <c r="D1" s="421" t="s">
        <v>3718</v>
      </c>
      <c r="E1" s="64" t="s">
        <v>33</v>
      </c>
      <c r="F1" s="422" t="s">
        <v>3719</v>
      </c>
      <c r="G1" s="422" t="s">
        <v>3720</v>
      </c>
      <c r="H1" s="423" t="s">
        <v>3721</v>
      </c>
      <c r="I1" s="423" t="s">
        <v>3722</v>
      </c>
      <c r="J1" s="424" t="s">
        <v>3723</v>
      </c>
      <c r="K1" s="422" t="s">
        <v>3724</v>
      </c>
      <c r="L1" s="422" t="s">
        <v>3725</v>
      </c>
      <c r="M1" s="425" t="s">
        <v>3726</v>
      </c>
      <c r="N1" s="426" t="s">
        <v>3727</v>
      </c>
      <c r="O1" s="426" t="s">
        <v>3728</v>
      </c>
      <c r="P1" s="427" t="s">
        <v>3729</v>
      </c>
      <c r="Q1" s="427" t="s">
        <v>3730</v>
      </c>
      <c r="R1" s="427" t="s">
        <v>3731</v>
      </c>
      <c r="S1" s="427" t="s">
        <v>3732</v>
      </c>
      <c r="T1" s="427" t="s">
        <v>3733</v>
      </c>
      <c r="U1" s="427" t="s">
        <v>3734</v>
      </c>
      <c r="V1" s="427" t="s">
        <v>3735</v>
      </c>
      <c r="W1" s="428" t="s">
        <v>3736</v>
      </c>
      <c r="X1" s="428" t="s">
        <v>3737</v>
      </c>
      <c r="Y1" s="421" t="s">
        <v>3738</v>
      </c>
      <c r="Z1" s="428" t="s">
        <v>3739</v>
      </c>
      <c r="AA1" s="428" t="s">
        <v>3740</v>
      </c>
      <c r="AB1" s="428" t="s">
        <v>3741</v>
      </c>
      <c r="AC1" s="428" t="s">
        <v>3742</v>
      </c>
      <c r="AD1" s="428" t="s">
        <v>3743</v>
      </c>
      <c r="AE1" s="421" t="s">
        <v>3744</v>
      </c>
      <c r="AF1" s="428" t="s">
        <v>3745</v>
      </c>
      <c r="AG1" s="428" t="s">
        <v>3746</v>
      </c>
      <c r="AH1" s="64" t="s">
        <v>3747</v>
      </c>
      <c r="AI1" s="3" t="s">
        <v>3748</v>
      </c>
      <c r="AJ1" s="3" t="s">
        <v>3749</v>
      </c>
      <c r="AK1" s="64" t="s">
        <v>3750</v>
      </c>
    </row>
    <row r="2" spans="1:37" s="429" customFormat="1" ht="15.5">
      <c r="D2" s="430"/>
      <c r="F2" s="431" t="s">
        <v>3751</v>
      </c>
      <c r="G2" s="431"/>
      <c r="H2" s="432"/>
      <c r="I2" s="432"/>
      <c r="J2" s="431"/>
      <c r="K2" s="431"/>
      <c r="L2" s="431"/>
      <c r="M2" s="430"/>
      <c r="N2" s="433"/>
      <c r="O2" s="433"/>
      <c r="P2" s="434"/>
      <c r="Q2" s="434"/>
      <c r="R2" s="434"/>
      <c r="S2" s="434"/>
      <c r="T2" s="434"/>
      <c r="U2" s="434"/>
      <c r="V2" s="434"/>
      <c r="W2" s="435"/>
      <c r="X2" s="435"/>
      <c r="Y2" s="430"/>
      <c r="AC2" s="436"/>
      <c r="AD2" s="436"/>
      <c r="AE2" s="430"/>
      <c r="AF2" s="435"/>
      <c r="AG2" s="435"/>
      <c r="AI2" s="437"/>
      <c r="AJ2" s="437"/>
    </row>
    <row r="3" spans="1:37" s="429" customFormat="1" ht="15.5">
      <c r="A3" s="429" t="s">
        <v>417</v>
      </c>
      <c r="D3" s="438" t="s">
        <v>3752</v>
      </c>
      <c r="F3" s="150" t="s">
        <v>3753</v>
      </c>
      <c r="G3" s="150"/>
      <c r="H3" s="432" t="s">
        <v>3754</v>
      </c>
      <c r="I3" s="432"/>
      <c r="J3" s="431"/>
      <c r="K3" s="431"/>
      <c r="L3" s="431"/>
      <c r="M3" s="430" t="s">
        <v>3755</v>
      </c>
      <c r="N3" s="433" t="s">
        <v>3756</v>
      </c>
      <c r="O3" s="433"/>
      <c r="P3" s="435"/>
      <c r="Q3" s="434" t="s">
        <v>3757</v>
      </c>
      <c r="R3" s="434"/>
      <c r="S3" s="435"/>
      <c r="T3" s="439" t="s">
        <v>3758</v>
      </c>
      <c r="U3" s="439"/>
      <c r="V3" s="435"/>
      <c r="W3" s="435" t="s">
        <v>3759</v>
      </c>
      <c r="X3" s="435"/>
      <c r="Y3" s="440"/>
      <c r="Z3" s="441" t="s">
        <v>3760</v>
      </c>
      <c r="AA3" s="441"/>
      <c r="AB3" s="435"/>
      <c r="AC3" s="435" t="s">
        <v>3761</v>
      </c>
      <c r="AD3" s="435"/>
      <c r="AE3" s="440"/>
      <c r="AF3" s="435" t="s">
        <v>3762</v>
      </c>
      <c r="AG3" s="435"/>
      <c r="AH3" s="435"/>
      <c r="AI3" s="435" t="s">
        <v>3763</v>
      </c>
      <c r="AJ3" s="435"/>
      <c r="AK3" s="435"/>
    </row>
    <row r="4" spans="1:37" s="429" customFormat="1">
      <c r="A4" s="150" t="s">
        <v>3764</v>
      </c>
      <c r="C4" s="429" t="s">
        <v>3713</v>
      </c>
      <c r="D4" s="154" t="s">
        <v>3710</v>
      </c>
      <c r="F4" s="150" t="s">
        <v>3765</v>
      </c>
      <c r="G4" s="150"/>
      <c r="H4" s="432">
        <v>1</v>
      </c>
      <c r="I4" s="432"/>
      <c r="J4" s="431" t="s">
        <v>3766</v>
      </c>
      <c r="K4" s="431" t="s">
        <v>3766</v>
      </c>
      <c r="L4" s="431" t="s">
        <v>3766</v>
      </c>
      <c r="M4" s="430" t="s">
        <v>3767</v>
      </c>
      <c r="N4" s="433" t="s">
        <v>3768</v>
      </c>
      <c r="O4" s="433" t="s">
        <v>3768</v>
      </c>
      <c r="P4" s="435"/>
      <c r="Q4" s="442" t="s">
        <v>3769</v>
      </c>
      <c r="R4" s="442" t="s">
        <v>3769</v>
      </c>
      <c r="S4" s="435"/>
      <c r="T4" s="442" t="s">
        <v>3770</v>
      </c>
      <c r="U4" s="442" t="s">
        <v>3769</v>
      </c>
      <c r="V4" s="435"/>
      <c r="W4" s="433" t="s">
        <v>3768</v>
      </c>
      <c r="X4" s="433" t="s">
        <v>3768</v>
      </c>
      <c r="Y4" s="440"/>
      <c r="Z4" s="433" t="s">
        <v>3768</v>
      </c>
      <c r="AA4" s="433" t="s">
        <v>3768</v>
      </c>
      <c r="AB4" s="435"/>
      <c r="AC4" s="433" t="s">
        <v>3768</v>
      </c>
      <c r="AD4" s="433" t="s">
        <v>3768</v>
      </c>
      <c r="AE4" s="440"/>
      <c r="AF4" s="433" t="s">
        <v>3768</v>
      </c>
      <c r="AG4" s="433" t="s">
        <v>3768</v>
      </c>
      <c r="AH4" s="435"/>
      <c r="AI4" s="433" t="s">
        <v>3768</v>
      </c>
      <c r="AJ4" s="433" t="s">
        <v>3768</v>
      </c>
      <c r="AK4" s="435"/>
    </row>
    <row r="5" spans="1:37" s="439" customFormat="1" ht="15.5">
      <c r="F5" s="443" t="s">
        <v>3771</v>
      </c>
      <c r="G5" s="443"/>
      <c r="I5" s="29"/>
      <c r="J5" s="444"/>
      <c r="K5" s="444"/>
      <c r="L5" s="444"/>
      <c r="N5" s="445">
        <v>5.9999999999999995E-4</v>
      </c>
      <c r="O5" s="445"/>
      <c r="P5" s="435"/>
      <c r="Q5" s="446">
        <v>2.1999999999999999E-2</v>
      </c>
      <c r="R5" s="446"/>
      <c r="S5" s="447"/>
      <c r="T5" s="446">
        <v>2.9000000000000001E-2</v>
      </c>
      <c r="U5" s="446"/>
      <c r="V5" s="435"/>
      <c r="W5" s="448">
        <v>2.1000000000000001E-2</v>
      </c>
      <c r="X5" s="448"/>
      <c r="Y5" s="448"/>
      <c r="Z5" s="448">
        <v>3.7999999999999999E-2</v>
      </c>
      <c r="AA5" s="448"/>
      <c r="AB5" s="448"/>
      <c r="AC5" s="448">
        <v>2.8000000000000001E-2</v>
      </c>
      <c r="AD5" s="448"/>
      <c r="AE5" s="435"/>
      <c r="AF5" s="448">
        <v>1.9E-2</v>
      </c>
      <c r="AG5" s="448"/>
      <c r="AH5" s="440"/>
      <c r="AI5" s="448">
        <v>4.9000000000000002E-2</v>
      </c>
      <c r="AJ5" s="448"/>
    </row>
    <row r="6" spans="1:37" s="429" customFormat="1" ht="15.5">
      <c r="D6" s="439">
        <v>3</v>
      </c>
      <c r="F6" s="429" t="s">
        <v>3772</v>
      </c>
    </row>
    <row r="7" spans="1:37" s="429" customFormat="1">
      <c r="C7" s="429" t="s">
        <v>3698</v>
      </c>
      <c r="D7" s="44" t="s">
        <v>3708</v>
      </c>
      <c r="F7" s="150" t="s">
        <v>3773</v>
      </c>
      <c r="G7" s="150"/>
      <c r="I7" s="432"/>
      <c r="J7" s="431"/>
      <c r="K7" s="431"/>
      <c r="L7" s="431"/>
      <c r="M7" s="430"/>
      <c r="N7" s="433" t="s">
        <v>3634</v>
      </c>
      <c r="O7" s="433"/>
      <c r="P7" s="435"/>
      <c r="Q7" s="435" t="s">
        <v>3774</v>
      </c>
      <c r="R7" s="435"/>
      <c r="S7" s="435"/>
      <c r="T7" s="435" t="s">
        <v>3774</v>
      </c>
      <c r="U7" s="435"/>
      <c r="V7" s="435"/>
      <c r="W7" s="435" t="s">
        <v>3634</v>
      </c>
      <c r="X7" s="435"/>
      <c r="Y7" s="440"/>
      <c r="Z7" s="435" t="s">
        <v>3634</v>
      </c>
      <c r="AA7" s="435"/>
      <c r="AB7" s="435"/>
      <c r="AC7" s="435" t="s">
        <v>3634</v>
      </c>
      <c r="AD7" s="435"/>
      <c r="AE7" s="440"/>
      <c r="AF7" s="435" t="s">
        <v>3634</v>
      </c>
      <c r="AG7" s="435"/>
      <c r="AH7" s="435"/>
      <c r="AI7" s="435" t="s">
        <v>3634</v>
      </c>
      <c r="AJ7" s="435"/>
      <c r="AK7" s="435"/>
    </row>
    <row r="8" spans="1:37" s="429" customFormat="1">
      <c r="D8" s="44" t="s">
        <v>3775</v>
      </c>
      <c r="F8" s="150" t="s">
        <v>3776</v>
      </c>
      <c r="G8" s="150"/>
      <c r="H8" s="432"/>
      <c r="I8" s="432"/>
      <c r="J8" s="431"/>
      <c r="K8" s="431"/>
      <c r="L8" s="431"/>
      <c r="M8" s="430"/>
      <c r="N8" s="433" t="s">
        <v>3777</v>
      </c>
      <c r="O8" s="433"/>
      <c r="P8" s="435"/>
      <c r="Q8" s="44" t="s">
        <v>3778</v>
      </c>
      <c r="R8" s="435"/>
      <c r="S8" s="435"/>
      <c r="T8" s="44" t="s">
        <v>3779</v>
      </c>
      <c r="U8" s="44"/>
      <c r="V8" s="435"/>
      <c r="W8" s="435" t="s">
        <v>3780</v>
      </c>
      <c r="X8" s="435"/>
      <c r="Y8" s="440"/>
      <c r="Z8" s="435" t="s">
        <v>3781</v>
      </c>
      <c r="AA8" s="435"/>
      <c r="AB8" s="435"/>
      <c r="AC8" s="435" t="s">
        <v>3782</v>
      </c>
      <c r="AD8" s="435"/>
      <c r="AE8" s="440"/>
      <c r="AF8" s="435" t="s">
        <v>3783</v>
      </c>
      <c r="AG8" s="435"/>
      <c r="AH8" s="435"/>
      <c r="AI8" s="435" t="s">
        <v>3784</v>
      </c>
      <c r="AJ8" s="435"/>
      <c r="AK8" s="435"/>
    </row>
    <row r="9" spans="1:37" s="429" customFormat="1">
      <c r="F9" s="429" t="s">
        <v>3785</v>
      </c>
      <c r="G9" s="429">
        <v>1000</v>
      </c>
      <c r="H9" s="429" t="s">
        <v>3793</v>
      </c>
      <c r="I9" s="449"/>
      <c r="J9" s="431"/>
      <c r="K9" s="431"/>
      <c r="L9" s="431"/>
      <c r="M9" s="430"/>
      <c r="N9" s="433"/>
      <c r="O9" s="433"/>
      <c r="P9" s="435"/>
      <c r="Q9" s="435"/>
      <c r="R9" s="435"/>
      <c r="S9" s="435"/>
      <c r="T9" s="435"/>
      <c r="U9" s="435"/>
      <c r="V9" s="435"/>
      <c r="W9" s="435"/>
      <c r="X9" s="435"/>
      <c r="Y9" s="440"/>
      <c r="Z9" s="435"/>
      <c r="AA9" s="435"/>
      <c r="AB9" s="435"/>
      <c r="AC9" s="435"/>
      <c r="AD9" s="435"/>
      <c r="AE9" s="440"/>
      <c r="AF9" s="435"/>
      <c r="AG9" s="435"/>
      <c r="AH9" s="435"/>
      <c r="AI9" s="435"/>
      <c r="AJ9" s="435"/>
      <c r="AK9" s="435"/>
    </row>
    <row r="10" spans="1:37" s="429" customFormat="1">
      <c r="F10" s="429" t="s">
        <v>3785</v>
      </c>
      <c r="G10" s="429">
        <v>2000</v>
      </c>
      <c r="H10" s="429" t="s">
        <v>3794</v>
      </c>
      <c r="I10" s="449"/>
      <c r="J10" s="431"/>
      <c r="K10" s="431"/>
      <c r="L10" s="431"/>
      <c r="M10" s="430"/>
      <c r="N10" s="433"/>
      <c r="O10" s="433"/>
      <c r="P10" s="435"/>
      <c r="Q10" s="435"/>
      <c r="R10" s="435"/>
      <c r="S10" s="435"/>
      <c r="T10" s="435"/>
      <c r="U10" s="435"/>
      <c r="V10" s="435"/>
      <c r="W10" s="435"/>
      <c r="X10" s="435"/>
      <c r="Y10" s="440"/>
      <c r="Z10" s="435"/>
      <c r="AA10" s="435"/>
      <c r="AB10" s="435"/>
      <c r="AC10" s="435"/>
      <c r="AD10" s="435"/>
      <c r="AE10" s="440"/>
      <c r="AF10" s="435"/>
      <c r="AG10" s="435"/>
      <c r="AH10" s="435"/>
      <c r="AI10" s="435"/>
      <c r="AJ10" s="435"/>
      <c r="AK10" s="435"/>
    </row>
    <row r="11" spans="1:37" s="429" customFormat="1">
      <c r="F11" s="429" t="s">
        <v>3785</v>
      </c>
      <c r="G11" s="429">
        <v>3800</v>
      </c>
      <c r="H11" s="429" t="s">
        <v>3795</v>
      </c>
      <c r="I11" s="449"/>
      <c r="J11" s="431"/>
      <c r="K11" s="431"/>
      <c r="L11" s="431"/>
      <c r="M11" s="430"/>
      <c r="N11" s="433"/>
      <c r="O11" s="433"/>
      <c r="P11" s="435"/>
      <c r="Q11" s="435"/>
      <c r="R11" s="435"/>
      <c r="S11" s="435"/>
      <c r="T11" s="435"/>
      <c r="U11" s="435"/>
      <c r="V11" s="435"/>
      <c r="W11" s="435"/>
      <c r="X11" s="435"/>
      <c r="Y11" s="440"/>
      <c r="Z11" s="435"/>
      <c r="AA11" s="435"/>
      <c r="AB11" s="435"/>
      <c r="AC11" s="435"/>
      <c r="AD11" s="435"/>
      <c r="AE11" s="440"/>
      <c r="AF11" s="435"/>
      <c r="AG11" s="435"/>
      <c r="AH11" s="435"/>
      <c r="AI11" s="435"/>
      <c r="AJ11" s="435"/>
      <c r="AK11" s="435"/>
    </row>
    <row r="12" spans="1:37" s="429" customFormat="1" ht="15.5">
      <c r="D12" s="438">
        <v>-2</v>
      </c>
      <c r="F12" s="450" t="s">
        <v>3786</v>
      </c>
      <c r="G12" s="450"/>
      <c r="H12" s="449"/>
      <c r="I12" s="449"/>
      <c r="J12" s="431"/>
      <c r="K12" s="431"/>
      <c r="L12" s="431"/>
      <c r="M12" s="430"/>
      <c r="N12" s="311">
        <v>-10</v>
      </c>
      <c r="O12" s="433"/>
      <c r="P12" s="435"/>
      <c r="Q12" s="451">
        <v>20</v>
      </c>
      <c r="R12" s="435"/>
      <c r="S12" s="435"/>
      <c r="T12" s="451">
        <v>2</v>
      </c>
      <c r="U12" s="435"/>
      <c r="V12" s="435"/>
      <c r="W12" s="452">
        <v>-1</v>
      </c>
      <c r="X12" s="435"/>
      <c r="Y12" s="440"/>
      <c r="Z12" s="452">
        <v>-1</v>
      </c>
      <c r="AA12" s="435"/>
      <c r="AB12" s="435"/>
      <c r="AC12" s="452">
        <v>-1</v>
      </c>
      <c r="AD12" s="435"/>
      <c r="AE12" s="440"/>
      <c r="AF12" s="452">
        <v>-1</v>
      </c>
      <c r="AG12" s="435"/>
      <c r="AH12" s="435"/>
      <c r="AI12" s="452">
        <v>-1</v>
      </c>
      <c r="AJ12" s="435"/>
      <c r="AK12" s="435"/>
    </row>
    <row r="13" spans="1:37" s="44" customFormat="1" ht="15.5">
      <c r="D13" s="438">
        <v>12000</v>
      </c>
      <c r="E13" s="429"/>
      <c r="F13" s="450" t="s">
        <v>3787</v>
      </c>
      <c r="G13" s="450"/>
      <c r="H13" s="449"/>
      <c r="I13" s="449"/>
      <c r="J13" s="431"/>
      <c r="K13" s="431"/>
      <c r="L13" s="431"/>
      <c r="M13" s="430"/>
      <c r="N13" s="311">
        <v>1000</v>
      </c>
      <c r="O13" s="433"/>
      <c r="P13" s="435"/>
      <c r="Q13" s="451">
        <v>60</v>
      </c>
      <c r="R13" s="435"/>
      <c r="S13" s="435"/>
      <c r="T13" s="451">
        <v>12</v>
      </c>
      <c r="U13" s="435"/>
      <c r="V13" s="435"/>
      <c r="W13" s="452">
        <v>100</v>
      </c>
      <c r="X13" s="435"/>
      <c r="Y13" s="440"/>
      <c r="Z13" s="452">
        <v>100</v>
      </c>
      <c r="AA13" s="435"/>
      <c r="AB13" s="435"/>
      <c r="AC13" s="452">
        <v>100</v>
      </c>
      <c r="AD13" s="435"/>
      <c r="AE13" s="440"/>
      <c r="AF13" s="452">
        <v>100</v>
      </c>
      <c r="AG13" s="435"/>
      <c r="AH13" s="435"/>
      <c r="AI13" s="452">
        <v>100</v>
      </c>
      <c r="AJ13" s="435"/>
      <c r="AK13" s="435"/>
    </row>
    <row r="14" spans="1:37" s="44" customFormat="1" ht="15.5">
      <c r="A14" s="44">
        <v>2022</v>
      </c>
      <c r="B14" s="44" t="str">
        <f>LEFT(report_47_flagged!B6,2)</f>
        <v>47</v>
      </c>
      <c r="C14" s="44">
        <f>report_47_flagged!E6</f>
        <v>1000</v>
      </c>
      <c r="D14" s="398">
        <f>report_47_flagged!AM6</f>
        <v>1273.5</v>
      </c>
      <c r="E14" s="44" t="str">
        <f>report_47_flagged!D6</f>
        <v>McLane-PARFLUX-Mark78H-21 ; frame# 12419-01, controller# 12419-01 and Motor # 12419-01 Cup set AAx21</v>
      </c>
      <c r="H14" s="44">
        <f>report_47_flagged!C6</f>
        <v>1</v>
      </c>
      <c r="I14" s="44">
        <f>report_47_flagged!F6</f>
        <v>1</v>
      </c>
      <c r="J14" s="63">
        <f>report_47_flagged!AC6</f>
        <v>44696</v>
      </c>
      <c r="K14" s="63">
        <f>report_47_flagged!AD6</f>
        <v>44713</v>
      </c>
      <c r="L14" s="63">
        <f>report_47_flagged!AE6</f>
        <v>44704.5</v>
      </c>
      <c r="M14" s="398">
        <f>report_47_flagged!AF6</f>
        <v>17</v>
      </c>
      <c r="N14" s="208">
        <f>report_47_flagged!H6</f>
        <v>34.823529411764703</v>
      </c>
      <c r="O14" s="208">
        <f>N14*$N$5</f>
        <v>2.089411764705882E-2</v>
      </c>
      <c r="P14" s="208">
        <f>report_47_flagged!J6</f>
        <v>1</v>
      </c>
      <c r="Q14" s="453">
        <f>report_47_flagged!BA6</f>
        <v>39.662176507611733</v>
      </c>
      <c r="R14" s="453">
        <f>Q14*$Q$5</f>
        <v>0.87256788316745804</v>
      </c>
      <c r="S14" s="454">
        <f>report_47_flagged!BB6</f>
        <v>2</v>
      </c>
      <c r="T14" s="453">
        <f>report_47_flagged!BC6</f>
        <v>8.5500000000000007</v>
      </c>
      <c r="U14" s="453">
        <f>T14*$T$5</f>
        <v>0.24795000000000003</v>
      </c>
      <c r="V14" s="454">
        <f>report_47_flagged!BD6</f>
        <v>1</v>
      </c>
      <c r="W14" s="399">
        <f>(report_47_flagged!N6/100)*report_47_flagged!H6</f>
        <v>5.1895343466366031</v>
      </c>
      <c r="X14" s="399">
        <f>W14*SQRT(($W$5)^2+($N$5)^2)</f>
        <v>0.10902469392814056</v>
      </c>
      <c r="Y14" s="398">
        <f>report_47_flagged!AP6</f>
        <v>1</v>
      </c>
      <c r="Z14" s="399">
        <f>(report_47_flagged!P6/100)*report_47_flagged!H6</f>
        <v>0.31377416386323814</v>
      </c>
      <c r="AA14" s="399">
        <f>Z14*SQRT(($Z$5)^2+($N$5)^2)</f>
        <v>1.1924904432849182E-2</v>
      </c>
      <c r="AB14" s="398">
        <f>report_47_flagged!AR6</f>
        <v>1</v>
      </c>
      <c r="AC14" s="399">
        <f>(report_47_flagged!R6/100)*report_47_flagged!H6</f>
        <v>1.8999931463813451</v>
      </c>
      <c r="AD14" s="399">
        <f>AC14*SQRT(($AC$5)^2+($N$5)^2)</f>
        <v>5.321202093850972E-2</v>
      </c>
      <c r="AE14" s="398">
        <f>report_47_flagged!AT6</f>
        <v>1</v>
      </c>
      <c r="AF14" s="399">
        <f>(report_47_flagged!L6/100)*report_47_flagged!H6</f>
        <v>3.2895412002552584</v>
      </c>
      <c r="AG14" s="399">
        <f>AF14*SQRT(($AF$5)^2+($N$5)^2)</f>
        <v>6.2532439113813329E-2</v>
      </c>
      <c r="AH14" s="398">
        <f>report_47_flagged!AV6</f>
        <v>1</v>
      </c>
      <c r="AI14" s="399">
        <f>(report_47_flagged!T6/100)*report_47_flagged!H6</f>
        <v>0.64575088798541058</v>
      </c>
      <c r="AJ14" s="399">
        <f>AI14*SQRT(($AI$5)^2+($N$5)^2)</f>
        <v>3.1644165568492484E-2</v>
      </c>
      <c r="AK14" s="398">
        <f>report_47_flagged!AX6</f>
        <v>1</v>
      </c>
    </row>
    <row r="15" spans="1:37" ht="15.5">
      <c r="A15" s="44">
        <v>2022</v>
      </c>
      <c r="B15" s="44" t="str">
        <f>LEFT(report_47_flagged!B7,2)</f>
        <v>47</v>
      </c>
      <c r="C15" s="44">
        <f>report_47_flagged!E7</f>
        <v>1000</v>
      </c>
      <c r="D15" s="398">
        <f>report_47_flagged!AM7</f>
        <v>1273.5</v>
      </c>
      <c r="E15" s="44" t="str">
        <f>report_47_flagged!D7</f>
        <v>McLane-PARFLUX-Mark78H-21 ; frame# 12419-01, controller# 12419-01 and Motor # 12419-01 Cup set AAx21</v>
      </c>
      <c r="F15" s="44"/>
      <c r="G15" s="44"/>
      <c r="H15" s="44">
        <f>report_47_flagged!C7</f>
        <v>2</v>
      </c>
      <c r="I15" s="44">
        <f>report_47_flagged!F7</f>
        <v>1</v>
      </c>
      <c r="J15" s="63">
        <f>report_47_flagged!AC7</f>
        <v>44713</v>
      </c>
      <c r="K15" s="63">
        <f>report_47_flagged!AD7</f>
        <v>44730</v>
      </c>
      <c r="L15" s="63">
        <f>report_47_flagged!AE7</f>
        <v>44721.5</v>
      </c>
      <c r="M15" s="398">
        <f>report_47_flagged!AF7</f>
        <v>17</v>
      </c>
      <c r="N15" s="208">
        <f>report_47_flagged!H7</f>
        <v>23.176470588235286</v>
      </c>
      <c r="O15" s="208">
        <f t="shared" ref="O15:O76" si="0">N15*$N$5</f>
        <v>1.3905882352941171E-2</v>
      </c>
      <c r="P15" s="208">
        <f>report_47_flagged!J7</f>
        <v>1</v>
      </c>
      <c r="Q15" s="453">
        <f>report_47_flagged!BA7</f>
        <v>39.880126340086932</v>
      </c>
      <c r="R15" s="453">
        <f t="shared" ref="R15:R76" si="1">Q15*$Q$5</f>
        <v>0.87736277948191244</v>
      </c>
      <c r="S15" s="454">
        <f>report_47_flagged!BB7</f>
        <v>2</v>
      </c>
      <c r="T15" s="453">
        <f>report_47_flagged!BC7</f>
        <v>8.6199999999999992</v>
      </c>
      <c r="U15" s="453">
        <f t="shared" ref="U15:U76" si="2">T15*$T$5</f>
        <v>0.24997999999999998</v>
      </c>
      <c r="V15" s="454">
        <f>report_47_flagged!BD7</f>
        <v>1</v>
      </c>
      <c r="W15" s="399">
        <f>(report_47_flagged!N7/100)*report_47_flagged!H7</f>
        <v>3.4489524858138125</v>
      </c>
      <c r="X15" s="399">
        <f t="shared" ref="X15:X76" si="3">W15*SQRT(($W$5)^2+($N$5)^2)</f>
        <v>7.2457558621276688E-2</v>
      </c>
      <c r="Y15" s="398">
        <f>report_47_flagged!AP7</f>
        <v>1</v>
      </c>
      <c r="Z15" s="399">
        <f>(report_47_flagged!P7/100)*report_47_flagged!H7</f>
        <v>0.20152404904365534</v>
      </c>
      <c r="AA15" s="399">
        <f t="shared" ref="AA15:AA76" si="4">Z15*SQRT(($Z$5)^2+($N$5)^2)</f>
        <v>7.6588683917705935E-3</v>
      </c>
      <c r="AB15" s="398">
        <f>report_47_flagged!AR7</f>
        <v>1</v>
      </c>
      <c r="AC15" s="399">
        <f>(report_47_flagged!R7/100)*report_47_flagged!H7</f>
        <v>1.3192084868920981</v>
      </c>
      <c r="AD15" s="399">
        <f t="shared" ref="AD15:AD76" si="5">AC15*SQRT(($AC$5)^2+($N$5)^2)</f>
        <v>3.6946317285648123E-2</v>
      </c>
      <c r="AE15" s="398">
        <f>report_47_flagged!AT7</f>
        <v>1</v>
      </c>
      <c r="AF15" s="399">
        <f>(report_47_flagged!L7/100)*report_47_flagged!H7</f>
        <v>2.1297439989217146</v>
      </c>
      <c r="AG15" s="399">
        <f t="shared" ref="AG15:AG76" si="6">AF15*SQRT(($AF$5)^2+($N$5)^2)</f>
        <v>4.048530747395631E-2</v>
      </c>
      <c r="AH15" s="398">
        <f>report_47_flagged!AV7</f>
        <v>1</v>
      </c>
      <c r="AI15" s="399">
        <f>(report_47_flagged!T7/100)*report_47_flagged!H7</f>
        <v>0.41521219037028051</v>
      </c>
      <c r="AJ15" s="399">
        <f t="shared" ref="AJ15:AJ76" si="7">AI15*SQRT(($AI$5)^2+($N$5)^2)</f>
        <v>2.0346922540245005E-2</v>
      </c>
      <c r="AK15" s="398">
        <f>report_47_flagged!AX7</f>
        <v>1</v>
      </c>
    </row>
    <row r="16" spans="1:37" ht="15.5">
      <c r="A16" s="44">
        <v>2022</v>
      </c>
      <c r="B16" s="44" t="str">
        <f>LEFT(report_47_flagged!B8,2)</f>
        <v>47</v>
      </c>
      <c r="C16" s="44">
        <f>report_47_flagged!E8</f>
        <v>1000</v>
      </c>
      <c r="D16" s="398">
        <f>report_47_flagged!AM8</f>
        <v>1273.5</v>
      </c>
      <c r="E16" s="44" t="str">
        <f>report_47_flagged!D8</f>
        <v>McLane-PARFLUX-Mark78H-21 ; frame# 12419-01, controller# 12419-01 and Motor # 12419-01 Cup set AAx21</v>
      </c>
      <c r="F16" s="44"/>
      <c r="G16" s="44"/>
      <c r="H16" s="44">
        <f>report_47_flagged!C8</f>
        <v>3</v>
      </c>
      <c r="I16" s="44">
        <f>report_47_flagged!F8</f>
        <v>1</v>
      </c>
      <c r="J16" s="63">
        <f>report_47_flagged!AC8</f>
        <v>44730</v>
      </c>
      <c r="K16" s="63">
        <f>report_47_flagged!AD8</f>
        <v>44747</v>
      </c>
      <c r="L16" s="63">
        <f>report_47_flagged!AE8</f>
        <v>44738.5</v>
      </c>
      <c r="M16" s="398">
        <f>report_47_flagged!AF8</f>
        <v>17</v>
      </c>
      <c r="N16" s="208">
        <f>report_47_flagged!H8</f>
        <v>28.722689075630253</v>
      </c>
      <c r="O16" s="208">
        <f t="shared" si="0"/>
        <v>1.7233613445378149E-2</v>
      </c>
      <c r="P16" s="208">
        <f>report_47_flagged!J8</f>
        <v>1</v>
      </c>
      <c r="Q16" s="453">
        <f>report_47_flagged!BA8</f>
        <v>39.625873005066651</v>
      </c>
      <c r="R16" s="453">
        <f t="shared" si="1"/>
        <v>0.87176920611146624</v>
      </c>
      <c r="S16" s="454">
        <f>report_47_flagged!BB8</f>
        <v>2</v>
      </c>
      <c r="T16" s="453">
        <f>report_47_flagged!BC8</f>
        <v>8.5150000000000006</v>
      </c>
      <c r="U16" s="453">
        <f t="shared" si="2"/>
        <v>0.24693500000000002</v>
      </c>
      <c r="V16" s="454">
        <f>report_47_flagged!BD8</f>
        <v>1</v>
      </c>
      <c r="W16" s="399">
        <f>(report_47_flagged!N8/100)*report_47_flagged!H8</f>
        <v>4.520377878301284</v>
      </c>
      <c r="X16" s="399">
        <f t="shared" si="3"/>
        <v>9.4966673636285984E-2</v>
      </c>
      <c r="Y16" s="398">
        <f>report_47_flagged!AP8</f>
        <v>1</v>
      </c>
      <c r="Z16" s="399">
        <f>(report_47_flagged!P8/100)*report_47_flagged!H8</f>
        <v>0.32199957506997245</v>
      </c>
      <c r="AA16" s="399">
        <f t="shared" si="4"/>
        <v>1.2237509018751116E-2</v>
      </c>
      <c r="AB16" s="398">
        <f>report_47_flagged!AR8</f>
        <v>1</v>
      </c>
      <c r="AC16" s="399">
        <f>(report_47_flagged!R8/100)*report_47_flagged!H8</f>
        <v>2.0936156563090189</v>
      </c>
      <c r="AD16" s="399">
        <f t="shared" si="5"/>
        <v>5.8634695789764303E-2</v>
      </c>
      <c r="AE16" s="398">
        <f>report_47_flagged!AT8</f>
        <v>1</v>
      </c>
      <c r="AF16" s="399">
        <f>(report_47_flagged!L8/100)*report_47_flagged!H8</f>
        <v>2.4267622219922651</v>
      </c>
      <c r="AG16" s="399">
        <f t="shared" si="6"/>
        <v>4.6131466867980919E-2</v>
      </c>
      <c r="AH16" s="398">
        <f>report_47_flagged!AV8</f>
        <v>1</v>
      </c>
      <c r="AI16" s="399">
        <f>(report_47_flagged!T8/100)*report_47_flagged!H8</f>
        <v>0.89932250497859512</v>
      </c>
      <c r="AJ16" s="399">
        <f t="shared" si="7"/>
        <v>4.4070106253817541E-2</v>
      </c>
      <c r="AK16" s="398">
        <f>report_47_flagged!AX8</f>
        <v>1</v>
      </c>
    </row>
    <row r="17" spans="1:37" ht="15.5">
      <c r="A17" s="44">
        <v>2022</v>
      </c>
      <c r="B17" s="44" t="str">
        <f>LEFT(report_47_flagged!B9,2)</f>
        <v>47</v>
      </c>
      <c r="C17" s="44">
        <f>report_47_flagged!E9</f>
        <v>1000</v>
      </c>
      <c r="D17" s="398">
        <f>report_47_flagged!AM9</f>
        <v>1273.5</v>
      </c>
      <c r="E17" s="44" t="str">
        <f>report_47_flagged!D9</f>
        <v>McLane-PARFLUX-Mark78H-21 ; frame# 12419-01, controller# 12419-01 and Motor # 12419-01 Cup set AAx21</v>
      </c>
      <c r="F17" s="44"/>
      <c r="G17" s="44"/>
      <c r="H17" s="44">
        <f>report_47_flagged!C9</f>
        <v>4</v>
      </c>
      <c r="I17" s="44">
        <f>report_47_flagged!F9</f>
        <v>2</v>
      </c>
      <c r="J17" s="63">
        <f>report_47_flagged!AC9</f>
        <v>44747</v>
      </c>
      <c r="K17" s="63">
        <f>report_47_flagged!AD9</f>
        <v>44764</v>
      </c>
      <c r="L17" s="63">
        <f>report_47_flagged!AE9</f>
        <v>44755.5</v>
      </c>
      <c r="M17" s="398">
        <f>report_47_flagged!AF9</f>
        <v>17</v>
      </c>
      <c r="N17" s="208">
        <f>report_47_flagged!H9</f>
        <v>57.815126050420169</v>
      </c>
      <c r="O17" s="208">
        <f t="shared" si="0"/>
        <v>3.46890756302521E-2</v>
      </c>
      <c r="P17" s="208">
        <f>report_47_flagged!J9</f>
        <v>2</v>
      </c>
      <c r="Q17" s="453">
        <f>report_47_flagged!BA9</f>
        <v>36.837788925598666</v>
      </c>
      <c r="R17" s="453">
        <f t="shared" si="1"/>
        <v>0.81043135636317065</v>
      </c>
      <c r="S17" s="454">
        <f>report_47_flagged!BB9</f>
        <v>2</v>
      </c>
      <c r="T17" s="453">
        <f>report_47_flagged!BC9</f>
        <v>8.61</v>
      </c>
      <c r="U17" s="453">
        <f t="shared" si="2"/>
        <v>0.24969</v>
      </c>
      <c r="V17" s="454">
        <f>report_47_flagged!BD9</f>
        <v>1</v>
      </c>
      <c r="W17" s="399">
        <f>(report_47_flagged!N9/100)*report_47_flagged!H9</f>
        <v>18.823463401473873</v>
      </c>
      <c r="X17" s="399">
        <f t="shared" si="3"/>
        <v>0.39545404248905558</v>
      </c>
      <c r="Y17" s="398">
        <f>report_47_flagged!AP9</f>
        <v>3</v>
      </c>
      <c r="Z17" s="399">
        <f>(report_47_flagged!P9/100)*report_47_flagged!H9</f>
        <v>2.9908491695628445</v>
      </c>
      <c r="AA17" s="399">
        <f t="shared" si="4"/>
        <v>0.113666434740779</v>
      </c>
      <c r="AB17" s="398">
        <f>report_47_flagged!AR9</f>
        <v>3</v>
      </c>
      <c r="AC17" s="399">
        <f>(report_47_flagged!R9/100)*report_47_flagged!H9</f>
        <v>16.665047691980785</v>
      </c>
      <c r="AD17" s="399">
        <f t="shared" si="5"/>
        <v>0.46672845552936537</v>
      </c>
      <c r="AE17" s="398">
        <f>report_47_flagged!AT9</f>
        <v>3</v>
      </c>
      <c r="AF17" s="399">
        <f>(report_47_flagged!L9/100)*report_47_flagged!H9</f>
        <v>2.1584157094930849</v>
      </c>
      <c r="AG17" s="399">
        <f t="shared" si="6"/>
        <v>4.1030341533859246E-2</v>
      </c>
      <c r="AH17" s="398">
        <f>report_47_flagged!AV9</f>
        <v>2</v>
      </c>
      <c r="AI17" s="399">
        <f>(report_47_flagged!T9/100)*report_47_flagged!H9</f>
        <v>1.1181556112767685</v>
      </c>
      <c r="AJ17" s="399">
        <f t="shared" si="7"/>
        <v>5.4793732309014485E-2</v>
      </c>
      <c r="AK17" s="398">
        <f>report_47_flagged!AX9</f>
        <v>2</v>
      </c>
    </row>
    <row r="18" spans="1:37" ht="15.5">
      <c r="A18" s="44">
        <v>2022</v>
      </c>
      <c r="B18" s="44" t="str">
        <f>LEFT(report_47_flagged!B10,2)</f>
        <v>47</v>
      </c>
      <c r="C18" s="44">
        <f>report_47_flagged!E10</f>
        <v>1000</v>
      </c>
      <c r="D18" s="398">
        <f>report_47_flagged!AM10</f>
        <v>1273.5</v>
      </c>
      <c r="E18" s="44" t="str">
        <f>report_47_flagged!D10</f>
        <v>McLane-PARFLUX-Mark78H-21 ; frame# 12419-01, controller# 12419-01 and Motor # 12419-01 Cup set AAx21</v>
      </c>
      <c r="F18" s="44"/>
      <c r="G18" s="44"/>
      <c r="H18" s="44">
        <f>report_47_flagged!C10</f>
        <v>5</v>
      </c>
      <c r="I18" s="44">
        <f>report_47_flagged!F10</f>
        <v>1</v>
      </c>
      <c r="J18" s="63">
        <f>report_47_flagged!AC10</f>
        <v>44764</v>
      </c>
      <c r="K18" s="63">
        <f>report_47_flagged!AD10</f>
        <v>44781</v>
      </c>
      <c r="L18" s="63">
        <f>report_47_flagged!AE10</f>
        <v>44772.5</v>
      </c>
      <c r="M18" s="398">
        <f>report_47_flagged!AF10</f>
        <v>17</v>
      </c>
      <c r="N18" s="208">
        <f>report_47_flagged!H10</f>
        <v>23.647058823529409</v>
      </c>
      <c r="O18" s="208">
        <f t="shared" si="0"/>
        <v>1.4188235294117644E-2</v>
      </c>
      <c r="P18" s="208">
        <f>report_47_flagged!J10</f>
        <v>1</v>
      </c>
      <c r="Q18" s="453">
        <f>report_47_flagged!BA10</f>
        <v>37.777374168095484</v>
      </c>
      <c r="R18" s="453">
        <f t="shared" si="1"/>
        <v>0.8311022316981006</v>
      </c>
      <c r="S18" s="454">
        <f>report_47_flagged!BB10</f>
        <v>2</v>
      </c>
      <c r="T18" s="453">
        <f>report_47_flagged!BC10</f>
        <v>8.1999999999999993</v>
      </c>
      <c r="U18" s="453">
        <f t="shared" si="2"/>
        <v>0.23779999999999998</v>
      </c>
      <c r="V18" s="454">
        <f>report_47_flagged!BD10</f>
        <v>1</v>
      </c>
      <c r="W18" s="399">
        <f>(report_47_flagged!N10/100)*report_47_flagged!H10</f>
        <v>5.0085373373592592</v>
      </c>
      <c r="X18" s="399">
        <f t="shared" si="3"/>
        <v>0.10522220564686335</v>
      </c>
      <c r="Y18" s="398">
        <f>report_47_flagged!AP10</f>
        <v>1</v>
      </c>
      <c r="Z18" s="399">
        <f>(report_47_flagged!P10/100)*report_47_flagged!H10</f>
        <v>0.65451893301571107</v>
      </c>
      <c r="AA18" s="399">
        <f t="shared" si="4"/>
        <v>2.4874819614226416E-2</v>
      </c>
      <c r="AB18" s="398">
        <f>report_47_flagged!AR10</f>
        <v>1</v>
      </c>
      <c r="AC18" s="399">
        <f>(report_47_flagged!R10/100)*report_47_flagged!H10</f>
        <v>3.538651129983883</v>
      </c>
      <c r="AD18" s="399">
        <f t="shared" si="5"/>
        <v>9.9104977500266339E-2</v>
      </c>
      <c r="AE18" s="398">
        <f>report_47_flagged!AT10</f>
        <v>1</v>
      </c>
      <c r="AF18" s="399">
        <f>(report_47_flagged!L10/100)*report_47_flagged!H10</f>
        <v>1.469886207375376</v>
      </c>
      <c r="AG18" s="399">
        <f t="shared" si="6"/>
        <v>2.7941759707950251E-2</v>
      </c>
      <c r="AH18" s="398">
        <f>report_47_flagged!AV10</f>
        <v>1</v>
      </c>
      <c r="AI18" s="399">
        <f>(report_47_flagged!T10/100)*report_47_flagged!H10</f>
        <v>0.43707733410641336</v>
      </c>
      <c r="AJ18" s="399">
        <f t="shared" si="7"/>
        <v>2.1418394901241134E-2</v>
      </c>
      <c r="AK18" s="398">
        <f>report_47_flagged!AX10</f>
        <v>1</v>
      </c>
    </row>
    <row r="19" spans="1:37" ht="15.5">
      <c r="A19" s="44">
        <v>2022</v>
      </c>
      <c r="B19" s="44" t="str">
        <f>LEFT(report_47_flagged!B11,2)</f>
        <v>47</v>
      </c>
      <c r="C19" s="44">
        <f>report_47_flagged!E11</f>
        <v>1000</v>
      </c>
      <c r="D19" s="398">
        <f>report_47_flagged!AM11</f>
        <v>1273.5</v>
      </c>
      <c r="E19" s="44" t="str">
        <f>report_47_flagged!D11</f>
        <v>McLane-PARFLUX-Mark78H-21 ; frame# 12419-01, controller# 12419-01 and Motor # 12419-01 Cup set AAx21</v>
      </c>
      <c r="F19" s="44"/>
      <c r="G19" s="44"/>
      <c r="H19" s="44">
        <f>report_47_flagged!C11</f>
        <v>6</v>
      </c>
      <c r="I19" s="44">
        <f>report_47_flagged!F11</f>
        <v>1</v>
      </c>
      <c r="J19" s="63">
        <f>report_47_flagged!AC11</f>
        <v>44781</v>
      </c>
      <c r="K19" s="63">
        <f>report_47_flagged!AD11</f>
        <v>44798</v>
      </c>
      <c r="L19" s="63">
        <f>report_47_flagged!AE11</f>
        <v>44789.5</v>
      </c>
      <c r="M19" s="398">
        <f>report_47_flagged!AF11</f>
        <v>17</v>
      </c>
      <c r="N19" s="208">
        <f>report_47_flagged!H11</f>
        <v>25.092436974789916</v>
      </c>
      <c r="O19" s="208">
        <f t="shared" si="0"/>
        <v>1.5055462184873948E-2</v>
      </c>
      <c r="P19" s="208">
        <f>report_47_flagged!J11</f>
        <v>1</v>
      </c>
      <c r="Q19" s="453">
        <f>report_47_flagged!BA11</f>
        <v>36.404782807461594</v>
      </c>
      <c r="R19" s="453">
        <f t="shared" si="1"/>
        <v>0.80090522176415502</v>
      </c>
      <c r="S19" s="454">
        <f>report_47_flagged!BB11</f>
        <v>2</v>
      </c>
      <c r="T19" s="453">
        <f>report_47_flagged!BC11</f>
        <v>8.58</v>
      </c>
      <c r="U19" s="453">
        <f t="shared" si="2"/>
        <v>0.24882000000000001</v>
      </c>
      <c r="V19" s="454">
        <f>report_47_flagged!BD11</f>
        <v>1</v>
      </c>
      <c r="W19" s="399">
        <f>(report_47_flagged!N11/100)*report_47_flagged!H11</f>
        <v>3.7789712470719792</v>
      </c>
      <c r="X19" s="399">
        <f t="shared" si="3"/>
        <v>7.9390780762880753E-2</v>
      </c>
      <c r="Y19" s="398">
        <f>report_47_flagged!AP11</f>
        <v>1</v>
      </c>
      <c r="Z19" s="399">
        <f>(report_47_flagged!P11/100)*report_47_flagged!H11</f>
        <v>0.36497979060942382</v>
      </c>
      <c r="AA19" s="399">
        <f t="shared" si="4"/>
        <v>1.3870960787057351E-2</v>
      </c>
      <c r="AB19" s="398">
        <f>report_47_flagged!AR11</f>
        <v>1</v>
      </c>
      <c r="AC19" s="399">
        <f>(report_47_flagged!R11/100)*report_47_flagged!H11</f>
        <v>1.8899844450340737</v>
      </c>
      <c r="AD19" s="399">
        <f t="shared" si="5"/>
        <v>5.2931712966519065E-2</v>
      </c>
      <c r="AE19" s="398">
        <f>report_47_flagged!AT11</f>
        <v>1</v>
      </c>
      <c r="AF19" s="399">
        <f>(report_47_flagged!L11/100)*report_47_flagged!H11</f>
        <v>1.8889868020379055</v>
      </c>
      <c r="AG19" s="399">
        <f t="shared" si="6"/>
        <v>3.5908640443860766E-2</v>
      </c>
      <c r="AH19" s="398">
        <f>report_47_flagged!AV11</f>
        <v>1</v>
      </c>
      <c r="AI19" s="399">
        <f>(report_47_flagged!T11/100)*report_47_flagged!H11</f>
        <v>0.77179186266000321</v>
      </c>
      <c r="AJ19" s="399">
        <f t="shared" si="7"/>
        <v>3.7820636317855337E-2</v>
      </c>
      <c r="AK19" s="398">
        <f>report_47_flagged!AX11</f>
        <v>1</v>
      </c>
    </row>
    <row r="20" spans="1:37" ht="15.5">
      <c r="A20" s="44">
        <v>2022</v>
      </c>
      <c r="B20" s="44" t="str">
        <f>LEFT(report_47_flagged!B12,2)</f>
        <v>47</v>
      </c>
      <c r="C20" s="44">
        <f>report_47_flagged!E12</f>
        <v>1000</v>
      </c>
      <c r="D20" s="398">
        <f>report_47_flagged!AM12</f>
        <v>1273.5</v>
      </c>
      <c r="E20" s="44" t="str">
        <f>report_47_flagged!D12</f>
        <v>McLane-PARFLUX-Mark78H-21 ; frame# 12419-01, controller# 12419-01 and Motor # 12419-01 Cup set AAx21</v>
      </c>
      <c r="F20" s="44"/>
      <c r="G20" s="44"/>
      <c r="H20" s="44">
        <f>report_47_flagged!C12</f>
        <v>7</v>
      </c>
      <c r="I20" s="44">
        <f>report_47_flagged!F12</f>
        <v>1</v>
      </c>
      <c r="J20" s="63">
        <f>report_47_flagged!AC12</f>
        <v>44798</v>
      </c>
      <c r="K20" s="63">
        <f>report_47_flagged!AD12</f>
        <v>44815</v>
      </c>
      <c r="L20" s="63">
        <f>report_47_flagged!AE12</f>
        <v>44806.5</v>
      </c>
      <c r="M20" s="398">
        <f>report_47_flagged!AF12</f>
        <v>17</v>
      </c>
      <c r="N20" s="208">
        <f>report_47_flagged!H12</f>
        <v>16.672268907563023</v>
      </c>
      <c r="O20" s="208">
        <f t="shared" si="0"/>
        <v>1.0003361344537812E-2</v>
      </c>
      <c r="P20" s="208">
        <f>report_47_flagged!J12</f>
        <v>1</v>
      </c>
      <c r="Q20" s="453">
        <f>report_47_flagged!BA12</f>
        <v>39.226567166210792</v>
      </c>
      <c r="R20" s="453">
        <f t="shared" si="1"/>
        <v>0.86298447765663733</v>
      </c>
      <c r="S20" s="454">
        <f>report_47_flagged!BB12</f>
        <v>2</v>
      </c>
      <c r="T20" s="453">
        <f>report_47_flagged!BC12</f>
        <v>8.58</v>
      </c>
      <c r="U20" s="453">
        <f t="shared" si="2"/>
        <v>0.24882000000000001</v>
      </c>
      <c r="V20" s="454">
        <f>report_47_flagged!BD12</f>
        <v>1</v>
      </c>
      <c r="W20" s="399">
        <f>(report_47_flagged!N12/100)*report_47_flagged!H12</f>
        <v>2.4966157288110553</v>
      </c>
      <c r="X20" s="399">
        <f t="shared" si="3"/>
        <v>5.2450325502945781E-2</v>
      </c>
      <c r="Y20" s="398">
        <f>report_47_flagged!AP12</f>
        <v>1</v>
      </c>
      <c r="Z20" s="399">
        <f>(report_47_flagged!P12/100)*report_47_flagged!H12</f>
        <v>0.19373193372197511</v>
      </c>
      <c r="AA20" s="399">
        <f t="shared" si="4"/>
        <v>7.3627311018269999E-3</v>
      </c>
      <c r="AB20" s="398">
        <f>report_47_flagged!AR12</f>
        <v>1</v>
      </c>
      <c r="AC20" s="399">
        <f>(report_47_flagged!R12/100)*report_47_flagged!H12</f>
        <v>1.1558445476241168</v>
      </c>
      <c r="AD20" s="399">
        <f t="shared" si="5"/>
        <v>3.2371076909922837E-2</v>
      </c>
      <c r="AE20" s="398">
        <f>report_47_flagged!AT12</f>
        <v>1</v>
      </c>
      <c r="AF20" s="399">
        <f>(report_47_flagged!L12/100)*report_47_flagged!H12</f>
        <v>1.3407711811869387</v>
      </c>
      <c r="AG20" s="399">
        <f t="shared" si="6"/>
        <v>2.54873513201847E-2</v>
      </c>
      <c r="AH20" s="398">
        <f>report_47_flagged!AV12</f>
        <v>1</v>
      </c>
      <c r="AI20" s="399">
        <f>(report_47_flagged!T12/100)*report_47_flagged!H12</f>
        <v>0.8917552223163373</v>
      </c>
      <c r="AJ20" s="399">
        <f t="shared" si="7"/>
        <v>4.3699281606227616E-2</v>
      </c>
      <c r="AK20" s="398">
        <f>report_47_flagged!AX12</f>
        <v>1</v>
      </c>
    </row>
    <row r="21" spans="1:37" ht="15.5">
      <c r="A21" s="44">
        <v>2022</v>
      </c>
      <c r="B21" s="44" t="str">
        <f>LEFT(report_47_flagged!B13,2)</f>
        <v>47</v>
      </c>
      <c r="C21" s="44">
        <f>report_47_flagged!E13</f>
        <v>1000</v>
      </c>
      <c r="D21" s="398">
        <f>report_47_flagged!AM13</f>
        <v>1273.5</v>
      </c>
      <c r="E21" s="44" t="str">
        <f>report_47_flagged!D13</f>
        <v>McLane-PARFLUX-Mark78H-21 ; frame# 12419-01, controller# 12419-01 and Motor # 12419-01 Cup set AAx21</v>
      </c>
      <c r="F21" s="44"/>
      <c r="G21" s="44"/>
      <c r="H21" s="44">
        <f>report_47_flagged!C13</f>
        <v>8</v>
      </c>
      <c r="I21" s="44">
        <f>report_47_flagged!F13</f>
        <v>1</v>
      </c>
      <c r="J21" s="63">
        <f>report_47_flagged!AC13</f>
        <v>44815</v>
      </c>
      <c r="K21" s="63">
        <f>report_47_flagged!AD13</f>
        <v>44832</v>
      </c>
      <c r="L21" s="63">
        <f>report_47_flagged!AE13</f>
        <v>44823.5</v>
      </c>
      <c r="M21" s="398">
        <f>report_47_flagged!AF13</f>
        <v>17</v>
      </c>
      <c r="N21" s="208">
        <f>report_47_flagged!H13</f>
        <v>83.243697478991592</v>
      </c>
      <c r="O21" s="208">
        <f t="shared" si="0"/>
        <v>4.9946218487394951E-2</v>
      </c>
      <c r="P21" s="208">
        <f>report_47_flagged!J13</f>
        <v>3</v>
      </c>
      <c r="Q21" s="453">
        <f>report_47_flagged!BA13</f>
        <v>37.777374168095484</v>
      </c>
      <c r="R21" s="453">
        <f t="shared" si="1"/>
        <v>0.8311022316981006</v>
      </c>
      <c r="S21" s="454">
        <f>report_47_flagged!BB13</f>
        <v>2</v>
      </c>
      <c r="T21" s="453">
        <f>report_47_flagged!BC13</f>
        <v>8.5</v>
      </c>
      <c r="U21" s="453">
        <f t="shared" si="2"/>
        <v>0.24650000000000002</v>
      </c>
      <c r="V21" s="454">
        <f>report_47_flagged!BD13</f>
        <v>1</v>
      </c>
      <c r="W21" s="399">
        <f>(report_47_flagged!N13/100)*report_47_flagged!H13</f>
        <v>12.875204255080023</v>
      </c>
      <c r="X21" s="399">
        <f t="shared" si="3"/>
        <v>0.27048962573726032</v>
      </c>
      <c r="Y21" s="398">
        <f>report_47_flagged!AP13</f>
        <v>3</v>
      </c>
      <c r="Z21" s="399">
        <f>(report_47_flagged!P13/100)*report_47_flagged!H13</f>
        <v>1.1266604841055989</v>
      </c>
      <c r="AA21" s="399">
        <f t="shared" si="4"/>
        <v>4.2818434876246821E-2</v>
      </c>
      <c r="AB21" s="398">
        <f>report_47_flagged!AR13</f>
        <v>3</v>
      </c>
      <c r="AC21" s="399">
        <f>(report_47_flagged!R13/100)*report_47_flagged!H13</f>
        <v>6.4686315476784308</v>
      </c>
      <c r="AD21" s="399">
        <f t="shared" si="5"/>
        <v>0.18116326262236077</v>
      </c>
      <c r="AE21" s="398">
        <f>report_47_flagged!AT13</f>
        <v>3</v>
      </c>
      <c r="AF21" s="399">
        <f>(report_47_flagged!L13/100)*report_47_flagged!H13</f>
        <v>6.4065727074015921</v>
      </c>
      <c r="AG21" s="399">
        <f t="shared" si="6"/>
        <v>0.12178556016344208</v>
      </c>
      <c r="AH21" s="398">
        <f>report_47_flagged!AV13</f>
        <v>3</v>
      </c>
      <c r="AI21" s="399">
        <f>(report_47_flagged!T13/100)*report_47_flagged!H13</f>
        <v>4.474401044258312</v>
      </c>
      <c r="AJ21" s="399">
        <f t="shared" si="7"/>
        <v>0.21926208712785325</v>
      </c>
      <c r="AK21" s="398">
        <f>report_47_flagged!AX13</f>
        <v>3</v>
      </c>
    </row>
    <row r="22" spans="1:37" ht="15.5">
      <c r="A22" s="44">
        <v>2022</v>
      </c>
      <c r="B22" s="44" t="str">
        <f>LEFT(report_47_flagged!B14,2)</f>
        <v>47</v>
      </c>
      <c r="C22" s="44">
        <f>report_47_flagged!E14</f>
        <v>1000</v>
      </c>
      <c r="D22" s="398">
        <f>report_47_flagged!AM14</f>
        <v>1273.5</v>
      </c>
      <c r="E22" s="44" t="str">
        <f>report_47_flagged!D14</f>
        <v>McLane-PARFLUX-Mark78H-21 ; frame# 12419-01, controller# 12419-01 and Motor # 12419-01 Cup set AAx21</v>
      </c>
      <c r="F22" s="44"/>
      <c r="G22" s="44"/>
      <c r="H22" s="44">
        <f>report_47_flagged!C14</f>
        <v>9</v>
      </c>
      <c r="I22" s="44">
        <f>report_47_flagged!F14</f>
        <v>1</v>
      </c>
      <c r="J22" s="63">
        <f>report_47_flagged!AC14</f>
        <v>44832</v>
      </c>
      <c r="K22" s="63">
        <f>report_47_flagged!AD14</f>
        <v>44849</v>
      </c>
      <c r="L22" s="63">
        <f>report_47_flagged!AE14</f>
        <v>44840.5</v>
      </c>
      <c r="M22" s="398">
        <f>report_47_flagged!AF14</f>
        <v>17</v>
      </c>
      <c r="N22" s="208">
        <f>report_47_flagged!H14</f>
        <v>24.907563025210084</v>
      </c>
      <c r="O22" s="208">
        <f t="shared" si="0"/>
        <v>1.4944537815126049E-2</v>
      </c>
      <c r="P22" s="208">
        <f>report_47_flagged!J14</f>
        <v>1</v>
      </c>
      <c r="Q22" s="453">
        <f>report_47_flagged!BA14</f>
        <v>38.791347926916671</v>
      </c>
      <c r="R22" s="453">
        <f t="shared" si="1"/>
        <v>0.85340965439216676</v>
      </c>
      <c r="S22" s="454">
        <f>report_47_flagged!BB14</f>
        <v>2</v>
      </c>
      <c r="T22" s="453">
        <f>report_47_flagged!BC14</f>
        <v>8.59</v>
      </c>
      <c r="U22" s="453">
        <f t="shared" si="2"/>
        <v>0.24911</v>
      </c>
      <c r="V22" s="454">
        <f>report_47_flagged!BD14</f>
        <v>1</v>
      </c>
      <c r="W22" s="399">
        <f>(report_47_flagged!N14/100)*report_47_flagged!H14</f>
        <v>3.4574424689156666</v>
      </c>
      <c r="X22" s="399">
        <f t="shared" si="3"/>
        <v>7.2635921022854127E-2</v>
      </c>
      <c r="Y22" s="398">
        <f>report_47_flagged!AP14</f>
        <v>1</v>
      </c>
      <c r="Z22" s="399">
        <f>(report_47_flagged!P14/100)*report_47_flagged!H14</f>
        <v>0.20776142306688453</v>
      </c>
      <c r="AA22" s="399">
        <f t="shared" si="4"/>
        <v>7.8959181482679552E-3</v>
      </c>
      <c r="AB22" s="398">
        <f>report_47_flagged!AR14</f>
        <v>1</v>
      </c>
      <c r="AC22" s="399">
        <f>(report_47_flagged!R14/100)*report_47_flagged!H14</f>
        <v>1.2980386483881501</v>
      </c>
      <c r="AD22" s="399">
        <f t="shared" si="5"/>
        <v>3.6353425731337818E-2</v>
      </c>
      <c r="AE22" s="398">
        <f>report_47_flagged!AT14</f>
        <v>1</v>
      </c>
      <c r="AF22" s="399">
        <f>(report_47_flagged!L14/100)*report_47_flagged!H14</f>
        <v>2.1594038205275168</v>
      </c>
      <c r="AG22" s="399">
        <f t="shared" si="6"/>
        <v>4.1049125002232741E-2</v>
      </c>
      <c r="AH22" s="398">
        <f>report_47_flagged!AV14</f>
        <v>1</v>
      </c>
      <c r="AI22" s="399">
        <f>(report_47_flagged!T14/100)*report_47_flagged!H14</f>
        <v>1.2894020220149829</v>
      </c>
      <c r="AJ22" s="399">
        <f t="shared" si="7"/>
        <v>6.3185435480056132E-2</v>
      </c>
      <c r="AK22" s="398">
        <f>report_47_flagged!AX14</f>
        <v>1</v>
      </c>
    </row>
    <row r="23" spans="1:37" ht="15.5">
      <c r="A23" s="44">
        <v>2022</v>
      </c>
      <c r="B23" s="44" t="str">
        <f>LEFT(report_47_flagged!B15,2)</f>
        <v>47</v>
      </c>
      <c r="C23" s="44">
        <f>report_47_flagged!E15</f>
        <v>1000</v>
      </c>
      <c r="D23" s="398">
        <f>report_47_flagged!AM15</f>
        <v>1273.5</v>
      </c>
      <c r="E23" s="44" t="str">
        <f>report_47_flagged!D15</f>
        <v>McLane-PARFLUX-Mark78H-21 ; frame# 12419-01, controller# 12419-01 and Motor # 12419-01 Cup set AAx21</v>
      </c>
      <c r="F23" s="44"/>
      <c r="G23" s="44"/>
      <c r="H23" s="44">
        <f>report_47_flagged!C15</f>
        <v>10</v>
      </c>
      <c r="I23" s="44">
        <f>report_47_flagged!F15</f>
        <v>1</v>
      </c>
      <c r="J23" s="63">
        <f>report_47_flagged!AC15</f>
        <v>44849</v>
      </c>
      <c r="K23" s="63">
        <f>report_47_flagged!AD15</f>
        <v>44866</v>
      </c>
      <c r="L23" s="63">
        <f>report_47_flagged!AE15</f>
        <v>44857.5</v>
      </c>
      <c r="M23" s="398">
        <f>report_47_flagged!AF15</f>
        <v>17</v>
      </c>
      <c r="N23" s="208">
        <f>report_47_flagged!H15</f>
        <v>39.193277310924366</v>
      </c>
      <c r="O23" s="208">
        <f t="shared" si="0"/>
        <v>2.3515966386554617E-2</v>
      </c>
      <c r="P23" s="208">
        <f>report_47_flagged!J15</f>
        <v>1</v>
      </c>
      <c r="Q23" s="453">
        <f>report_47_flagged!BA15</f>
        <v>39.662176507611733</v>
      </c>
      <c r="R23" s="453">
        <f t="shared" si="1"/>
        <v>0.87256788316745804</v>
      </c>
      <c r="S23" s="454">
        <f>report_47_flagged!BB15</f>
        <v>2</v>
      </c>
      <c r="T23" s="453">
        <f>report_47_flagged!BC15</f>
        <v>8.56</v>
      </c>
      <c r="U23" s="453">
        <f t="shared" si="2"/>
        <v>0.24824000000000002</v>
      </c>
      <c r="V23" s="454">
        <f>report_47_flagged!BD15</f>
        <v>1</v>
      </c>
      <c r="W23" s="399">
        <f>(report_47_flagged!N15/100)*report_47_flagged!H15</f>
        <v>5.3009313483999545</v>
      </c>
      <c r="X23" s="399">
        <f t="shared" si="3"/>
        <v>0.11136498560183056</v>
      </c>
      <c r="Y23" s="398">
        <f>report_47_flagged!AP15</f>
        <v>1</v>
      </c>
      <c r="Z23" s="399">
        <f>(report_47_flagged!P15/100)*report_47_flagged!H15</f>
        <v>0.26654475127949434</v>
      </c>
      <c r="AA23" s="399">
        <f t="shared" si="4"/>
        <v>1.0129963050338706E-2</v>
      </c>
      <c r="AB23" s="398">
        <f>report_47_flagged!AR15</f>
        <v>1</v>
      </c>
      <c r="AC23" s="399">
        <f>(report_47_flagged!R15/100)*report_47_flagged!H15</f>
        <v>1.7167737245205741</v>
      </c>
      <c r="AD23" s="399">
        <f t="shared" si="5"/>
        <v>4.8080699422447686E-2</v>
      </c>
      <c r="AE23" s="398">
        <f>report_47_flagged!AT15</f>
        <v>2</v>
      </c>
      <c r="AF23" s="399">
        <f>(report_47_flagged!L15/100)*report_47_flagged!H15</f>
        <v>3.5841576238793809</v>
      </c>
      <c r="AG23" s="399">
        <f t="shared" si="6"/>
        <v>6.8132941570136205E-2</v>
      </c>
      <c r="AH23" s="398">
        <f>report_47_flagged!AV15</f>
        <v>2</v>
      </c>
      <c r="AI23" s="399">
        <f>(report_47_flagged!T15/100)*report_47_flagged!H15</f>
        <v>1.6921880753993974</v>
      </c>
      <c r="AJ23" s="399">
        <f t="shared" si="7"/>
        <v>8.2923431662670799E-2</v>
      </c>
      <c r="AK23" s="398">
        <f>report_47_flagged!AX15</f>
        <v>1</v>
      </c>
    </row>
    <row r="24" spans="1:37" ht="15.5">
      <c r="A24" s="44">
        <v>2022</v>
      </c>
      <c r="B24" s="44" t="str">
        <f>LEFT(report_47_flagged!B16,2)</f>
        <v>47</v>
      </c>
      <c r="C24" s="44">
        <f>report_47_flagged!E16</f>
        <v>1000</v>
      </c>
      <c r="D24" s="398">
        <f>report_47_flagged!AM16</f>
        <v>1273.5</v>
      </c>
      <c r="E24" s="44" t="str">
        <f>report_47_flagged!D16</f>
        <v>McLane-PARFLUX-Mark78H-21 ; frame# 12419-01, controller# 12419-01 and Motor # 12419-01 Cup set AAx21</v>
      </c>
      <c r="F24" s="44"/>
      <c r="G24" s="44"/>
      <c r="H24" s="44">
        <f>report_47_flagged!C16</f>
        <v>11</v>
      </c>
      <c r="I24" s="44">
        <f>report_47_flagged!F16</f>
        <v>1</v>
      </c>
      <c r="J24" s="63">
        <f>report_47_flagged!AC16</f>
        <v>44866</v>
      </c>
      <c r="K24" s="63">
        <f>report_47_flagged!AD16</f>
        <v>44883</v>
      </c>
      <c r="L24" s="63">
        <f>report_47_flagged!AE16</f>
        <v>44874.5</v>
      </c>
      <c r="M24" s="398">
        <f>report_47_flagged!AF16</f>
        <v>17</v>
      </c>
      <c r="N24" s="208">
        <f>report_47_flagged!H16</f>
        <v>74.100840336134439</v>
      </c>
      <c r="O24" s="208">
        <f t="shared" si="0"/>
        <v>4.4460504201680656E-2</v>
      </c>
      <c r="P24" s="208">
        <f>report_47_flagged!J16</f>
        <v>1</v>
      </c>
      <c r="Q24" s="453">
        <f>report_47_flagged!BA16</f>
        <v>39.807465687206999</v>
      </c>
      <c r="R24" s="453">
        <f t="shared" si="1"/>
        <v>0.87576424511855389</v>
      </c>
      <c r="S24" s="454">
        <f>report_47_flagged!BB16</f>
        <v>2</v>
      </c>
      <c r="T24" s="453">
        <f>report_47_flagged!BC16</f>
        <v>8.58</v>
      </c>
      <c r="U24" s="453">
        <f t="shared" si="2"/>
        <v>0.24882000000000001</v>
      </c>
      <c r="V24" s="454">
        <f>report_47_flagged!BD16</f>
        <v>1</v>
      </c>
      <c r="W24" s="399">
        <f>(report_47_flagged!N16/100)*report_47_flagged!H16</f>
        <v>10.020114439315153</v>
      </c>
      <c r="X24" s="399">
        <f t="shared" si="3"/>
        <v>0.21050827240006595</v>
      </c>
      <c r="Y24" s="398">
        <f>report_47_flagged!AP16</f>
        <v>1</v>
      </c>
      <c r="Z24" s="399">
        <f>(report_47_flagged!P16/100)*report_47_flagged!H16</f>
        <v>0.45870435515371683</v>
      </c>
      <c r="AA24" s="399">
        <f t="shared" si="4"/>
        <v>1.7432938170537024E-2</v>
      </c>
      <c r="AB24" s="398">
        <f>report_47_flagged!AR16</f>
        <v>1</v>
      </c>
      <c r="AC24" s="399">
        <f>(report_47_flagged!R16/100)*report_47_flagged!H16</f>
        <v>3.1486978632687319</v>
      </c>
      <c r="AD24" s="399">
        <f t="shared" si="5"/>
        <v>8.8183779477522456E-2</v>
      </c>
      <c r="AE24" s="398">
        <f>report_47_flagged!AT16</f>
        <v>1</v>
      </c>
      <c r="AF24" s="399">
        <f>(report_47_flagged!L16/100)*report_47_flagged!H16</f>
        <v>6.8714165760464203</v>
      </c>
      <c r="AG24" s="399">
        <f t="shared" si="6"/>
        <v>0.13062199635436336</v>
      </c>
      <c r="AH24" s="398">
        <f>report_47_flagged!AV16</f>
        <v>1</v>
      </c>
      <c r="AI24" s="399">
        <f>(report_47_flagged!T16/100)*report_47_flagged!H16</f>
        <v>3.1560512100071767</v>
      </c>
      <c r="AJ24" s="399">
        <f t="shared" si="7"/>
        <v>0.1546581025133093</v>
      </c>
      <c r="AK24" s="398">
        <f>report_47_flagged!AX16</f>
        <v>1</v>
      </c>
    </row>
    <row r="25" spans="1:37" ht="15.5">
      <c r="A25" s="44">
        <v>2022</v>
      </c>
      <c r="B25" s="44" t="str">
        <f>LEFT(report_47_flagged!B17,2)</f>
        <v>47</v>
      </c>
      <c r="C25" s="44">
        <f>report_47_flagged!E17</f>
        <v>1000</v>
      </c>
      <c r="D25" s="398">
        <f>report_47_flagged!AM17</f>
        <v>1273.5</v>
      </c>
      <c r="E25" s="44" t="str">
        <f>report_47_flagged!D17</f>
        <v>McLane-PARFLUX-Mark78H-21 ; frame# 12419-01, controller# 12419-01 and Motor # 12419-01 Cup set AAx21</v>
      </c>
      <c r="F25" s="44"/>
      <c r="G25" s="44"/>
      <c r="H25" s="44">
        <f>report_47_flagged!C17</f>
        <v>12</v>
      </c>
      <c r="I25" s="44">
        <f>report_47_flagged!F17</f>
        <v>1</v>
      </c>
      <c r="J25" s="63">
        <f>report_47_flagged!AC17</f>
        <v>44883</v>
      </c>
      <c r="K25" s="63">
        <f>report_47_flagged!AD17</f>
        <v>44900</v>
      </c>
      <c r="L25" s="63">
        <f>report_47_flagged!AE17</f>
        <v>44891.5</v>
      </c>
      <c r="M25" s="398">
        <f>report_47_flagged!AF17</f>
        <v>17</v>
      </c>
      <c r="N25" s="208">
        <f>report_47_flagged!H17</f>
        <v>33.63025210084033</v>
      </c>
      <c r="O25" s="208">
        <f t="shared" si="0"/>
        <v>2.0178151260504196E-2</v>
      </c>
      <c r="P25" s="208">
        <f>report_47_flagged!J17</f>
        <v>1</v>
      </c>
      <c r="Q25" s="453">
        <f>report_47_flagged!BA17</f>
        <v>39.44434487221848</v>
      </c>
      <c r="R25" s="453">
        <f t="shared" si="1"/>
        <v>0.86777558718880654</v>
      </c>
      <c r="S25" s="454">
        <f>report_47_flagged!BB17</f>
        <v>2</v>
      </c>
      <c r="T25" s="453">
        <f>report_47_flagged!BC17</f>
        <v>8.6149999999999984</v>
      </c>
      <c r="U25" s="453">
        <f t="shared" si="2"/>
        <v>0.24983499999999997</v>
      </c>
      <c r="V25" s="454">
        <f>report_47_flagged!BD17</f>
        <v>1</v>
      </c>
      <c r="W25" s="399">
        <f>(report_47_flagged!N17/100)*report_47_flagged!H17</f>
        <v>4.5855712254307841</v>
      </c>
      <c r="X25" s="399">
        <f t="shared" si="3"/>
        <v>9.6336292612129421E-2</v>
      </c>
      <c r="Y25" s="398">
        <f>report_47_flagged!AP17</f>
        <v>1</v>
      </c>
      <c r="Z25" s="399">
        <f>(report_47_flagged!P17/100)*report_47_flagged!H17</f>
        <v>0.22491102657398251</v>
      </c>
      <c r="AA25" s="399">
        <f t="shared" si="4"/>
        <v>8.5476843114391712E-3</v>
      </c>
      <c r="AB25" s="398">
        <f>report_47_flagged!AR17</f>
        <v>1</v>
      </c>
      <c r="AC25" s="399">
        <f>(report_47_flagged!R17/100)*report_47_flagged!H17</f>
        <v>1.5096793704065166</v>
      </c>
      <c r="AD25" s="399">
        <f t="shared" si="5"/>
        <v>4.2280726339201317E-2</v>
      </c>
      <c r="AE25" s="398">
        <f>report_47_flagged!AT17</f>
        <v>1</v>
      </c>
      <c r="AF25" s="399">
        <f>(report_47_flagged!L17/100)*report_47_flagged!H17</f>
        <v>3.0758918550242678</v>
      </c>
      <c r="AG25" s="399">
        <f t="shared" si="6"/>
        <v>5.847107801235446E-2</v>
      </c>
      <c r="AH25" s="398">
        <f>report_47_flagged!AV17</f>
        <v>1</v>
      </c>
      <c r="AI25" s="399">
        <f>(report_47_flagged!T17/100)*report_47_flagged!H17</f>
        <v>1.4416625005632799</v>
      </c>
      <c r="AJ25" s="399">
        <f t="shared" si="7"/>
        <v>7.0646758232165249E-2</v>
      </c>
      <c r="AK25" s="398">
        <f>report_47_flagged!AX17</f>
        <v>1</v>
      </c>
    </row>
    <row r="26" spans="1:37" ht="15.5">
      <c r="A26" s="44">
        <v>2022</v>
      </c>
      <c r="B26" s="44" t="str">
        <f>LEFT(report_47_flagged!B18,2)</f>
        <v>47</v>
      </c>
      <c r="C26" s="44">
        <f>report_47_flagged!E18</f>
        <v>1000</v>
      </c>
      <c r="D26" s="398">
        <f>report_47_flagged!AM18</f>
        <v>1273.5</v>
      </c>
      <c r="E26" s="44" t="str">
        <f>report_47_flagged!D18</f>
        <v>McLane-PARFLUX-Mark78H-21 ; frame# 12419-01, controller# 12419-01 and Motor # 12419-01 Cup set AAx21</v>
      </c>
      <c r="F26" s="44"/>
      <c r="G26" s="44"/>
      <c r="H26" s="44">
        <f>report_47_flagged!C18</f>
        <v>13</v>
      </c>
      <c r="I26" s="44">
        <f>report_47_flagged!F18</f>
        <v>1</v>
      </c>
      <c r="J26" s="63">
        <f>report_47_flagged!AC18</f>
        <v>44900</v>
      </c>
      <c r="K26" s="63">
        <f>report_47_flagged!AD18</f>
        <v>44917</v>
      </c>
      <c r="L26" s="63">
        <f>report_47_flagged!AE18</f>
        <v>44908.5</v>
      </c>
      <c r="M26" s="398">
        <f>report_47_flagged!AF18</f>
        <v>17</v>
      </c>
      <c r="N26" s="208">
        <f>report_47_flagged!H18</f>
        <v>13.378151260504199</v>
      </c>
      <c r="O26" s="208">
        <f t="shared" si="0"/>
        <v>8.0268907563025189E-3</v>
      </c>
      <c r="P26" s="208">
        <f>report_47_flagged!J18</f>
        <v>1</v>
      </c>
      <c r="Q26" s="453">
        <f>report_47_flagged!BA18</f>
        <v>40.098172354946087</v>
      </c>
      <c r="R26" s="453">
        <f t="shared" si="1"/>
        <v>0.88215979180881388</v>
      </c>
      <c r="S26" s="454">
        <f>report_47_flagged!BB18</f>
        <v>2</v>
      </c>
      <c r="T26" s="453">
        <f>report_47_flagged!BC18</f>
        <v>8.65</v>
      </c>
      <c r="U26" s="453">
        <f t="shared" si="2"/>
        <v>0.25085000000000002</v>
      </c>
      <c r="V26" s="454">
        <f>report_47_flagged!BD18</f>
        <v>1</v>
      </c>
      <c r="W26" s="399">
        <f>(report_47_flagged!N18/100)*report_47_flagged!H18</f>
        <v>1.835676571501403</v>
      </c>
      <c r="X26" s="399">
        <f t="shared" si="3"/>
        <v>3.8564939162356267E-2</v>
      </c>
      <c r="Y26" s="398">
        <f>report_47_flagged!AP18</f>
        <v>1</v>
      </c>
      <c r="Z26" s="399">
        <f>(report_47_flagged!P18/100)*report_47_flagged!H18</f>
        <v>9.4014100427387115E-2</v>
      </c>
      <c r="AA26" s="399">
        <f t="shared" si="4"/>
        <v>3.5729811184375404E-3</v>
      </c>
      <c r="AB26" s="398">
        <f>report_47_flagged!AR18</f>
        <v>1</v>
      </c>
      <c r="AC26" s="399">
        <f>(report_47_flagged!R18/100)*report_47_flagged!H18</f>
        <v>0.6366379024452381</v>
      </c>
      <c r="AD26" s="399">
        <f t="shared" si="5"/>
        <v>1.7829953470982443E-2</v>
      </c>
      <c r="AE26" s="398">
        <f>report_47_flagged!AT18</f>
        <v>1</v>
      </c>
      <c r="AF26" s="399">
        <f>(report_47_flagged!L18/100)*report_47_flagged!H18</f>
        <v>1.199038669056165</v>
      </c>
      <c r="AG26" s="399">
        <f t="shared" si="6"/>
        <v>2.2793091195223294E-2</v>
      </c>
      <c r="AH26" s="398">
        <f>report_47_flagged!AV18</f>
        <v>1</v>
      </c>
      <c r="AI26" s="399">
        <f>(report_47_flagged!T18/100)*report_47_flagged!H18</f>
        <v>0.62896276876625679</v>
      </c>
      <c r="AJ26" s="399">
        <f t="shared" si="7"/>
        <v>3.0821486058423431E-2</v>
      </c>
      <c r="AK26" s="398">
        <f>report_47_flagged!AX18</f>
        <v>1</v>
      </c>
    </row>
    <row r="27" spans="1:37" ht="15.5">
      <c r="A27" s="44">
        <v>2022</v>
      </c>
      <c r="B27" s="44" t="str">
        <f>LEFT(report_47_flagged!B19,2)</f>
        <v>47</v>
      </c>
      <c r="C27" s="44">
        <f>report_47_flagged!E19</f>
        <v>1000</v>
      </c>
      <c r="D27" s="398">
        <f>report_47_flagged!AM19</f>
        <v>1273.5</v>
      </c>
      <c r="E27" s="44" t="str">
        <f>report_47_flagged!D19</f>
        <v>McLane-PARFLUX-Mark78H-21 ; frame# 12419-01, controller# 12419-01 and Motor # 12419-01 Cup set AAx21</v>
      </c>
      <c r="F27" s="44"/>
      <c r="G27" s="44"/>
      <c r="H27" s="44">
        <f>report_47_flagged!C19</f>
        <v>14</v>
      </c>
      <c r="I27" s="44">
        <f>report_47_flagged!F19</f>
        <v>1</v>
      </c>
      <c r="J27" s="63">
        <f>report_47_flagged!AC19</f>
        <v>44917</v>
      </c>
      <c r="K27" s="63">
        <f>report_47_flagged!AD19</f>
        <v>44934</v>
      </c>
      <c r="L27" s="63">
        <f>report_47_flagged!AE19</f>
        <v>44925.5</v>
      </c>
      <c r="M27" s="398">
        <f>report_47_flagged!AF19</f>
        <v>17</v>
      </c>
      <c r="N27" s="208">
        <f>report_47_flagged!H19</f>
        <v>31.94957983193277</v>
      </c>
      <c r="O27" s="208">
        <f t="shared" si="0"/>
        <v>1.9169747899159661E-2</v>
      </c>
      <c r="P27" s="208">
        <f>report_47_flagged!J19</f>
        <v>1</v>
      </c>
      <c r="Q27" s="453">
        <f>report_47_flagged!BA19</f>
        <v>39.734815737579275</v>
      </c>
      <c r="R27" s="453">
        <f t="shared" si="1"/>
        <v>0.87416594622674404</v>
      </c>
      <c r="S27" s="454">
        <f>report_47_flagged!BB19</f>
        <v>2</v>
      </c>
      <c r="T27" s="453">
        <f>report_47_flagged!BC19</f>
        <v>8.6300000000000008</v>
      </c>
      <c r="U27" s="453">
        <f t="shared" si="2"/>
        <v>0.25027000000000005</v>
      </c>
      <c r="V27" s="454">
        <f>report_47_flagged!BD19</f>
        <v>1</v>
      </c>
      <c r="W27" s="399">
        <f>(report_47_flagged!N19/100)*report_47_flagged!H19</f>
        <v>4.362311929334111</v>
      </c>
      <c r="X27" s="399">
        <f t="shared" si="3"/>
        <v>9.1645934133371604E-2</v>
      </c>
      <c r="Y27" s="398">
        <f>report_47_flagged!AP19</f>
        <v>3</v>
      </c>
      <c r="Z27" s="399">
        <f>(report_47_flagged!P19/100)*report_47_flagged!H19</f>
        <v>0.24660928442698565</v>
      </c>
      <c r="AA27" s="399">
        <f t="shared" si="4"/>
        <v>9.3723208846694644E-3</v>
      </c>
      <c r="AB27" s="398">
        <f>report_47_flagged!AR19</f>
        <v>3</v>
      </c>
      <c r="AC27" s="399">
        <f>(report_47_flagged!R19/100)*report_47_flagged!H19</f>
        <v>1.5312914281626751</v>
      </c>
      <c r="AD27" s="399">
        <f t="shared" si="5"/>
        <v>4.2886002875085288E-2</v>
      </c>
      <c r="AE27" s="398">
        <f>report_47_flagged!AT19</f>
        <v>3</v>
      </c>
      <c r="AF27" s="399">
        <f>(report_47_flagged!L19/100)*report_47_flagged!H19</f>
        <v>2.8310205011714364</v>
      </c>
      <c r="AG27" s="399">
        <f t="shared" si="6"/>
        <v>5.3816203033335799E-2</v>
      </c>
      <c r="AH27" s="398">
        <f>report_47_flagged!AV19</f>
        <v>3</v>
      </c>
      <c r="AI27" s="399">
        <f>(report_47_flagged!T19/100)*report_47_flagged!H19</f>
        <v>1.5889814456851952</v>
      </c>
      <c r="AJ27" s="399">
        <f t="shared" si="7"/>
        <v>7.7865927694490272E-2</v>
      </c>
      <c r="AK27" s="398">
        <f>report_47_flagged!AX19</f>
        <v>1</v>
      </c>
    </row>
    <row r="28" spans="1:37" ht="15.5">
      <c r="A28" s="44">
        <v>2022</v>
      </c>
      <c r="B28" s="44" t="str">
        <f>LEFT(report_47_flagged!B20,2)</f>
        <v>47</v>
      </c>
      <c r="C28" s="44">
        <f>report_47_flagged!E20</f>
        <v>1000</v>
      </c>
      <c r="D28" s="398">
        <f>report_47_flagged!AM20</f>
        <v>1273.5</v>
      </c>
      <c r="E28" s="44" t="str">
        <f>report_47_flagged!D20</f>
        <v>McLane-PARFLUX-Mark78H-21 ; frame# 12419-01, controller# 12419-01 and Motor # 12419-01 Cup set AAx21</v>
      </c>
      <c r="F28" s="44"/>
      <c r="G28" s="44"/>
      <c r="H28" s="44">
        <f>report_47_flagged!C20</f>
        <v>15</v>
      </c>
      <c r="I28" s="44">
        <f>report_47_flagged!F20</f>
        <v>1</v>
      </c>
      <c r="J28" s="63">
        <f>report_47_flagged!AC20</f>
        <v>44934</v>
      </c>
      <c r="K28" s="63">
        <f>report_47_flagged!AD20</f>
        <v>44951</v>
      </c>
      <c r="L28" s="63">
        <f>report_47_flagged!AE20</f>
        <v>44942.5</v>
      </c>
      <c r="M28" s="398">
        <f>report_47_flagged!AF20</f>
        <v>17</v>
      </c>
      <c r="N28" s="208">
        <f>report_47_flagged!H20</f>
        <v>9.5126050420168067</v>
      </c>
      <c r="O28" s="208">
        <f t="shared" si="0"/>
        <v>5.7075630252100837E-3</v>
      </c>
      <c r="P28" s="208">
        <f>report_47_flagged!J20</f>
        <v>1</v>
      </c>
      <c r="Q28" s="453">
        <f>report_47_flagged!BA20</f>
        <v>40.025479690233652</v>
      </c>
      <c r="R28" s="453">
        <f t="shared" si="1"/>
        <v>0.88056055318514026</v>
      </c>
      <c r="S28" s="454">
        <f>report_47_flagged!BB20</f>
        <v>2</v>
      </c>
      <c r="T28" s="453">
        <f>report_47_flagged!BC20</f>
        <v>8.67</v>
      </c>
      <c r="U28" s="453">
        <f t="shared" si="2"/>
        <v>0.25142999999999999</v>
      </c>
      <c r="V28" s="454">
        <f>report_47_flagged!BD20</f>
        <v>1</v>
      </c>
      <c r="W28" s="399">
        <f>(report_47_flagged!N20/100)*report_47_flagged!H20</f>
        <v>1.3437420083695097</v>
      </c>
      <c r="X28" s="399">
        <f t="shared" si="3"/>
        <v>2.8230097614792685E-2</v>
      </c>
      <c r="Y28" s="398">
        <f>report_47_flagged!AP20</f>
        <v>3</v>
      </c>
      <c r="Z28" s="399">
        <f>(report_47_flagged!P20/100)*report_47_flagged!H20</f>
        <v>8.9928267102281592E-2</v>
      </c>
      <c r="AA28" s="399">
        <f t="shared" si="4"/>
        <v>3.4177000993423218E-3</v>
      </c>
      <c r="AB28" s="398">
        <f>report_47_flagged!AR20</f>
        <v>3</v>
      </c>
      <c r="AC28" s="399">
        <f>(report_47_flagged!R20/100)*report_47_flagged!H20</f>
        <v>0.53154396844722385</v>
      </c>
      <c r="AD28" s="399">
        <f t="shared" si="5"/>
        <v>1.4886647792715393E-2</v>
      </c>
      <c r="AE28" s="398">
        <f>report_47_flagged!AT20</f>
        <v>3</v>
      </c>
      <c r="AF28" s="399">
        <f>(report_47_flagged!L20/100)*report_47_flagged!H20</f>
        <v>0.81219803992228623</v>
      </c>
      <c r="AG28" s="399">
        <f t="shared" si="6"/>
        <v>1.5439455348927636E-2</v>
      </c>
      <c r="AH28" s="398">
        <f>report_47_flagged!AV20</f>
        <v>3</v>
      </c>
      <c r="AI28" s="399">
        <f>(report_47_flagged!T20/100)*report_47_flagged!H20</f>
        <v>0.47353365043405021</v>
      </c>
      <c r="AJ28" s="399">
        <f t="shared" si="7"/>
        <v>2.3204888317437784E-2</v>
      </c>
      <c r="AK28" s="398">
        <f>report_47_flagged!AX20</f>
        <v>1</v>
      </c>
    </row>
    <row r="29" spans="1:37" ht="15.5">
      <c r="A29" s="44">
        <v>2022</v>
      </c>
      <c r="B29" s="44" t="str">
        <f>LEFT(report_47_flagged!B21,2)</f>
        <v>47</v>
      </c>
      <c r="C29" s="44">
        <f>report_47_flagged!E21</f>
        <v>1000</v>
      </c>
      <c r="D29" s="398">
        <f>report_47_flagged!AM21</f>
        <v>1273.5</v>
      </c>
      <c r="E29" s="44" t="str">
        <f>report_47_flagged!D21</f>
        <v>McLane-PARFLUX-Mark78H-21 ; frame# 12419-01, controller# 12419-01 and Motor # 12419-01 Cup set AAx21</v>
      </c>
      <c r="F29" s="44"/>
      <c r="G29" s="44"/>
      <c r="H29" s="44">
        <f>report_47_flagged!C21</f>
        <v>16</v>
      </c>
      <c r="I29" s="44">
        <f>report_47_flagged!F21</f>
        <v>1</v>
      </c>
      <c r="J29" s="63">
        <f>report_47_flagged!AC21</f>
        <v>44951</v>
      </c>
      <c r="K29" s="63">
        <f>report_47_flagged!AD21</f>
        <v>44968</v>
      </c>
      <c r="L29" s="63">
        <f>report_47_flagged!AE21</f>
        <v>44959.5</v>
      </c>
      <c r="M29" s="398">
        <f>report_47_flagged!AF21</f>
        <v>17</v>
      </c>
      <c r="N29" s="208">
        <f>report_47_flagged!H21</f>
        <v>1.579831932773109</v>
      </c>
      <c r="O29" s="208">
        <f t="shared" si="0"/>
        <v>9.4789915966386534E-4</v>
      </c>
      <c r="P29" s="208">
        <f>report_47_flagged!J21</f>
        <v>2</v>
      </c>
      <c r="Q29" s="453">
        <f>report_47_flagged!BA21</f>
        <v>39.662176507611733</v>
      </c>
      <c r="R29" s="453">
        <f t="shared" si="1"/>
        <v>0.87256788316745804</v>
      </c>
      <c r="S29" s="454">
        <f>report_47_flagged!BB21</f>
        <v>2</v>
      </c>
      <c r="T29" s="453">
        <f>report_47_flagged!BC21</f>
        <v>8.65</v>
      </c>
      <c r="U29" s="453">
        <f t="shared" si="2"/>
        <v>0.25085000000000002</v>
      </c>
      <c r="V29" s="454">
        <f>report_47_flagged!BD21</f>
        <v>1</v>
      </c>
      <c r="W29" s="399" t="e">
        <f>(report_47_flagged!N21/100)*report_47_flagged!H21</f>
        <v>#VALUE!</v>
      </c>
      <c r="X29" s="399" t="e">
        <f t="shared" si="3"/>
        <v>#VALUE!</v>
      </c>
      <c r="Y29" s="398">
        <f>report_47_flagged!AP21</f>
        <v>9</v>
      </c>
      <c r="Z29" s="399" t="e">
        <f>(report_47_flagged!P21/100)*report_47_flagged!H21</f>
        <v>#VALUE!</v>
      </c>
      <c r="AA29" s="399" t="e">
        <f t="shared" si="4"/>
        <v>#VALUE!</v>
      </c>
      <c r="AB29" s="398">
        <f>report_47_flagged!AR21</f>
        <v>9</v>
      </c>
      <c r="AC29" s="399" t="e">
        <f>(report_47_flagged!R21/100)*report_47_flagged!H21</f>
        <v>#VALUE!</v>
      </c>
      <c r="AD29" s="399" t="e">
        <f t="shared" si="5"/>
        <v>#VALUE!</v>
      </c>
      <c r="AE29" s="398">
        <f>report_47_flagged!AT21</f>
        <v>9</v>
      </c>
      <c r="AF29" s="399" t="e">
        <f>(report_47_flagged!L21/100)*report_47_flagged!H21</f>
        <v>#VALUE!</v>
      </c>
      <c r="AG29" s="399" t="e">
        <f t="shared" si="6"/>
        <v>#VALUE!</v>
      </c>
      <c r="AH29" s="398">
        <f>report_47_flagged!AV21</f>
        <v>9</v>
      </c>
      <c r="AI29" s="399" t="e">
        <f>(report_47_flagged!T21/100)*report_47_flagged!H21</f>
        <v>#VALUE!</v>
      </c>
      <c r="AJ29" s="399" t="e">
        <f t="shared" si="7"/>
        <v>#VALUE!</v>
      </c>
      <c r="AK29" s="398">
        <f>report_47_flagged!AX21</f>
        <v>9</v>
      </c>
    </row>
    <row r="30" spans="1:37" ht="15.5">
      <c r="A30" s="44">
        <v>2022</v>
      </c>
      <c r="B30" s="44" t="str">
        <f>LEFT(report_47_flagged!B22,2)</f>
        <v>47</v>
      </c>
      <c r="C30" s="44">
        <f>report_47_flagged!E22</f>
        <v>1000</v>
      </c>
      <c r="D30" s="398">
        <f>report_47_flagged!AM22</f>
        <v>1273.5</v>
      </c>
      <c r="E30" s="44" t="str">
        <f>report_47_flagged!D22</f>
        <v>McLane-PARFLUX-Mark78H-21 ; frame# 12419-01, controller# 12419-01 and Motor # 12419-01 Cup set AAx21</v>
      </c>
      <c r="F30" s="44"/>
      <c r="G30" s="44"/>
      <c r="H30" s="44">
        <f>report_47_flagged!C22</f>
        <v>17</v>
      </c>
      <c r="I30" s="44">
        <f>report_47_flagged!F22</f>
        <v>1</v>
      </c>
      <c r="J30" s="63">
        <f>report_47_flagged!AC22</f>
        <v>44968</v>
      </c>
      <c r="K30" s="63">
        <f>report_47_flagged!AD22</f>
        <v>44985</v>
      </c>
      <c r="L30" s="63">
        <f>report_47_flagged!AE22</f>
        <v>44976.5</v>
      </c>
      <c r="M30" s="398">
        <f>report_47_flagged!AF22</f>
        <v>17</v>
      </c>
      <c r="N30" s="208">
        <f>report_47_flagged!H22</f>
        <v>0.70588235294117585</v>
      </c>
      <c r="O30" s="208">
        <f t="shared" si="0"/>
        <v>4.2352941176470547E-4</v>
      </c>
      <c r="P30" s="208">
        <f>report_47_flagged!J22</f>
        <v>2</v>
      </c>
      <c r="Q30" s="453">
        <f>report_47_flagged!BA22</f>
        <v>39.516930272554035</v>
      </c>
      <c r="R30" s="453">
        <f t="shared" si="1"/>
        <v>0.86937246599618867</v>
      </c>
      <c r="S30" s="454">
        <f>report_47_flagged!BB22</f>
        <v>2</v>
      </c>
      <c r="T30" s="453">
        <f>report_47_flagged!BC22</f>
        <v>8.65</v>
      </c>
      <c r="U30" s="453">
        <f t="shared" si="2"/>
        <v>0.25085000000000002</v>
      </c>
      <c r="V30" s="454">
        <f>report_47_flagged!BD22</f>
        <v>1</v>
      </c>
      <c r="W30" s="399" t="e">
        <f>(report_47_flagged!N22/100)*report_47_flagged!H22</f>
        <v>#VALUE!</v>
      </c>
      <c r="X30" s="399" t="e">
        <f t="shared" si="3"/>
        <v>#VALUE!</v>
      </c>
      <c r="Y30" s="398">
        <f>report_47_flagged!AP22</f>
        <v>9</v>
      </c>
      <c r="Z30" s="399" t="e">
        <f>(report_47_flagged!P22/100)*report_47_flagged!H22</f>
        <v>#VALUE!</v>
      </c>
      <c r="AA30" s="399" t="e">
        <f t="shared" si="4"/>
        <v>#VALUE!</v>
      </c>
      <c r="AB30" s="398">
        <f>report_47_flagged!AR22</f>
        <v>9</v>
      </c>
      <c r="AC30" s="399" t="e">
        <f>(report_47_flagged!R22/100)*report_47_flagged!H22</f>
        <v>#VALUE!</v>
      </c>
      <c r="AD30" s="399" t="e">
        <f t="shared" si="5"/>
        <v>#VALUE!</v>
      </c>
      <c r="AE30" s="398">
        <f>report_47_flagged!AT22</f>
        <v>9</v>
      </c>
      <c r="AF30" s="399" t="e">
        <f>(report_47_flagged!L22/100)*report_47_flagged!H22</f>
        <v>#VALUE!</v>
      </c>
      <c r="AG30" s="399" t="e">
        <f t="shared" si="6"/>
        <v>#VALUE!</v>
      </c>
      <c r="AH30" s="398">
        <f>report_47_flagged!AV22</f>
        <v>9</v>
      </c>
      <c r="AI30" s="399" t="e">
        <f>(report_47_flagged!T22/100)*report_47_flagged!H22</f>
        <v>#VALUE!</v>
      </c>
      <c r="AJ30" s="399" t="e">
        <f t="shared" si="7"/>
        <v>#VALUE!</v>
      </c>
      <c r="AK30" s="398">
        <f>report_47_flagged!AX22</f>
        <v>9</v>
      </c>
    </row>
    <row r="31" spans="1:37" ht="15.5">
      <c r="A31" s="44">
        <v>2022</v>
      </c>
      <c r="B31" s="44" t="str">
        <f>LEFT(report_47_flagged!B23,2)</f>
        <v>47</v>
      </c>
      <c r="C31" s="44">
        <f>report_47_flagged!E23</f>
        <v>1000</v>
      </c>
      <c r="D31" s="398">
        <f>report_47_flagged!AM23</f>
        <v>1273.5</v>
      </c>
      <c r="E31" s="44" t="str">
        <f>report_47_flagged!D23</f>
        <v>McLane-PARFLUX-Mark78H-21 ; frame# 12419-01, controller# 12419-01 and Motor # 12419-01 Cup set AAx21</v>
      </c>
      <c r="F31" s="44"/>
      <c r="G31" s="44"/>
      <c r="H31" s="44">
        <f>report_47_flagged!C23</f>
        <v>18</v>
      </c>
      <c r="I31" s="44">
        <f>report_47_flagged!F23</f>
        <v>1</v>
      </c>
      <c r="J31" s="63">
        <f>report_47_flagged!AC23</f>
        <v>44985</v>
      </c>
      <c r="K31" s="63">
        <f>report_47_flagged!AD23</f>
        <v>45002</v>
      </c>
      <c r="L31" s="63">
        <f>report_47_flagged!AE23</f>
        <v>44993.5</v>
      </c>
      <c r="M31" s="398">
        <f>report_47_flagged!AF23</f>
        <v>17</v>
      </c>
      <c r="N31" s="208">
        <f>report_47_flagged!H23</f>
        <v>3.1764705882352935</v>
      </c>
      <c r="O31" s="208">
        <f t="shared" si="0"/>
        <v>1.9058823529411759E-3</v>
      </c>
      <c r="P31" s="208">
        <f>report_47_flagged!J23</f>
        <v>1</v>
      </c>
      <c r="Q31" s="453">
        <f>report_47_flagged!BA23</f>
        <v>38.646362168235825</v>
      </c>
      <c r="R31" s="453">
        <f t="shared" si="1"/>
        <v>0.85021996770118813</v>
      </c>
      <c r="S31" s="454">
        <f>report_47_flagged!BB23</f>
        <v>2</v>
      </c>
      <c r="T31" s="453">
        <f>report_47_flagged!BC23</f>
        <v>8.66</v>
      </c>
      <c r="U31" s="453">
        <f t="shared" si="2"/>
        <v>0.25114000000000003</v>
      </c>
      <c r="V31" s="454">
        <f>report_47_flagged!BD23</f>
        <v>1</v>
      </c>
      <c r="W31" s="399">
        <f>(report_47_flagged!N23/100)*report_47_flagged!H23</f>
        <v>0.46681727128870337</v>
      </c>
      <c r="X31" s="399">
        <f t="shared" si="3"/>
        <v>9.807163171702684E-3</v>
      </c>
      <c r="Y31" s="398">
        <f>report_47_flagged!AP23</f>
        <v>3</v>
      </c>
      <c r="Z31" s="399">
        <f>(report_47_flagged!P23/100)*report_47_flagged!H23</f>
        <v>3.9652036218082193E-2</v>
      </c>
      <c r="AA31" s="399">
        <f t="shared" si="4"/>
        <v>1.5069651900167281E-3</v>
      </c>
      <c r="AB31" s="398">
        <f>report_47_flagged!AR23</f>
        <v>3</v>
      </c>
      <c r="AC31" s="399">
        <f>(report_47_flagged!R23/100)*report_47_flagged!H23</f>
        <v>0.19830144081052462</v>
      </c>
      <c r="AD31" s="399">
        <f t="shared" si="5"/>
        <v>5.5537149913636582E-3</v>
      </c>
      <c r="AE31" s="398">
        <f>report_47_flagged!AT23</f>
        <v>3</v>
      </c>
      <c r="AF31" s="399">
        <f>(report_47_flagged!L23/100)*report_47_flagged!H23</f>
        <v>0.26851583047817873</v>
      </c>
      <c r="AG31" s="399">
        <f t="shared" si="6"/>
        <v>5.1043439793880081E-3</v>
      </c>
      <c r="AH31" s="398">
        <f>report_47_flagged!AV23</f>
        <v>1</v>
      </c>
      <c r="AI31" s="399">
        <f>(report_47_flagged!T23/100)*report_47_flagged!H23</f>
        <v>0.13555504877452226</v>
      </c>
      <c r="AJ31" s="399">
        <f t="shared" si="7"/>
        <v>6.6426953286093972E-3</v>
      </c>
      <c r="AK31" s="398">
        <f>report_47_flagged!AX23</f>
        <v>1</v>
      </c>
    </row>
    <row r="32" spans="1:37" ht="15.5">
      <c r="A32" s="44">
        <v>2022</v>
      </c>
      <c r="B32" s="44" t="str">
        <f>LEFT(report_47_flagged!B24,2)</f>
        <v>47</v>
      </c>
      <c r="C32" s="44">
        <f>report_47_flagged!E24</f>
        <v>1000</v>
      </c>
      <c r="D32" s="398">
        <f>report_47_flagged!AM24</f>
        <v>1273.5</v>
      </c>
      <c r="E32" s="44" t="str">
        <f>report_47_flagged!D24</f>
        <v>McLane-PARFLUX-Mark78H-21 ; frame# 12419-01, controller# 12419-01 and Motor # 12419-01 Cup set AAx21</v>
      </c>
      <c r="F32" s="44"/>
      <c r="G32" s="44"/>
      <c r="H32" s="44">
        <f>report_47_flagged!C24</f>
        <v>19</v>
      </c>
      <c r="I32" s="44">
        <f>report_47_flagged!F24</f>
        <v>1</v>
      </c>
      <c r="J32" s="63">
        <f>report_47_flagged!AC24</f>
        <v>45002</v>
      </c>
      <c r="K32" s="63">
        <f>report_47_flagged!AD24</f>
        <v>45019</v>
      </c>
      <c r="L32" s="63">
        <f>report_47_flagged!AE24</f>
        <v>45010.5</v>
      </c>
      <c r="M32" s="398">
        <f>report_47_flagged!AF24</f>
        <v>17</v>
      </c>
      <c r="N32" s="208">
        <f>report_47_flagged!H24</f>
        <v>3.3445378151260514</v>
      </c>
      <c r="O32" s="208">
        <f t="shared" si="0"/>
        <v>2.0067226890756306E-3</v>
      </c>
      <c r="P32" s="208">
        <f>report_47_flagged!J24</f>
        <v>1</v>
      </c>
      <c r="Q32" s="453">
        <f>report_47_flagged!BA24</f>
        <v>39.444323300545072</v>
      </c>
      <c r="R32" s="453">
        <f t="shared" si="1"/>
        <v>0.86777511261199158</v>
      </c>
      <c r="S32" s="454">
        <f>report_47_flagged!BB24</f>
        <v>2</v>
      </c>
      <c r="T32" s="453">
        <f>report_47_flagged!BC24</f>
        <v>8.67</v>
      </c>
      <c r="U32" s="453">
        <f t="shared" si="2"/>
        <v>0.25142999999999999</v>
      </c>
      <c r="V32" s="454">
        <f>report_47_flagged!BD24</f>
        <v>1</v>
      </c>
      <c r="W32" s="399">
        <f>(report_47_flagged!N24/100)*report_47_flagged!H24</f>
        <v>0.47001065727041563</v>
      </c>
      <c r="X32" s="399">
        <f t="shared" si="3"/>
        <v>9.8742516436146656E-3</v>
      </c>
      <c r="Y32" s="398">
        <f>report_47_flagged!AP24</f>
        <v>3</v>
      </c>
      <c r="Z32" s="399">
        <f>(report_47_flagged!P24/100)*report_47_flagged!H24</f>
        <v>2.881762366334932E-2</v>
      </c>
      <c r="AA32" s="399">
        <f t="shared" si="4"/>
        <v>1.0952061952335763E-3</v>
      </c>
      <c r="AB32" s="398">
        <f>report_47_flagged!AR24</f>
        <v>3</v>
      </c>
      <c r="AC32" s="399">
        <f>(report_47_flagged!R24/100)*report_47_flagged!H24</f>
        <v>0.18511823416703097</v>
      </c>
      <c r="AD32" s="399">
        <f t="shared" si="5"/>
        <v>5.1845004658868984E-3</v>
      </c>
      <c r="AE32" s="398">
        <f>report_47_flagged!AT24</f>
        <v>3</v>
      </c>
      <c r="AF32" s="399">
        <f>(report_47_flagged!L24/100)*report_47_flagged!H24</f>
        <v>0.2848924231033847</v>
      </c>
      <c r="AG32" s="399">
        <f t="shared" si="6"/>
        <v>5.4156543472739472E-3</v>
      </c>
      <c r="AH32" s="398">
        <f>report_47_flagged!AV24</f>
        <v>1</v>
      </c>
      <c r="AI32" s="399">
        <f>(report_47_flagged!T24/100)*report_47_flagged!H24</f>
        <v>0.1706066306186276</v>
      </c>
      <c r="AJ32" s="399">
        <f t="shared" si="7"/>
        <v>8.3603515950572936E-3</v>
      </c>
      <c r="AK32" s="398">
        <f>report_47_flagged!AX24</f>
        <v>1</v>
      </c>
    </row>
    <row r="33" spans="1:37" ht="15.5">
      <c r="A33" s="44">
        <v>2022</v>
      </c>
      <c r="B33" s="44" t="str">
        <f>LEFT(report_47_flagged!B25,2)</f>
        <v>47</v>
      </c>
      <c r="C33" s="44">
        <f>report_47_flagged!E25</f>
        <v>1000</v>
      </c>
      <c r="D33" s="398">
        <f>report_47_flagged!AM25</f>
        <v>1273.5</v>
      </c>
      <c r="E33" s="44" t="str">
        <f>report_47_flagged!D25</f>
        <v>McLane-PARFLUX-Mark78H-21 ; frame# 12419-01, controller# 12419-01 and Motor # 12419-01 Cup set AAx21</v>
      </c>
      <c r="F33" s="44"/>
      <c r="G33" s="44"/>
      <c r="H33" s="44">
        <f>report_47_flagged!C25</f>
        <v>20</v>
      </c>
      <c r="I33" s="44">
        <f>report_47_flagged!F25</f>
        <v>1</v>
      </c>
      <c r="J33" s="63">
        <f>report_47_flagged!AC25</f>
        <v>45019</v>
      </c>
      <c r="K33" s="63">
        <f>report_47_flagged!AD25</f>
        <v>45036</v>
      </c>
      <c r="L33" s="63">
        <f>report_47_flagged!AE25</f>
        <v>45027.5</v>
      </c>
      <c r="M33" s="398">
        <f>report_47_flagged!AF25</f>
        <v>17</v>
      </c>
      <c r="N33" s="208">
        <f>report_47_flagged!H25</f>
        <v>3.0084033613445382</v>
      </c>
      <c r="O33" s="208">
        <f t="shared" si="0"/>
        <v>1.8050420168067229E-3</v>
      </c>
      <c r="P33" s="208">
        <f>report_47_flagged!J25</f>
        <v>1</v>
      </c>
      <c r="Q33" s="453">
        <f>report_47_flagged!BA25</f>
        <v>39.516930272554035</v>
      </c>
      <c r="R33" s="453">
        <f t="shared" si="1"/>
        <v>0.86937246599618867</v>
      </c>
      <c r="S33" s="454">
        <f>report_47_flagged!BB25</f>
        <v>2</v>
      </c>
      <c r="T33" s="453">
        <f>report_47_flagged!BC25</f>
        <v>8.66</v>
      </c>
      <c r="U33" s="453">
        <f t="shared" si="2"/>
        <v>0.25114000000000003</v>
      </c>
      <c r="V33" s="454">
        <f>report_47_flagged!BD25</f>
        <v>1</v>
      </c>
      <c r="W33" s="399">
        <f>(report_47_flagged!N25/100)*report_47_flagged!H25</f>
        <v>0.45817686305326577</v>
      </c>
      <c r="X33" s="399">
        <f t="shared" si="3"/>
        <v>9.625640553224726E-3</v>
      </c>
      <c r="Y33" s="398">
        <f>report_47_flagged!AP25</f>
        <v>3</v>
      </c>
      <c r="Z33" s="399">
        <f>(report_47_flagged!P25/100)*report_47_flagged!H25</f>
        <v>3.4110077950133003E-2</v>
      </c>
      <c r="AA33" s="399">
        <f t="shared" si="4"/>
        <v>1.296344526089352E-3</v>
      </c>
      <c r="AB33" s="398">
        <f>report_47_flagged!AR25</f>
        <v>3</v>
      </c>
      <c r="AC33" s="399">
        <f>(report_47_flagged!R25/100)*report_47_flagged!H25</f>
        <v>0.22445640743049167</v>
      </c>
      <c r="AD33" s="399">
        <f t="shared" si="5"/>
        <v>6.2862221764966152E-3</v>
      </c>
      <c r="AE33" s="398">
        <f>report_47_flagged!AT25</f>
        <v>3</v>
      </c>
      <c r="AF33" s="399">
        <f>(report_47_flagged!L25/100)*report_47_flagged!H25</f>
        <v>0.2337204556227741</v>
      </c>
      <c r="AG33" s="399">
        <f t="shared" si="6"/>
        <v>4.4429022988828172E-3</v>
      </c>
      <c r="AH33" s="398">
        <f>report_47_flagged!AV25</f>
        <v>1</v>
      </c>
      <c r="AI33" s="399">
        <f>(report_47_flagged!T25/100)*report_47_flagged!H25</f>
        <v>0.16425954920542238</v>
      </c>
      <c r="AJ33" s="399">
        <f t="shared" si="7"/>
        <v>8.0493212908748779E-3</v>
      </c>
      <c r="AK33" s="398">
        <f>report_47_flagged!AX25</f>
        <v>1</v>
      </c>
    </row>
    <row r="34" spans="1:37" s="195" customFormat="1" ht="16" thickBot="1">
      <c r="A34" s="391">
        <v>2022</v>
      </c>
      <c r="B34" s="391" t="str">
        <f>LEFT(report_47_flagged!B26,2)</f>
        <v>47</v>
      </c>
      <c r="C34" s="391">
        <f>report_47_flagged!E26</f>
        <v>1000</v>
      </c>
      <c r="D34" s="402">
        <f>report_47_flagged!AM26</f>
        <v>1273.5</v>
      </c>
      <c r="E34" s="391" t="str">
        <f>report_47_flagged!D26</f>
        <v>McLane-PARFLUX-Mark78H-21 ; frame# 12419-01, controller# 12419-01 and Motor # 12419-01 Cup set AAx21</v>
      </c>
      <c r="F34" s="391"/>
      <c r="G34" s="391"/>
      <c r="H34" s="391">
        <f>report_47_flagged!C26</f>
        <v>21</v>
      </c>
      <c r="I34" s="391">
        <f>report_47_flagged!F26</f>
        <v>1</v>
      </c>
      <c r="J34" s="405">
        <f>report_47_flagged!AC26</f>
        <v>45036</v>
      </c>
      <c r="K34" s="405">
        <f>report_47_flagged!AD26</f>
        <v>45053</v>
      </c>
      <c r="L34" s="405">
        <f>report_47_flagged!AE26</f>
        <v>45044.5</v>
      </c>
      <c r="M34" s="402">
        <f>report_47_flagged!AF26</f>
        <v>17</v>
      </c>
      <c r="N34" s="403">
        <f>report_47_flagged!H26</f>
        <v>2.6050420168067232</v>
      </c>
      <c r="O34" s="403">
        <f t="shared" si="0"/>
        <v>1.5630252100840337E-3</v>
      </c>
      <c r="P34" s="403">
        <f>report_47_flagged!J26</f>
        <v>1</v>
      </c>
      <c r="Q34" s="503">
        <f>report_47_flagged!BA26</f>
        <v>39.516930272554035</v>
      </c>
      <c r="R34" s="503">
        <f t="shared" si="1"/>
        <v>0.86937246599618867</v>
      </c>
      <c r="S34" s="504">
        <f>report_47_flagged!BB26</f>
        <v>2</v>
      </c>
      <c r="T34" s="503">
        <f>report_47_flagged!BC26</f>
        <v>8.65</v>
      </c>
      <c r="U34" s="503">
        <f t="shared" si="2"/>
        <v>0.25085000000000002</v>
      </c>
      <c r="V34" s="504">
        <f>report_47_flagged!BD26</f>
        <v>1</v>
      </c>
      <c r="W34" s="404">
        <f>(report_47_flagged!N26/100)*report_47_flagged!H26</f>
        <v>0.3657504819020504</v>
      </c>
      <c r="X34" s="404">
        <f t="shared" si="3"/>
        <v>7.6838944845378935E-3</v>
      </c>
      <c r="Y34" s="402">
        <f>report_47_flagged!AP26</f>
        <v>3</v>
      </c>
      <c r="Z34" s="404">
        <f>(report_47_flagged!P26/100)*report_47_flagged!H26</f>
        <v>2.3333404244495041E-2</v>
      </c>
      <c r="AA34" s="404">
        <f t="shared" si="4"/>
        <v>8.8677988105457432E-4</v>
      </c>
      <c r="AB34" s="402">
        <f>report_47_flagged!AR26</f>
        <v>3</v>
      </c>
      <c r="AC34" s="404">
        <f>(report_47_flagged!R26/100)*report_47_flagged!H26</f>
        <v>0.14655020204961106</v>
      </c>
      <c r="AD34" s="404">
        <f t="shared" si="5"/>
        <v>4.1043476577054773E-3</v>
      </c>
      <c r="AE34" s="402">
        <f>report_47_flagged!AT26</f>
        <v>3</v>
      </c>
      <c r="AF34" s="404">
        <f>(report_47_flagged!L26/100)*report_47_flagged!H26</f>
        <v>0.21920027985243937</v>
      </c>
      <c r="AG34" s="404">
        <f t="shared" si="6"/>
        <v>4.166881433964066E-3</v>
      </c>
      <c r="AH34" s="402">
        <f>report_47_flagged!AV26</f>
        <v>1</v>
      </c>
      <c r="AI34" s="404">
        <f>(report_47_flagged!T26/100)*report_47_flagged!H26</f>
        <v>0.14787913358555843</v>
      </c>
      <c r="AJ34" s="404">
        <f t="shared" si="7"/>
        <v>7.2466207548015837E-3</v>
      </c>
      <c r="AK34" s="402">
        <f>report_47_flagged!AX26</f>
        <v>1</v>
      </c>
    </row>
    <row r="35" spans="1:37" ht="15.5">
      <c r="A35" s="44">
        <v>2022</v>
      </c>
      <c r="B35" s="44" t="str">
        <f>LEFT(report_47_flagged!B27,2)</f>
        <v>47</v>
      </c>
      <c r="C35" s="44">
        <f>report_47_flagged!E27</f>
        <v>2000</v>
      </c>
      <c r="D35" s="398">
        <f>report_47_flagged!AM27</f>
        <v>2270.8000000000002</v>
      </c>
      <c r="E35" s="44" t="str">
        <f>report_47_flagged!D27</f>
        <v>McLane-PARFLUX-Mark78H-21 ; frame# 12419-02, controller# 12419-02 and Motor # 12419-02 Cup set ABx21</v>
      </c>
      <c r="F35" s="44"/>
      <c r="G35" s="44"/>
      <c r="H35" s="44">
        <f>report_47_flagged!C27</f>
        <v>1</v>
      </c>
      <c r="I35" s="44">
        <f>report_47_flagged!F27</f>
        <v>1</v>
      </c>
      <c r="J35" s="63">
        <f>report_47_flagged!AC27</f>
        <v>44696</v>
      </c>
      <c r="K35" s="63">
        <f>report_47_flagged!AD27</f>
        <v>44713</v>
      </c>
      <c r="L35" s="63">
        <f>report_47_flagged!AE27</f>
        <v>44704.5</v>
      </c>
      <c r="M35" s="398">
        <f>report_47_flagged!AF27</f>
        <v>17</v>
      </c>
      <c r="N35" s="208">
        <f>report_47_flagged!H27</f>
        <v>41.226890756302524</v>
      </c>
      <c r="O35" s="208">
        <f t="shared" si="0"/>
        <v>2.4736134453781512E-2</v>
      </c>
      <c r="P35" s="208">
        <f>report_47_flagged!J27</f>
        <v>3</v>
      </c>
      <c r="Q35" s="453">
        <f>report_47_flagged!BA27</f>
        <v>39.516930272554035</v>
      </c>
      <c r="R35" s="453">
        <f t="shared" si="1"/>
        <v>0.86937246599618867</v>
      </c>
      <c r="S35" s="454">
        <f>report_47_flagged!BB27</f>
        <v>2</v>
      </c>
      <c r="T35" s="453">
        <f>report_47_flagged!BC27</f>
        <v>8.5299999999999994</v>
      </c>
      <c r="U35" s="453">
        <f t="shared" si="2"/>
        <v>0.24737000000000001</v>
      </c>
      <c r="V35" s="454">
        <f>report_47_flagged!BD27</f>
        <v>1</v>
      </c>
      <c r="W35" s="399">
        <f>(report_47_flagged!N27/100)*report_47_flagged!H27</f>
        <v>5.8737743047505866</v>
      </c>
      <c r="X35" s="399">
        <f t="shared" si="3"/>
        <v>0.12339959676602798</v>
      </c>
      <c r="Y35" s="398">
        <f>report_47_flagged!AP27</f>
        <v>3</v>
      </c>
      <c r="Z35" s="399">
        <f>(report_47_flagged!P27/100)*report_47_flagged!H27</f>
        <v>0.32359222853884978</v>
      </c>
      <c r="AA35" s="399">
        <f t="shared" si="4"/>
        <v>1.2298037394246321E-2</v>
      </c>
      <c r="AB35" s="398">
        <f>report_47_flagged!AR27</f>
        <v>3</v>
      </c>
      <c r="AC35" s="399">
        <f>(report_47_flagged!R27/100)*report_47_flagged!H27</f>
        <v>2.2514237895185274</v>
      </c>
      <c r="AD35" s="399">
        <f t="shared" si="5"/>
        <v>6.3054337884055359E-2</v>
      </c>
      <c r="AE35" s="398">
        <f>report_47_flagged!AT27</f>
        <v>3</v>
      </c>
      <c r="AF35" s="399">
        <f>(report_47_flagged!L27/100)*report_47_flagged!H27</f>
        <v>3.6223505152320596</v>
      </c>
      <c r="AG35" s="399">
        <f t="shared" si="6"/>
        <v>6.8858968243067531E-2</v>
      </c>
      <c r="AH35" s="398">
        <f>report_47_flagged!AV27</f>
        <v>3</v>
      </c>
      <c r="AI35" s="399">
        <f>(report_47_flagged!T27/100)*report_47_flagged!H27</f>
        <v>1.3662859211451128</v>
      </c>
      <c r="AJ35" s="399">
        <f t="shared" si="7"/>
        <v>6.6953028957496413E-2</v>
      </c>
      <c r="AK35" s="398">
        <f>report_47_flagged!AX27</f>
        <v>3</v>
      </c>
    </row>
    <row r="36" spans="1:37" ht="15.5">
      <c r="A36" s="44">
        <v>2022</v>
      </c>
      <c r="B36" s="44" t="str">
        <f>LEFT(report_47_flagged!B28,2)</f>
        <v>47</v>
      </c>
      <c r="C36" s="44">
        <f>report_47_flagged!E28</f>
        <v>2000</v>
      </c>
      <c r="D36" s="398">
        <f>report_47_flagged!AM28</f>
        <v>2270.8000000000002</v>
      </c>
      <c r="E36" s="44" t="str">
        <f>report_47_flagged!D28</f>
        <v>McLane-PARFLUX-Mark78H-21 ; frame# 12419-02, controller# 12419-02 and Motor # 12419-02 Cup set ABx21</v>
      </c>
      <c r="F36" s="44"/>
      <c r="G36" s="44"/>
      <c r="H36" s="44">
        <f>report_47_flagged!C28</f>
        <v>2</v>
      </c>
      <c r="I36" s="44">
        <f>report_47_flagged!F28</f>
        <v>1</v>
      </c>
      <c r="J36" s="63">
        <f>report_47_flagged!AC28</f>
        <v>44713</v>
      </c>
      <c r="K36" s="63">
        <f>report_47_flagged!AD28</f>
        <v>44730</v>
      </c>
      <c r="L36" s="63">
        <f>report_47_flagged!AE28</f>
        <v>44721.5</v>
      </c>
      <c r="M36" s="398">
        <f>report_47_flagged!AF28</f>
        <v>17</v>
      </c>
      <c r="N36" s="208">
        <f>report_47_flagged!H28</f>
        <v>34.450420168067225</v>
      </c>
      <c r="O36" s="208">
        <f t="shared" si="0"/>
        <v>2.0670252100840333E-2</v>
      </c>
      <c r="P36" s="208">
        <f>report_47_flagged!J28</f>
        <v>3</v>
      </c>
      <c r="Q36" s="453">
        <f>report_47_flagged!BA28</f>
        <v>39.154003437760188</v>
      </c>
      <c r="R36" s="453">
        <f t="shared" si="1"/>
        <v>0.86138807563072406</v>
      </c>
      <c r="S36" s="454">
        <f>report_47_flagged!BB28</f>
        <v>2</v>
      </c>
      <c r="T36" s="453">
        <f>report_47_flagged!BC28</f>
        <v>8.5399999999999991</v>
      </c>
      <c r="U36" s="453">
        <f t="shared" si="2"/>
        <v>0.24765999999999999</v>
      </c>
      <c r="V36" s="454">
        <f>report_47_flagged!BD28</f>
        <v>1</v>
      </c>
      <c r="W36" s="399">
        <f>(report_47_flagged!N28/100)*report_47_flagged!H28</f>
        <v>5.0026272887221896</v>
      </c>
      <c r="X36" s="399">
        <f t="shared" si="3"/>
        <v>0.10509804397825921</v>
      </c>
      <c r="Y36" s="398">
        <f>report_47_flagged!AP28</f>
        <v>3</v>
      </c>
      <c r="Z36" s="399">
        <f>(report_47_flagged!P28/100)*report_47_flagged!H28</f>
        <v>0.33630302508939214</v>
      </c>
      <c r="AA36" s="399">
        <f t="shared" si="4"/>
        <v>1.2781107868451049E-2</v>
      </c>
      <c r="AB36" s="398">
        <f>report_47_flagged!AR28</f>
        <v>3</v>
      </c>
      <c r="AC36" s="399">
        <f>(report_47_flagged!R28/100)*report_47_flagged!H28</f>
        <v>1.9516663482284609</v>
      </c>
      <c r="AD36" s="399">
        <f t="shared" si="5"/>
        <v>5.4659202736973264E-2</v>
      </c>
      <c r="AE36" s="398">
        <f>report_47_flagged!AT28</f>
        <v>3</v>
      </c>
      <c r="AF36" s="399">
        <f>(report_47_flagged!L28/100)*report_47_flagged!H28</f>
        <v>3.0509609404937295</v>
      </c>
      <c r="AG36" s="399">
        <f t="shared" si="6"/>
        <v>5.7997154507516885E-2</v>
      </c>
      <c r="AH36" s="398">
        <f>report_47_flagged!AV28</f>
        <v>3</v>
      </c>
      <c r="AI36" s="399">
        <f>(report_47_flagged!T28/100)*report_47_flagged!H28</f>
        <v>1.1166096630328024</v>
      </c>
      <c r="AJ36" s="399">
        <f t="shared" si="7"/>
        <v>5.4717975166279458E-2</v>
      </c>
      <c r="AK36" s="398">
        <f>report_47_flagged!AX28</f>
        <v>3</v>
      </c>
    </row>
    <row r="37" spans="1:37" ht="15.5">
      <c r="A37" s="44">
        <v>2022</v>
      </c>
      <c r="B37" s="44" t="str">
        <f>LEFT(report_47_flagged!B29,2)</f>
        <v>47</v>
      </c>
      <c r="C37" s="44">
        <f>report_47_flagged!E29</f>
        <v>2000</v>
      </c>
      <c r="D37" s="398">
        <f>report_47_flagged!AM29</f>
        <v>2270.8000000000002</v>
      </c>
      <c r="E37" s="44" t="str">
        <f>report_47_flagged!D29</f>
        <v>McLane-PARFLUX-Mark78H-21 ; frame# 12419-02, controller# 12419-02 and Motor # 12419-02 Cup set ABx21</v>
      </c>
      <c r="F37" s="44"/>
      <c r="G37" s="44"/>
      <c r="H37" s="44">
        <f>report_47_flagged!C29</f>
        <v>3</v>
      </c>
      <c r="I37" s="44">
        <f>report_47_flagged!F29</f>
        <v>1</v>
      </c>
      <c r="J37" s="63">
        <f>report_47_flagged!AC29</f>
        <v>44730</v>
      </c>
      <c r="K37" s="63">
        <f>report_47_flagged!AD29</f>
        <v>44747</v>
      </c>
      <c r="L37" s="63">
        <f>report_47_flagged!AE29</f>
        <v>44738.5</v>
      </c>
      <c r="M37" s="398">
        <f>report_47_flagged!AF29</f>
        <v>17</v>
      </c>
      <c r="N37" s="208">
        <f>report_47_flagged!H29</f>
        <v>23.072268907563029</v>
      </c>
      <c r="O37" s="208">
        <f t="shared" si="0"/>
        <v>1.3843361344537815E-2</v>
      </c>
      <c r="P37" s="208">
        <f>report_47_flagged!J29</f>
        <v>3</v>
      </c>
      <c r="Q37" s="453">
        <f>report_47_flagged!BA29</f>
        <v>39.662176507611733</v>
      </c>
      <c r="R37" s="453">
        <f t="shared" si="1"/>
        <v>0.87256788316745804</v>
      </c>
      <c r="S37" s="454">
        <f>report_47_flagged!BB29</f>
        <v>2</v>
      </c>
      <c r="T37" s="453">
        <f>report_47_flagged!BC29</f>
        <v>8.6</v>
      </c>
      <c r="U37" s="453">
        <f t="shared" si="2"/>
        <v>0.24940000000000001</v>
      </c>
      <c r="V37" s="454">
        <f>report_47_flagged!BD29</f>
        <v>1</v>
      </c>
      <c r="W37" s="399">
        <f>(report_47_flagged!N29/100)*report_47_flagged!H29</f>
        <v>3.2589141963670238</v>
      </c>
      <c r="X37" s="399">
        <f t="shared" si="3"/>
        <v>6.8465125975563174E-2</v>
      </c>
      <c r="Y37" s="398">
        <f>report_47_flagged!AP29</f>
        <v>3</v>
      </c>
      <c r="Z37" s="399">
        <f>(report_47_flagged!P29/100)*report_47_flagged!H29</f>
        <v>0.20561501485359773</v>
      </c>
      <c r="AA37" s="399">
        <f t="shared" si="4"/>
        <v>7.8143444695998685E-3</v>
      </c>
      <c r="AB37" s="398">
        <f>report_47_flagged!AR29</f>
        <v>3</v>
      </c>
      <c r="AC37" s="399">
        <f>(report_47_flagged!R29/100)*report_47_flagged!H29</f>
        <v>1.2695425224338217</v>
      </c>
      <c r="AD37" s="399">
        <f t="shared" si="5"/>
        <v>3.5555351036260056E-2</v>
      </c>
      <c r="AE37" s="398">
        <f>report_47_flagged!AT29</f>
        <v>3</v>
      </c>
      <c r="AF37" s="399">
        <f>(report_47_flagged!L29/100)*report_47_flagged!H29</f>
        <v>1.9893716739332021</v>
      </c>
      <c r="AG37" s="399">
        <f t="shared" si="6"/>
        <v>3.7816903787470352E-2</v>
      </c>
      <c r="AH37" s="398">
        <f>report_47_flagged!AV29</f>
        <v>3</v>
      </c>
      <c r="AI37" s="399">
        <f>(report_47_flagged!T29/100)*report_47_flagged!H29</f>
        <v>0.75398627567481402</v>
      </c>
      <c r="AJ37" s="399">
        <f t="shared" si="7"/>
        <v>3.6948097149753951E-2</v>
      </c>
      <c r="AK37" s="398">
        <f>report_47_flagged!AX29</f>
        <v>3</v>
      </c>
    </row>
    <row r="38" spans="1:37" ht="15.5">
      <c r="A38" s="44">
        <v>2022</v>
      </c>
      <c r="B38" s="44" t="str">
        <f>LEFT(report_47_flagged!B30,2)</f>
        <v>47</v>
      </c>
      <c r="C38" s="44">
        <f>report_47_flagged!E30</f>
        <v>2000</v>
      </c>
      <c r="D38" s="398">
        <f>report_47_flagged!AM30</f>
        <v>2270.8000000000002</v>
      </c>
      <c r="E38" s="44" t="str">
        <f>report_47_flagged!D30</f>
        <v>McLane-PARFLUX-Mark78H-21 ; frame# 12419-02, controller# 12419-02 and Motor # 12419-02 Cup set ABx21</v>
      </c>
      <c r="F38" s="44"/>
      <c r="G38" s="44"/>
      <c r="H38" s="44">
        <f>report_47_flagged!C30</f>
        <v>4</v>
      </c>
      <c r="I38" s="44">
        <f>report_47_flagged!F30</f>
        <v>1</v>
      </c>
      <c r="J38" s="63">
        <f>report_47_flagged!AC30</f>
        <v>44747</v>
      </c>
      <c r="K38" s="63">
        <f>report_47_flagged!AD30</f>
        <v>44764</v>
      </c>
      <c r="L38" s="63">
        <f>report_47_flagged!AE30</f>
        <v>44755.5</v>
      </c>
      <c r="M38" s="398">
        <f>report_47_flagged!AF30</f>
        <v>17</v>
      </c>
      <c r="N38" s="208">
        <f>report_47_flagged!H30</f>
        <v>15.08403361344538</v>
      </c>
      <c r="O38" s="208">
        <f t="shared" si="0"/>
        <v>9.0504201680672268E-3</v>
      </c>
      <c r="P38" s="208">
        <f>report_47_flagged!J30</f>
        <v>3</v>
      </c>
      <c r="Q38" s="453">
        <f>report_47_flagged!BA30</f>
        <v>39.734815737579275</v>
      </c>
      <c r="R38" s="453">
        <f t="shared" si="1"/>
        <v>0.87416594622674404</v>
      </c>
      <c r="S38" s="454">
        <f>report_47_flagged!BB30</f>
        <v>2</v>
      </c>
      <c r="T38" s="453">
        <f>report_47_flagged!BC30</f>
        <v>8.59</v>
      </c>
      <c r="U38" s="453">
        <f t="shared" si="2"/>
        <v>0.24911</v>
      </c>
      <c r="V38" s="454">
        <f>report_47_flagged!BD30</f>
        <v>1</v>
      </c>
      <c r="W38" s="399">
        <f>(report_47_flagged!N30/100)*report_47_flagged!H30</f>
        <v>2.1115011680026017</v>
      </c>
      <c r="X38" s="399">
        <f t="shared" si="3"/>
        <v>4.4359619417413426E-2</v>
      </c>
      <c r="Y38" s="398">
        <f>report_47_flagged!AP30</f>
        <v>3</v>
      </c>
      <c r="Z38" s="399">
        <f>(report_47_flagged!P30/100)*report_47_flagged!H30</f>
        <v>0.13515628992008563</v>
      </c>
      <c r="AA38" s="399">
        <f t="shared" si="4"/>
        <v>5.1365791910705765E-3</v>
      </c>
      <c r="AB38" s="398">
        <f>report_47_flagged!AR30</f>
        <v>3</v>
      </c>
      <c r="AC38" s="399">
        <f>(report_47_flagged!R30/100)*report_47_flagged!H30</f>
        <v>0.829203157463139</v>
      </c>
      <c r="AD38" s="399">
        <f t="shared" si="5"/>
        <v>2.3223018388904726E-2</v>
      </c>
      <c r="AE38" s="398">
        <f>report_47_flagged!AT30</f>
        <v>3</v>
      </c>
      <c r="AF38" s="399">
        <f>(report_47_flagged!L30/100)*report_47_flagged!H30</f>
        <v>1.2822980105394628</v>
      </c>
      <c r="AG38" s="399">
        <f t="shared" si="6"/>
        <v>2.4375807259565795E-2</v>
      </c>
      <c r="AH38" s="398">
        <f>report_47_flagged!AV30</f>
        <v>3</v>
      </c>
      <c r="AI38" s="399">
        <f>(report_47_flagged!T30/100)*report_47_flagged!H30</f>
        <v>0.57226405562656424</v>
      </c>
      <c r="AJ38" s="399">
        <f t="shared" si="7"/>
        <v>2.8043040841398154E-2</v>
      </c>
      <c r="AK38" s="398">
        <f>report_47_flagged!AX30</f>
        <v>3</v>
      </c>
    </row>
    <row r="39" spans="1:37" ht="15.5">
      <c r="A39" s="44">
        <v>2022</v>
      </c>
      <c r="B39" s="44" t="str">
        <f>LEFT(report_47_flagged!B31,2)</f>
        <v>47</v>
      </c>
      <c r="C39" s="44">
        <f>report_47_flagged!E31</f>
        <v>2000</v>
      </c>
      <c r="D39" s="398">
        <f>report_47_flagged!AM31</f>
        <v>2270.8000000000002</v>
      </c>
      <c r="E39" s="44" t="str">
        <f>report_47_flagged!D31</f>
        <v>McLane-PARFLUX-Mark78H-21 ; frame# 12419-02, controller# 12419-02 and Motor # 12419-02 Cup set ABx21</v>
      </c>
      <c r="F39" s="44"/>
      <c r="G39" s="44"/>
      <c r="H39" s="44">
        <f>report_47_flagged!C31</f>
        <v>5</v>
      </c>
      <c r="I39" s="44">
        <f>report_47_flagged!F31</f>
        <v>1</v>
      </c>
      <c r="J39" s="63">
        <f>report_47_flagged!AC31</f>
        <v>44764</v>
      </c>
      <c r="K39" s="63">
        <f>report_47_flagged!AD31</f>
        <v>44781</v>
      </c>
      <c r="L39" s="63">
        <f>report_47_flagged!AE31</f>
        <v>44772.5</v>
      </c>
      <c r="M39" s="398">
        <f>report_47_flagged!AF31</f>
        <v>17</v>
      </c>
      <c r="N39" s="208">
        <f>report_47_flagged!H31</f>
        <v>42.579831932773097</v>
      </c>
      <c r="O39" s="208">
        <f t="shared" si="0"/>
        <v>2.5547899159663854E-2</v>
      </c>
      <c r="P39" s="208">
        <f>report_47_flagged!J31</f>
        <v>3</v>
      </c>
      <c r="Q39" s="453">
        <f>report_47_flagged!BA31</f>
        <v>38.791347926916671</v>
      </c>
      <c r="R39" s="453">
        <f t="shared" si="1"/>
        <v>0.85340965439216676</v>
      </c>
      <c r="S39" s="454">
        <f>report_47_flagged!BB31</f>
        <v>2</v>
      </c>
      <c r="T39" s="453">
        <f>report_47_flagged!BC31</f>
        <v>8.59</v>
      </c>
      <c r="U39" s="453">
        <f t="shared" si="2"/>
        <v>0.24911</v>
      </c>
      <c r="V39" s="454">
        <f>report_47_flagged!BD31</f>
        <v>1</v>
      </c>
      <c r="W39" s="399">
        <f>(report_47_flagged!N31/100)*report_47_flagged!H31</f>
        <v>5.6477949726681729</v>
      </c>
      <c r="X39" s="399">
        <f t="shared" si="3"/>
        <v>0.11865209422173159</v>
      </c>
      <c r="Y39" s="398">
        <f>report_47_flagged!AP31</f>
        <v>3</v>
      </c>
      <c r="Z39" s="399">
        <f>(report_47_flagged!P31/100)*report_47_flagged!H31</f>
        <v>0.30999723543639934</v>
      </c>
      <c r="AA39" s="399">
        <f t="shared" si="4"/>
        <v>1.178136326303064E-2</v>
      </c>
      <c r="AB39" s="398">
        <f>report_47_flagged!AR31</f>
        <v>3</v>
      </c>
      <c r="AC39" s="399">
        <f>(report_47_flagged!R31/100)*report_47_flagged!H31</f>
        <v>1.9603062328932441</v>
      </c>
      <c r="AD39" s="399">
        <f t="shared" si="5"/>
        <v>5.4901175043328351E-2</v>
      </c>
      <c r="AE39" s="398">
        <f>report_47_flagged!AT31</f>
        <v>3</v>
      </c>
      <c r="AF39" s="399">
        <f>(report_47_flagged!L31/100)*report_47_flagged!H31</f>
        <v>3.6874887397749294</v>
      </c>
      <c r="AG39" s="399">
        <f t="shared" si="6"/>
        <v>7.0097211454580685E-2</v>
      </c>
      <c r="AH39" s="398">
        <f>report_47_flagged!AV31</f>
        <v>3</v>
      </c>
      <c r="AI39" s="399">
        <f>(report_47_flagged!T31/100)*report_47_flagged!H31</f>
        <v>1.7721742430774261</v>
      </c>
      <c r="AJ39" s="399">
        <f t="shared" si="7"/>
        <v>8.6843047694619521E-2</v>
      </c>
      <c r="AK39" s="398">
        <f>report_47_flagged!AX31</f>
        <v>3</v>
      </c>
    </row>
    <row r="40" spans="1:37" ht="15.5">
      <c r="A40" s="44">
        <v>2022</v>
      </c>
      <c r="B40" s="44" t="str">
        <f>LEFT(report_47_flagged!B32,2)</f>
        <v>47</v>
      </c>
      <c r="C40" s="44">
        <f>report_47_flagged!E32</f>
        <v>2000</v>
      </c>
      <c r="D40" s="398">
        <f>report_47_flagged!AM32</f>
        <v>2270.8000000000002</v>
      </c>
      <c r="E40" s="44" t="str">
        <f>report_47_flagged!D32</f>
        <v>McLane-PARFLUX-Mark78H-21 ; frame# 12419-02, controller# 12419-02 and Motor # 12419-02 Cup set ABx21</v>
      </c>
      <c r="F40" s="44"/>
      <c r="G40" s="44"/>
      <c r="H40" s="44">
        <f>report_47_flagged!C32</f>
        <v>6</v>
      </c>
      <c r="I40" s="44">
        <f>report_47_flagged!F32</f>
        <v>1</v>
      </c>
      <c r="J40" s="63">
        <f>report_47_flagged!AC32</f>
        <v>44781</v>
      </c>
      <c r="K40" s="63">
        <f>report_47_flagged!AD32</f>
        <v>44798</v>
      </c>
      <c r="L40" s="63">
        <f>report_47_flagged!AE32</f>
        <v>44789.5</v>
      </c>
      <c r="M40" s="398">
        <f>report_47_flagged!AF32</f>
        <v>17</v>
      </c>
      <c r="N40" s="208">
        <f>report_47_flagged!H32</f>
        <v>25.638655462184875</v>
      </c>
      <c r="O40" s="208">
        <f t="shared" si="0"/>
        <v>1.5383193277310924E-2</v>
      </c>
      <c r="P40" s="208">
        <f>report_47_flagged!J32</f>
        <v>3</v>
      </c>
      <c r="Q40" s="453">
        <f>report_47_flagged!BA32</f>
        <v>39.299141730671622</v>
      </c>
      <c r="R40" s="453">
        <f t="shared" si="1"/>
        <v>0.86458111807477567</v>
      </c>
      <c r="S40" s="454">
        <f>report_47_flagged!BB32</f>
        <v>2</v>
      </c>
      <c r="T40" s="453">
        <f>report_47_flagged!BC32</f>
        <v>8.6</v>
      </c>
      <c r="U40" s="453">
        <f t="shared" si="2"/>
        <v>0.24940000000000001</v>
      </c>
      <c r="V40" s="454">
        <f>report_47_flagged!BD32</f>
        <v>1</v>
      </c>
      <c r="W40" s="399">
        <f>(report_47_flagged!N32/100)*report_47_flagged!H32</f>
        <v>3.3450538437306379</v>
      </c>
      <c r="X40" s="399">
        <f t="shared" si="3"/>
        <v>7.0274796759413477E-2</v>
      </c>
      <c r="Y40" s="398">
        <f>report_47_flagged!AP32</f>
        <v>3</v>
      </c>
      <c r="Z40" s="399">
        <f>(report_47_flagged!P32/100)*report_47_flagged!H32</f>
        <v>0.18339343081502354</v>
      </c>
      <c r="AA40" s="399">
        <f t="shared" si="4"/>
        <v>6.9698190225588466E-3</v>
      </c>
      <c r="AB40" s="398">
        <f>report_47_flagged!AR32</f>
        <v>3</v>
      </c>
      <c r="AC40" s="399">
        <f>(report_47_flagged!R32/100)*report_47_flagged!H32</f>
        <v>1.1477357338292282</v>
      </c>
      <c r="AD40" s="399">
        <f t="shared" si="5"/>
        <v>3.2143978001559992E-2</v>
      </c>
      <c r="AE40" s="398">
        <f>report_47_flagged!AT32</f>
        <v>3</v>
      </c>
      <c r="AF40" s="399">
        <f>(report_47_flagged!L32/100)*report_47_flagged!H32</f>
        <v>2.1973181099014099</v>
      </c>
      <c r="AG40" s="399">
        <f t="shared" si="6"/>
        <v>4.1769855598837669E-2</v>
      </c>
      <c r="AH40" s="398">
        <f>report_47_flagged!AV32</f>
        <v>3</v>
      </c>
      <c r="AI40" s="399">
        <f>(report_47_flagged!T32/100)*report_47_flagged!H32</f>
        <v>1.353267318851358</v>
      </c>
      <c r="AJ40" s="399">
        <f t="shared" si="7"/>
        <v>6.6315069623457928E-2</v>
      </c>
      <c r="AK40" s="398">
        <f>report_47_flagged!AX32</f>
        <v>3</v>
      </c>
    </row>
    <row r="41" spans="1:37" ht="15.5">
      <c r="A41" s="44">
        <v>2022</v>
      </c>
      <c r="B41" s="44" t="str">
        <f>LEFT(report_47_flagged!B33,2)</f>
        <v>47</v>
      </c>
      <c r="C41" s="44">
        <f>report_47_flagged!E33</f>
        <v>2000</v>
      </c>
      <c r="D41" s="398">
        <f>report_47_flagged!AM33</f>
        <v>2270.8000000000002</v>
      </c>
      <c r="E41" s="44" t="str">
        <f>report_47_flagged!D33</f>
        <v>McLane-PARFLUX-Mark78H-21 ; frame# 12419-02, controller# 12419-02 and Motor # 12419-02 Cup set ABx21</v>
      </c>
      <c r="F41" s="44"/>
      <c r="G41" s="44"/>
      <c r="H41" s="44">
        <f>report_47_flagged!C33</f>
        <v>7</v>
      </c>
      <c r="I41" s="44">
        <f>report_47_flagged!F33</f>
        <v>1</v>
      </c>
      <c r="J41" s="63">
        <f>report_47_flagged!AC33</f>
        <v>44798</v>
      </c>
      <c r="K41" s="63">
        <f>report_47_flagged!AD33</f>
        <v>44815</v>
      </c>
      <c r="L41" s="63">
        <f>report_47_flagged!AE33</f>
        <v>44806.5</v>
      </c>
      <c r="M41" s="398">
        <f>report_47_flagged!AF33</f>
        <v>17</v>
      </c>
      <c r="N41" s="208">
        <f>report_47_flagged!H33</f>
        <v>28.302521008403357</v>
      </c>
      <c r="O41" s="208">
        <f t="shared" si="0"/>
        <v>1.6981512605042014E-2</v>
      </c>
      <c r="P41" s="208">
        <f>report_47_flagged!J33</f>
        <v>3</v>
      </c>
      <c r="Q41" s="453">
        <f>report_47_flagged!BA33</f>
        <v>39.807465687206999</v>
      </c>
      <c r="R41" s="453">
        <f t="shared" si="1"/>
        <v>0.87576424511855389</v>
      </c>
      <c r="S41" s="454">
        <f>report_47_flagged!BB33</f>
        <v>2</v>
      </c>
      <c r="T41" s="453">
        <f>report_47_flagged!BC33</f>
        <v>8.6199999999999992</v>
      </c>
      <c r="U41" s="453">
        <f t="shared" si="2"/>
        <v>0.24997999999999998</v>
      </c>
      <c r="V41" s="454">
        <f>report_47_flagged!BD33</f>
        <v>1</v>
      </c>
      <c r="W41" s="399">
        <f>(report_47_flagged!N33/100)*report_47_flagged!H33</f>
        <v>3.7139649687694893</v>
      </c>
      <c r="X41" s="399">
        <f t="shared" si="3"/>
        <v>7.8025091835524515E-2</v>
      </c>
      <c r="Y41" s="398">
        <f>report_47_flagged!AP33</f>
        <v>3</v>
      </c>
      <c r="Z41" s="399">
        <f>(report_47_flagged!P33/100)*report_47_flagged!H33</f>
        <v>0.21276279934314116</v>
      </c>
      <c r="AA41" s="399">
        <f t="shared" si="4"/>
        <v>8.0859941360190528E-3</v>
      </c>
      <c r="AB41" s="398">
        <f>report_47_flagged!AR33</f>
        <v>3</v>
      </c>
      <c r="AC41" s="399">
        <f>(report_47_flagged!R33/100)*report_47_flagged!H33</f>
        <v>1.3395865193906615</v>
      </c>
      <c r="AD41" s="399">
        <f t="shared" si="5"/>
        <v>3.7517033182210384E-2</v>
      </c>
      <c r="AE41" s="398">
        <f>report_47_flagged!AT33</f>
        <v>3</v>
      </c>
      <c r="AF41" s="399">
        <f>(report_47_flagged!L33/100)*report_47_flagged!H33</f>
        <v>2.374378449378828</v>
      </c>
      <c r="AG41" s="399">
        <f t="shared" si="6"/>
        <v>4.5135679044667622E-2</v>
      </c>
      <c r="AH41" s="398">
        <f>report_47_flagged!AV33</f>
        <v>3</v>
      </c>
      <c r="AI41" s="399">
        <f>(report_47_flagged!T33/100)*report_47_flagged!H33</f>
        <v>1.5788963025180187</v>
      </c>
      <c r="AJ41" s="399">
        <f t="shared" si="7"/>
        <v>7.7371718633222522E-2</v>
      </c>
      <c r="AK41" s="398">
        <f>report_47_flagged!AX33</f>
        <v>3</v>
      </c>
    </row>
    <row r="42" spans="1:37" ht="15.5">
      <c r="A42" s="44">
        <v>2022</v>
      </c>
      <c r="B42" s="44" t="str">
        <f>LEFT(report_47_flagged!B34,2)</f>
        <v>47</v>
      </c>
      <c r="C42" s="44">
        <f>report_47_flagged!E34</f>
        <v>2000</v>
      </c>
      <c r="D42" s="398">
        <f>report_47_flagged!AM34</f>
        <v>2270.8000000000002</v>
      </c>
      <c r="E42" s="44" t="str">
        <f>report_47_flagged!D34</f>
        <v>McLane-PARFLUX-Mark78H-21 ; frame# 12419-02, controller# 12419-02 and Motor # 12419-02 Cup set ABx21</v>
      </c>
      <c r="F42" s="44"/>
      <c r="G42" s="44"/>
      <c r="H42" s="44">
        <f>report_47_flagged!C34</f>
        <v>8</v>
      </c>
      <c r="I42" s="44">
        <f>report_47_flagged!F34</f>
        <v>1</v>
      </c>
      <c r="J42" s="63">
        <f>report_47_flagged!AC34</f>
        <v>44815</v>
      </c>
      <c r="K42" s="63">
        <f>report_47_flagged!AD34</f>
        <v>44832</v>
      </c>
      <c r="L42" s="63">
        <f>report_47_flagged!AE34</f>
        <v>44823.5</v>
      </c>
      <c r="M42" s="398">
        <f>report_47_flagged!AF34</f>
        <v>17</v>
      </c>
      <c r="N42" s="208">
        <f>report_47_flagged!H34</f>
        <v>43.620168067226892</v>
      </c>
      <c r="O42" s="208">
        <f t="shared" si="0"/>
        <v>2.6172100840336134E-2</v>
      </c>
      <c r="P42" s="208">
        <f>report_47_flagged!J34</f>
        <v>3</v>
      </c>
      <c r="Q42" s="453">
        <f>report_47_flagged!BA34</f>
        <v>39.807465687206999</v>
      </c>
      <c r="R42" s="453">
        <f t="shared" si="1"/>
        <v>0.87576424511855389</v>
      </c>
      <c r="S42" s="454">
        <f>report_47_flagged!BB34</f>
        <v>2</v>
      </c>
      <c r="T42" s="453">
        <f>report_47_flagged!BC34</f>
        <v>8.6</v>
      </c>
      <c r="U42" s="453">
        <f t="shared" si="2"/>
        <v>0.24940000000000001</v>
      </c>
      <c r="V42" s="454">
        <f>report_47_flagged!BD34</f>
        <v>1</v>
      </c>
      <c r="W42" s="399">
        <f>(report_47_flagged!N34/100)*report_47_flagged!H34</f>
        <v>5.6287453625462636</v>
      </c>
      <c r="X42" s="399">
        <f t="shared" si="3"/>
        <v>0.11825188916010836</v>
      </c>
      <c r="Y42" s="398">
        <f>report_47_flagged!AP34</f>
        <v>3</v>
      </c>
      <c r="Z42" s="399">
        <f>(report_47_flagged!P34/100)*report_47_flagged!H34</f>
        <v>0.31220876982432455</v>
      </c>
      <c r="AA42" s="399">
        <f t="shared" si="4"/>
        <v>1.1865412044808168E-2</v>
      </c>
      <c r="AB42" s="398">
        <f>report_47_flagged!AR34</f>
        <v>3</v>
      </c>
      <c r="AC42" s="399">
        <f>(report_47_flagged!R34/100)*report_47_flagged!H34</f>
        <v>1.9689901779676231</v>
      </c>
      <c r="AD42" s="399">
        <f t="shared" si="5"/>
        <v>5.5144381324365103E-2</v>
      </c>
      <c r="AE42" s="398">
        <f>report_47_flagged!AT34</f>
        <v>3</v>
      </c>
      <c r="AF42" s="399">
        <f>(report_47_flagged!L34/100)*report_47_flagged!H34</f>
        <v>3.6597551845786405</v>
      </c>
      <c r="AG42" s="399">
        <f t="shared" si="6"/>
        <v>6.9570011232377368E-2</v>
      </c>
      <c r="AH42" s="398">
        <f>report_47_flagged!AV34</f>
        <v>3</v>
      </c>
      <c r="AI42" s="399">
        <f>(report_47_flagged!T34/100)*report_47_flagged!H34</f>
        <v>2.6770870530529445</v>
      </c>
      <c r="AJ42" s="399">
        <f t="shared" si="7"/>
        <v>0.13118709942833087</v>
      </c>
      <c r="AK42" s="398">
        <f>report_47_flagged!AX34</f>
        <v>3</v>
      </c>
    </row>
    <row r="43" spans="1:37" ht="15.5">
      <c r="A43" s="44">
        <v>2022</v>
      </c>
      <c r="B43" s="44" t="str">
        <f>LEFT(report_47_flagged!B35,2)</f>
        <v>47</v>
      </c>
      <c r="C43" s="44">
        <f>report_47_flagged!E35</f>
        <v>2000</v>
      </c>
      <c r="D43" s="398">
        <f>report_47_flagged!AM35</f>
        <v>2270.8000000000002</v>
      </c>
      <c r="E43" s="44" t="str">
        <f>report_47_flagged!D35</f>
        <v>McLane-PARFLUX-Mark78H-21 ; frame# 12419-02, controller# 12419-02 and Motor # 12419-02 Cup set ABx21</v>
      </c>
      <c r="F43" s="44"/>
      <c r="G43" s="44"/>
      <c r="H43" s="44">
        <f>report_47_flagged!C35</f>
        <v>9</v>
      </c>
      <c r="I43" s="44">
        <f>report_47_flagged!F35</f>
        <v>1</v>
      </c>
      <c r="J43" s="63">
        <f>report_47_flagged!AC35</f>
        <v>44832</v>
      </c>
      <c r="K43" s="63">
        <f>report_47_flagged!AD35</f>
        <v>44849</v>
      </c>
      <c r="L43" s="63">
        <f>report_47_flagged!AE35</f>
        <v>44840.5</v>
      </c>
      <c r="M43" s="398">
        <f>report_47_flagged!AF35</f>
        <v>17</v>
      </c>
      <c r="N43" s="208">
        <f>report_47_flagged!H35</f>
        <v>45.463865546218493</v>
      </c>
      <c r="O43" s="208">
        <f t="shared" si="0"/>
        <v>2.7278319327731095E-2</v>
      </c>
      <c r="P43" s="208">
        <f>report_47_flagged!J35</f>
        <v>3</v>
      </c>
      <c r="Q43" s="453">
        <f>report_47_flagged!BA35</f>
        <v>39.516930272554035</v>
      </c>
      <c r="R43" s="453">
        <f t="shared" si="1"/>
        <v>0.86937246599618867</v>
      </c>
      <c r="S43" s="454">
        <f>report_47_flagged!BB35</f>
        <v>2</v>
      </c>
      <c r="T43" s="453">
        <f>report_47_flagged!BC35</f>
        <v>8.61</v>
      </c>
      <c r="U43" s="453">
        <f t="shared" si="2"/>
        <v>0.24969</v>
      </c>
      <c r="V43" s="454">
        <f>report_47_flagged!BD35</f>
        <v>1</v>
      </c>
      <c r="W43" s="399">
        <f>(report_47_flagged!N35/100)*report_47_flagged!H35</f>
        <v>5.7116313737821178</v>
      </c>
      <c r="X43" s="399">
        <f t="shared" si="3"/>
        <v>0.11999320570265522</v>
      </c>
      <c r="Y43" s="398">
        <f>report_47_flagged!AP35</f>
        <v>3</v>
      </c>
      <c r="Z43" s="399">
        <f>(report_47_flagged!P35/100)*report_47_flagged!H35</f>
        <v>0.27225207203576551</v>
      </c>
      <c r="AA43" s="399">
        <f t="shared" si="4"/>
        <v>1.0346868272069499E-2</v>
      </c>
      <c r="AB43" s="398">
        <f>report_47_flagged!AR35</f>
        <v>3</v>
      </c>
      <c r="AC43" s="399">
        <f>(report_47_flagged!R35/100)*report_47_flagged!H35</f>
        <v>1.7591173730522738</v>
      </c>
      <c r="AD43" s="399">
        <f t="shared" si="5"/>
        <v>4.926659375926308E-2</v>
      </c>
      <c r="AE43" s="398">
        <f>report_47_flagged!AT35</f>
        <v>3</v>
      </c>
      <c r="AF43" s="399">
        <f>(report_47_flagged!L35/100)*report_47_flagged!H35</f>
        <v>3.9525140007298445</v>
      </c>
      <c r="AG43" s="399">
        <f t="shared" si="6"/>
        <v>7.5135201552713429E-2</v>
      </c>
      <c r="AH43" s="398">
        <f>report_47_flagged!AV35</f>
        <v>3</v>
      </c>
      <c r="AI43" s="399">
        <f>(report_47_flagged!T35/100)*report_47_flagged!H35</f>
        <v>2.6103098064593406</v>
      </c>
      <c r="AJ43" s="399">
        <f t="shared" si="7"/>
        <v>0.1279147690502675</v>
      </c>
      <c r="AK43" s="398">
        <f>report_47_flagged!AX35</f>
        <v>3</v>
      </c>
    </row>
    <row r="44" spans="1:37" ht="15.5">
      <c r="A44" s="44">
        <v>2022</v>
      </c>
      <c r="B44" s="44" t="str">
        <f>LEFT(report_47_flagged!B36,2)</f>
        <v>47</v>
      </c>
      <c r="C44" s="44">
        <f>report_47_flagged!E36</f>
        <v>2000</v>
      </c>
      <c r="D44" s="398">
        <f>report_47_flagged!AM36</f>
        <v>2270.8000000000002</v>
      </c>
      <c r="E44" s="44" t="str">
        <f>report_47_flagged!D36</f>
        <v>McLane-PARFLUX-Mark78H-21 ; frame# 12419-02, controller# 12419-02 and Motor # 12419-02 Cup set ABx21</v>
      </c>
      <c r="F44" s="44"/>
      <c r="G44" s="44"/>
      <c r="H44" s="44">
        <f>report_47_flagged!C36</f>
        <v>10</v>
      </c>
      <c r="I44" s="44">
        <f>report_47_flagged!F36</f>
        <v>1</v>
      </c>
      <c r="J44" s="63">
        <f>report_47_flagged!AC36</f>
        <v>44849</v>
      </c>
      <c r="K44" s="63">
        <f>report_47_flagged!AD36</f>
        <v>44866</v>
      </c>
      <c r="L44" s="63">
        <f>report_47_flagged!AE36</f>
        <v>44857.5</v>
      </c>
      <c r="M44" s="398">
        <f>report_47_flagged!AF36</f>
        <v>17</v>
      </c>
      <c r="N44" s="208">
        <f>report_47_flagged!H36</f>
        <v>45.670588235294119</v>
      </c>
      <c r="O44" s="208">
        <f t="shared" si="0"/>
        <v>2.7402352941176468E-2</v>
      </c>
      <c r="P44" s="208">
        <f>report_47_flagged!J36</f>
        <v>3</v>
      </c>
      <c r="Q44" s="453">
        <f>report_47_flagged!BA36</f>
        <v>39.662176507611733</v>
      </c>
      <c r="R44" s="453">
        <f t="shared" si="1"/>
        <v>0.87256788316745804</v>
      </c>
      <c r="S44" s="454">
        <f>report_47_flagged!BB36</f>
        <v>2</v>
      </c>
      <c r="T44" s="453">
        <f>report_47_flagged!BC36</f>
        <v>8.52</v>
      </c>
      <c r="U44" s="453">
        <f t="shared" si="2"/>
        <v>0.24707999999999999</v>
      </c>
      <c r="V44" s="454">
        <f>report_47_flagged!BD36</f>
        <v>1</v>
      </c>
      <c r="W44" s="399">
        <f>(report_47_flagged!N36/100)*report_47_flagged!H36</f>
        <v>6.0476311777900245</v>
      </c>
      <c r="X44" s="399">
        <f t="shared" si="3"/>
        <v>0.12705208099762635</v>
      </c>
      <c r="Y44" s="398">
        <f>report_47_flagged!AP36</f>
        <v>3</v>
      </c>
      <c r="Z44" s="399">
        <f>(report_47_flagged!P36/100)*report_47_flagged!H36</f>
        <v>0.31596233119684108</v>
      </c>
      <c r="AA44" s="399">
        <f t="shared" si="4"/>
        <v>1.2008065155883315E-2</v>
      </c>
      <c r="AB44" s="398">
        <f>report_47_flagged!AR36</f>
        <v>3</v>
      </c>
      <c r="AC44" s="399">
        <f>(report_47_flagged!R36/100)*report_47_flagged!H36</f>
        <v>1.9016495848866639</v>
      </c>
      <c r="AD44" s="399">
        <f t="shared" si="5"/>
        <v>5.3258411863969769E-2</v>
      </c>
      <c r="AE44" s="398">
        <f>report_47_flagged!AT36</f>
        <v>3</v>
      </c>
      <c r="AF44" s="399">
        <f>(report_47_flagged!L36/100)*report_47_flagged!H36</f>
        <v>4.145981592903361</v>
      </c>
      <c r="AG44" s="399">
        <f t="shared" si="6"/>
        <v>7.8812918198167742E-2</v>
      </c>
      <c r="AH44" s="398">
        <f>report_47_flagged!AV36</f>
        <v>3</v>
      </c>
      <c r="AI44" s="399">
        <f>(report_47_flagged!T36/100)*report_47_flagged!H36</f>
        <v>1.980177812090903</v>
      </c>
      <c r="AJ44" s="399">
        <f t="shared" si="7"/>
        <v>9.7035986642383734E-2</v>
      </c>
      <c r="AK44" s="398">
        <f>report_47_flagged!AX36</f>
        <v>3</v>
      </c>
    </row>
    <row r="45" spans="1:37" ht="15.5">
      <c r="A45" s="44">
        <v>2022</v>
      </c>
      <c r="B45" s="44" t="str">
        <f>LEFT(report_47_flagged!B37,2)</f>
        <v>47</v>
      </c>
      <c r="C45" s="44">
        <f>report_47_flagged!E37</f>
        <v>2000</v>
      </c>
      <c r="D45" s="398">
        <f>report_47_flagged!AM37</f>
        <v>2270.8000000000002</v>
      </c>
      <c r="E45" s="44" t="str">
        <f>report_47_flagged!D37</f>
        <v>McLane-PARFLUX-Mark78H-21 ; frame# 12419-02, controller# 12419-02 and Motor # 12419-02 Cup set ABx21</v>
      </c>
      <c r="F45" s="44"/>
      <c r="G45" s="44"/>
      <c r="H45" s="44">
        <f>report_47_flagged!C37</f>
        <v>11</v>
      </c>
      <c r="I45" s="44">
        <f>report_47_flagged!F37</f>
        <v>1</v>
      </c>
      <c r="J45" s="63">
        <f>report_47_flagged!AC37</f>
        <v>44866</v>
      </c>
      <c r="K45" s="63">
        <f>report_47_flagged!AD37</f>
        <v>44883</v>
      </c>
      <c r="L45" s="63">
        <f>report_47_flagged!AE37</f>
        <v>44874.5</v>
      </c>
      <c r="M45" s="398">
        <f>report_47_flagged!AF37</f>
        <v>17</v>
      </c>
      <c r="N45" s="208">
        <f>report_47_flagged!H37</f>
        <v>35.109243697478995</v>
      </c>
      <c r="O45" s="208">
        <f t="shared" si="0"/>
        <v>2.1065546218487396E-2</v>
      </c>
      <c r="P45" s="208">
        <f>report_47_flagged!J37</f>
        <v>3</v>
      </c>
      <c r="Q45" s="453">
        <f>report_47_flagged!BA37</f>
        <v>39.880126340086932</v>
      </c>
      <c r="R45" s="453">
        <f t="shared" si="1"/>
        <v>0.87736277948191244</v>
      </c>
      <c r="S45" s="454">
        <f>report_47_flagged!BB37</f>
        <v>2</v>
      </c>
      <c r="T45" s="453">
        <f>report_47_flagged!BC37</f>
        <v>8.59</v>
      </c>
      <c r="U45" s="453">
        <f t="shared" si="2"/>
        <v>0.24911</v>
      </c>
      <c r="V45" s="454">
        <f>report_47_flagged!BD37</f>
        <v>1</v>
      </c>
      <c r="W45" s="399">
        <f>(report_47_flagged!N37/100)*report_47_flagged!H37</f>
        <v>4.4400582321551676</v>
      </c>
      <c r="X45" s="399">
        <f t="shared" si="3"/>
        <v>9.3279272753551232E-2</v>
      </c>
      <c r="Y45" s="398">
        <f>report_47_flagged!AP37</f>
        <v>3</v>
      </c>
      <c r="Z45" s="399">
        <f>(report_47_flagged!P37/100)*report_47_flagged!H37</f>
        <v>0.16756738616137948</v>
      </c>
      <c r="AA45" s="399">
        <f t="shared" si="4"/>
        <v>6.3683543649174787E-3</v>
      </c>
      <c r="AB45" s="398">
        <f>report_47_flagged!AR37</f>
        <v>3</v>
      </c>
      <c r="AC45" s="399">
        <f>(report_47_flagged!R37/100)*report_47_flagged!H37</f>
        <v>1.0810519160238989</v>
      </c>
      <c r="AD45" s="399">
        <f t="shared" si="5"/>
        <v>3.0276402470524492E-2</v>
      </c>
      <c r="AE45" s="398">
        <f>report_47_flagged!AT37</f>
        <v>3</v>
      </c>
      <c r="AF45" s="399">
        <f>(report_47_flagged!L37/100)*report_47_flagged!H37</f>
        <v>3.3590063161312682</v>
      </c>
      <c r="AG45" s="399">
        <f t="shared" si="6"/>
        <v>6.3852934242043816E-2</v>
      </c>
      <c r="AH45" s="398">
        <f>report_47_flagged!AV37</f>
        <v>3</v>
      </c>
      <c r="AI45" s="399">
        <f>(report_47_flagged!T37/100)*report_47_flagged!H37</f>
        <v>1.3379632111815041</v>
      </c>
      <c r="AJ45" s="399">
        <f t="shared" si="7"/>
        <v>6.5565112130571243E-2</v>
      </c>
      <c r="AK45" s="398">
        <f>report_47_flagged!AX37</f>
        <v>3</v>
      </c>
    </row>
    <row r="46" spans="1:37" ht="15.5">
      <c r="A46" s="44">
        <v>2022</v>
      </c>
      <c r="B46" s="44" t="str">
        <f>LEFT(report_47_flagged!B38,2)</f>
        <v>47</v>
      </c>
      <c r="C46" s="44">
        <f>report_47_flagged!E38</f>
        <v>2000</v>
      </c>
      <c r="D46" s="398">
        <f>report_47_flagged!AM38</f>
        <v>2270.8000000000002</v>
      </c>
      <c r="E46" s="44" t="str">
        <f>report_47_flagged!D38</f>
        <v>McLane-PARFLUX-Mark78H-21 ; frame# 12419-02, controller# 12419-02 and Motor # 12419-02 Cup set ABx21</v>
      </c>
      <c r="F46" s="44"/>
      <c r="G46" s="44"/>
      <c r="H46" s="44">
        <f>report_47_flagged!C38</f>
        <v>12</v>
      </c>
      <c r="I46" s="44">
        <f>report_47_flagged!F38</f>
        <v>1</v>
      </c>
      <c r="J46" s="63">
        <f>report_47_flagged!AC38</f>
        <v>44883</v>
      </c>
      <c r="K46" s="63">
        <f>report_47_flagged!AD38</f>
        <v>44900</v>
      </c>
      <c r="L46" s="63">
        <f>report_47_flagged!AE38</f>
        <v>44891.5</v>
      </c>
      <c r="M46" s="398">
        <f>report_47_flagged!AF38</f>
        <v>17</v>
      </c>
      <c r="N46" s="208">
        <f>report_47_flagged!H38</f>
        <v>62.771428571428565</v>
      </c>
      <c r="O46" s="208">
        <f t="shared" si="0"/>
        <v>3.7662857142857137E-2</v>
      </c>
      <c r="P46" s="208">
        <f>report_47_flagged!J38</f>
        <v>3</v>
      </c>
      <c r="Q46" s="453">
        <f>report_47_flagged!BA38</f>
        <v>39.807465687206999</v>
      </c>
      <c r="R46" s="453">
        <f t="shared" si="1"/>
        <v>0.87576424511855389</v>
      </c>
      <c r="S46" s="454">
        <f>report_47_flagged!BB38</f>
        <v>2</v>
      </c>
      <c r="T46" s="453">
        <f>report_47_flagged!BC38</f>
        <v>8.56</v>
      </c>
      <c r="U46" s="453">
        <f t="shared" si="2"/>
        <v>0.24824000000000002</v>
      </c>
      <c r="V46" s="454">
        <f>report_47_flagged!BD38</f>
        <v>1</v>
      </c>
      <c r="W46" s="399">
        <f>(report_47_flagged!N38/100)*report_47_flagged!H38</f>
        <v>8.0777854314531581</v>
      </c>
      <c r="X46" s="399">
        <f t="shared" si="3"/>
        <v>0.16970271809688495</v>
      </c>
      <c r="Y46" s="398">
        <f>report_47_flagged!AP38</f>
        <v>3</v>
      </c>
      <c r="Z46" s="399">
        <f>(report_47_flagged!P38/100)*report_47_flagged!H38</f>
        <v>0.3594522518771035</v>
      </c>
      <c r="AA46" s="399">
        <f t="shared" si="4"/>
        <v>1.3660888133782679E-2</v>
      </c>
      <c r="AB46" s="398">
        <f>report_47_flagged!AR38</f>
        <v>3</v>
      </c>
      <c r="AC46" s="399">
        <f>(report_47_flagged!R38/100)*report_47_flagged!H38</f>
        <v>2.3068477691156946</v>
      </c>
      <c r="AD46" s="399">
        <f t="shared" si="5"/>
        <v>6.4606565568895671E-2</v>
      </c>
      <c r="AE46" s="398">
        <f>report_47_flagged!AT38</f>
        <v>3</v>
      </c>
      <c r="AF46" s="399">
        <f>(report_47_flagged!L38/100)*report_47_flagged!H38</f>
        <v>5.770937662337464</v>
      </c>
      <c r="AG46" s="399">
        <f t="shared" si="6"/>
        <v>0.10970247400206666</v>
      </c>
      <c r="AH46" s="398">
        <f>report_47_flagged!AV38</f>
        <v>3</v>
      </c>
      <c r="AI46" s="399">
        <f>(report_47_flagged!T38/100)*report_47_flagged!H38</f>
        <v>2.421859522107114</v>
      </c>
      <c r="AJ46" s="399">
        <f t="shared" si="7"/>
        <v>0.11868001287660494</v>
      </c>
      <c r="AK46" s="398">
        <f>report_47_flagged!AX38</f>
        <v>3</v>
      </c>
    </row>
    <row r="47" spans="1:37" ht="15.5">
      <c r="A47" s="44">
        <v>2022</v>
      </c>
      <c r="B47" s="44" t="str">
        <f>LEFT(report_47_flagged!B39,2)</f>
        <v>47</v>
      </c>
      <c r="C47" s="44">
        <f>report_47_flagged!E39</f>
        <v>2000</v>
      </c>
      <c r="D47" s="398">
        <f>report_47_flagged!AM39</f>
        <v>2270.8000000000002</v>
      </c>
      <c r="E47" s="44" t="str">
        <f>report_47_flagged!D39</f>
        <v>McLane-PARFLUX-Mark78H-21 ; frame# 12419-02, controller# 12419-02 and Motor # 12419-02 Cup set ABx21</v>
      </c>
      <c r="F47" s="44"/>
      <c r="G47" s="44"/>
      <c r="H47" s="44">
        <f>report_47_flagged!C39</f>
        <v>13</v>
      </c>
      <c r="I47" s="44">
        <f>report_47_flagged!F39</f>
        <v>1</v>
      </c>
      <c r="J47" s="63">
        <f>report_47_flagged!AC39</f>
        <v>44900</v>
      </c>
      <c r="K47" s="63">
        <f>report_47_flagged!AD39</f>
        <v>44917</v>
      </c>
      <c r="L47" s="63">
        <f>report_47_flagged!AE39</f>
        <v>44908.5</v>
      </c>
      <c r="M47" s="398">
        <f>report_47_flagged!AF39</f>
        <v>17</v>
      </c>
      <c r="N47" s="208">
        <f>report_47_flagged!H39</f>
        <v>107.86218487394957</v>
      </c>
      <c r="O47" s="208">
        <f t="shared" si="0"/>
        <v>6.4717310924369734E-2</v>
      </c>
      <c r="P47" s="208">
        <f>report_47_flagged!J39</f>
        <v>3</v>
      </c>
      <c r="Q47" s="453">
        <f>report_47_flagged!BA39</f>
        <v>39.226567166210792</v>
      </c>
      <c r="R47" s="453">
        <f t="shared" si="1"/>
        <v>0.86298447765663733</v>
      </c>
      <c r="S47" s="454">
        <f>report_47_flagged!BB39</f>
        <v>2</v>
      </c>
      <c r="T47" s="453">
        <f>report_47_flagged!BC39</f>
        <v>8.5949999999999989</v>
      </c>
      <c r="U47" s="453">
        <f t="shared" si="2"/>
        <v>0.24925499999999998</v>
      </c>
      <c r="V47" s="454">
        <f>report_47_flagged!BD39</f>
        <v>1</v>
      </c>
      <c r="W47" s="399">
        <f>(report_47_flagged!N39/100)*report_47_flagged!H39</f>
        <v>14.443293140186984</v>
      </c>
      <c r="X47" s="399">
        <f t="shared" si="3"/>
        <v>0.30343293034448526</v>
      </c>
      <c r="Y47" s="398">
        <f>report_47_flagged!AP39</f>
        <v>3</v>
      </c>
      <c r="Z47" s="399">
        <f>(report_47_flagged!P39/100)*report_47_flagged!H39</f>
        <v>0.77364726372626647</v>
      </c>
      <c r="AA47" s="399">
        <f t="shared" si="4"/>
        <v>2.9402260438154183E-2</v>
      </c>
      <c r="AB47" s="398">
        <f>report_47_flagged!AR39</f>
        <v>3</v>
      </c>
      <c r="AC47" s="399">
        <f>(report_47_flagged!R39/100)*report_47_flagged!H39</f>
        <v>4.5267352910656129</v>
      </c>
      <c r="AD47" s="399">
        <f t="shared" si="5"/>
        <v>0.12677768525114891</v>
      </c>
      <c r="AE47" s="398">
        <f>report_47_flagged!AT39</f>
        <v>3</v>
      </c>
      <c r="AF47" s="399">
        <f>(report_47_flagged!L39/100)*report_47_flagged!H39</f>
        <v>9.916557849121368</v>
      </c>
      <c r="AG47" s="399">
        <f t="shared" si="6"/>
        <v>0.18850852206097043</v>
      </c>
      <c r="AH47" s="398">
        <f>report_47_flagged!AV39</f>
        <v>3</v>
      </c>
      <c r="AI47" s="399">
        <f>(report_47_flagged!T39/100)*report_47_flagged!H39</f>
        <v>4.3184099321589526</v>
      </c>
      <c r="AJ47" s="399">
        <f t="shared" si="7"/>
        <v>0.2116179496278876</v>
      </c>
      <c r="AK47" s="398">
        <f>report_47_flagged!AX39</f>
        <v>3</v>
      </c>
    </row>
    <row r="48" spans="1:37" ht="15.5">
      <c r="A48" s="44">
        <v>2022</v>
      </c>
      <c r="B48" s="44" t="str">
        <f>LEFT(report_47_flagged!B40,2)</f>
        <v>47</v>
      </c>
      <c r="C48" s="44">
        <f>report_47_flagged!E40</f>
        <v>2000</v>
      </c>
      <c r="D48" s="398">
        <f>report_47_flagged!AM40</f>
        <v>2270.8000000000002</v>
      </c>
      <c r="E48" s="44" t="str">
        <f>report_47_flagged!D40</f>
        <v>McLane-PARFLUX-Mark78H-21 ; frame# 12419-02, controller# 12419-02 and Motor # 12419-02 Cup set ABx21</v>
      </c>
      <c r="F48" s="44"/>
      <c r="G48" s="44"/>
      <c r="H48" s="44">
        <f>report_47_flagged!C40</f>
        <v>14</v>
      </c>
      <c r="I48" s="44">
        <f>report_47_flagged!F40</f>
        <v>9</v>
      </c>
      <c r="J48" s="63">
        <f>report_47_flagged!AC40</f>
        <v>44917</v>
      </c>
      <c r="K48" s="63">
        <f>report_47_flagged!AD40</f>
        <v>44934</v>
      </c>
      <c r="L48" s="63">
        <f>report_47_flagged!AE40</f>
        <v>44925.5</v>
      </c>
      <c r="M48" s="398">
        <f>report_47_flagged!AF40</f>
        <v>17</v>
      </c>
      <c r="N48" s="208" t="str">
        <f>report_47_flagged!H40</f>
        <v>NaN</v>
      </c>
      <c r="O48" s="208" t="s">
        <v>3656</v>
      </c>
      <c r="P48" s="208">
        <f>report_47_flagged!J40</f>
        <v>9</v>
      </c>
      <c r="Q48" s="453" t="str">
        <f>report_47_flagged!BA40</f>
        <v>NaN</v>
      </c>
      <c r="R48" s="208" t="s">
        <v>3656</v>
      </c>
      <c r="S48" s="454">
        <f>report_47_flagged!BB40</f>
        <v>2</v>
      </c>
      <c r="T48" s="453" t="str">
        <f>report_47_flagged!BC40</f>
        <v>NaN</v>
      </c>
      <c r="U48" s="208" t="s">
        <v>3656</v>
      </c>
      <c r="V48" s="454">
        <f>report_47_flagged!BD40</f>
        <v>1</v>
      </c>
      <c r="W48" s="208" t="s">
        <v>3656</v>
      </c>
      <c r="X48" s="208" t="s">
        <v>3656</v>
      </c>
      <c r="Y48" s="398">
        <f>report_47_flagged!AP40</f>
        <v>3</v>
      </c>
      <c r="Z48" s="398" t="str">
        <f>report_47_flagged!AQ40</f>
        <v>NaN</v>
      </c>
      <c r="AA48" s="398">
        <f>report_47_flagged!AR40</f>
        <v>3</v>
      </c>
      <c r="AB48" s="398">
        <f>report_47_flagged!AR40</f>
        <v>3</v>
      </c>
      <c r="AC48" s="399" t="e">
        <f>(report_47_flagged!R40/100)*report_47_flagged!H40</f>
        <v>#VALUE!</v>
      </c>
      <c r="AD48" s="399" t="e">
        <f t="shared" si="5"/>
        <v>#VALUE!</v>
      </c>
      <c r="AE48" s="398">
        <f>report_47_flagged!AT40</f>
        <v>3</v>
      </c>
      <c r="AF48" s="399" t="e">
        <f>(report_47_flagged!L40/100)*report_47_flagged!H40</f>
        <v>#VALUE!</v>
      </c>
      <c r="AG48" s="399" t="e">
        <f t="shared" si="6"/>
        <v>#VALUE!</v>
      </c>
      <c r="AH48" s="398">
        <f>report_47_flagged!AV40</f>
        <v>3</v>
      </c>
      <c r="AI48" s="399" t="e">
        <f>(report_47_flagged!T40/100)*report_47_flagged!H40</f>
        <v>#VALUE!</v>
      </c>
      <c r="AJ48" s="399" t="e">
        <f t="shared" si="7"/>
        <v>#VALUE!</v>
      </c>
      <c r="AK48" s="398">
        <f>report_47_flagged!AX40</f>
        <v>3</v>
      </c>
    </row>
    <row r="49" spans="1:37" ht="15.5">
      <c r="A49" s="44">
        <v>2022</v>
      </c>
      <c r="B49" s="44" t="str">
        <f>LEFT(report_47_flagged!B41,2)</f>
        <v>47</v>
      </c>
      <c r="C49" s="44">
        <f>report_47_flagged!E41</f>
        <v>2000</v>
      </c>
      <c r="D49" s="398">
        <f>report_47_flagged!AM41</f>
        <v>2270.8000000000002</v>
      </c>
      <c r="E49" s="44" t="str">
        <f>report_47_flagged!D41</f>
        <v>McLane-PARFLUX-Mark78H-21 ; frame# 12419-02, controller# 12419-02 and Motor # 12419-02 Cup set ABx21</v>
      </c>
      <c r="F49" s="44"/>
      <c r="G49" s="44"/>
      <c r="H49" s="44">
        <f>report_47_flagged!C41</f>
        <v>15</v>
      </c>
      <c r="I49" s="44">
        <f>report_47_flagged!F41</f>
        <v>1</v>
      </c>
      <c r="J49" s="63">
        <f>report_47_flagged!AC41</f>
        <v>44934</v>
      </c>
      <c r="K49" s="63">
        <f>report_47_flagged!AD41</f>
        <v>44951</v>
      </c>
      <c r="L49" s="63">
        <f>report_47_flagged!AE41</f>
        <v>44942.5</v>
      </c>
      <c r="M49" s="398">
        <f>report_47_flagged!AF41</f>
        <v>17</v>
      </c>
      <c r="N49" s="208" t="str">
        <f>report_47_flagged!H41</f>
        <v>NaN</v>
      </c>
      <c r="O49" s="208" t="s">
        <v>3656</v>
      </c>
      <c r="P49" s="208">
        <f>report_47_flagged!J41</f>
        <v>9</v>
      </c>
      <c r="Q49" s="453">
        <f>report_47_flagged!BA41</f>
        <v>39.516930272554035</v>
      </c>
      <c r="R49" s="453">
        <f t="shared" si="1"/>
        <v>0.86937246599618867</v>
      </c>
      <c r="S49" s="454">
        <f>report_47_flagged!BB41</f>
        <v>2</v>
      </c>
      <c r="T49" s="453">
        <f>report_47_flagged!BC41</f>
        <v>8.64</v>
      </c>
      <c r="U49" s="453">
        <f t="shared" si="2"/>
        <v>0.25056</v>
      </c>
      <c r="V49" s="454">
        <f>report_47_flagged!BD41</f>
        <v>1</v>
      </c>
      <c r="W49" s="208" t="s">
        <v>3656</v>
      </c>
      <c r="X49" s="208" t="s">
        <v>3656</v>
      </c>
      <c r="Y49" s="398">
        <f>report_47_flagged!AP41</f>
        <v>3</v>
      </c>
      <c r="Z49" s="398" t="str">
        <f>report_47_flagged!AQ41</f>
        <v>NaN</v>
      </c>
      <c r="AA49" s="398">
        <f>report_47_flagged!AR41</f>
        <v>3</v>
      </c>
      <c r="AB49" s="398">
        <f>report_47_flagged!AR41</f>
        <v>3</v>
      </c>
      <c r="AC49" s="399" t="e">
        <f>(report_47_flagged!R41/100)*report_47_flagged!H41</f>
        <v>#VALUE!</v>
      </c>
      <c r="AD49" s="399" t="e">
        <f t="shared" si="5"/>
        <v>#VALUE!</v>
      </c>
      <c r="AE49" s="398">
        <f>report_47_flagged!AT41</f>
        <v>3</v>
      </c>
      <c r="AF49" s="399" t="e">
        <f>(report_47_flagged!L41/100)*report_47_flagged!H41</f>
        <v>#VALUE!</v>
      </c>
      <c r="AG49" s="399" t="e">
        <f t="shared" si="6"/>
        <v>#VALUE!</v>
      </c>
      <c r="AH49" s="398">
        <f>report_47_flagged!AV41</f>
        <v>3</v>
      </c>
      <c r="AI49" s="399" t="e">
        <f>(report_47_flagged!T41/100)*report_47_flagged!H41</f>
        <v>#VALUE!</v>
      </c>
      <c r="AJ49" s="399" t="e">
        <f t="shared" si="7"/>
        <v>#VALUE!</v>
      </c>
      <c r="AK49" s="398">
        <f>report_47_flagged!AX41</f>
        <v>3</v>
      </c>
    </row>
    <row r="50" spans="1:37" ht="15.5">
      <c r="A50" s="44">
        <v>2022</v>
      </c>
      <c r="B50" s="44" t="str">
        <f>LEFT(report_47_flagged!B42,2)</f>
        <v>47</v>
      </c>
      <c r="C50" s="44">
        <f>report_47_flagged!E42</f>
        <v>2000</v>
      </c>
      <c r="D50" s="398">
        <f>report_47_flagged!AM42</f>
        <v>2270.8000000000002</v>
      </c>
      <c r="E50" s="44" t="str">
        <f>report_47_flagged!D42</f>
        <v>McLane-PARFLUX-Mark78H-21 ; frame# 12419-02, controller# 12419-02 and Motor # 12419-02 Cup set ABx21</v>
      </c>
      <c r="F50" s="44"/>
      <c r="G50" s="44"/>
      <c r="H50" s="44">
        <f>report_47_flagged!C42</f>
        <v>16</v>
      </c>
      <c r="I50" s="44">
        <f>report_47_flagged!F42</f>
        <v>1</v>
      </c>
      <c r="J50" s="63">
        <f>report_47_flagged!AC42</f>
        <v>44951</v>
      </c>
      <c r="K50" s="63">
        <f>report_47_flagged!AD42</f>
        <v>44968</v>
      </c>
      <c r="L50" s="63">
        <f>report_47_flagged!AE42</f>
        <v>44959.5</v>
      </c>
      <c r="M50" s="398">
        <f>report_47_flagged!AF42</f>
        <v>17</v>
      </c>
      <c r="N50" s="208">
        <f>report_47_flagged!H42</f>
        <v>3.8834951456310669E-2</v>
      </c>
      <c r="O50" s="463">
        <f t="shared" si="0"/>
        <v>2.3300970873786399E-5</v>
      </c>
      <c r="P50" s="208">
        <f>report_47_flagged!J42</f>
        <v>3</v>
      </c>
      <c r="Q50" s="453">
        <f>report_47_flagged!BA42</f>
        <v>38.791347926916671</v>
      </c>
      <c r="R50" s="453">
        <f t="shared" si="1"/>
        <v>0.85340965439216676</v>
      </c>
      <c r="S50" s="454">
        <f>report_47_flagged!BB42</f>
        <v>2</v>
      </c>
      <c r="T50" s="453">
        <f>report_47_flagged!BC42</f>
        <v>8.66</v>
      </c>
      <c r="U50" s="453">
        <f t="shared" si="2"/>
        <v>0.25114000000000003</v>
      </c>
      <c r="V50" s="454">
        <f>report_47_flagged!BD42</f>
        <v>1</v>
      </c>
      <c r="W50" s="399">
        <f>(report_47_flagged!N42/100)*report_47_flagged!H42</f>
        <v>5.3763432178682473E-3</v>
      </c>
      <c r="X50" s="399">
        <f t="shared" si="3"/>
        <v>1.1294928111625531E-4</v>
      </c>
      <c r="Y50" s="398">
        <f>report_47_flagged!AP42</f>
        <v>3</v>
      </c>
      <c r="Z50" s="399">
        <f>(report_47_flagged!P42/100)*report_47_flagged!H42</f>
        <v>3.3584594726562492E-4</v>
      </c>
      <c r="AA50" s="399">
        <f t="shared" si="4"/>
        <v>1.276373674617734E-5</v>
      </c>
      <c r="AB50" s="398">
        <f>report_47_flagged!AR42</f>
        <v>3</v>
      </c>
      <c r="AC50" s="399">
        <f>(report_47_flagged!R42/100)*report_47_flagged!H42</f>
        <v>2.1440628669937055E-3</v>
      </c>
      <c r="AD50" s="399">
        <f t="shared" si="5"/>
        <v>6.004754195521261E-5</v>
      </c>
      <c r="AE50" s="398">
        <f>report_47_flagged!AT42</f>
        <v>3</v>
      </c>
      <c r="AF50" s="399">
        <f>(report_47_flagged!L42/100)*report_47_flagged!H42</f>
        <v>3.2322803508745427E-3</v>
      </c>
      <c r="AG50" s="399">
        <f t="shared" si="6"/>
        <v>6.14439406395498E-5</v>
      </c>
      <c r="AH50" s="398">
        <f>report_47_flagged!AV42</f>
        <v>3</v>
      </c>
      <c r="AI50" s="399">
        <f>(report_47_flagged!T42/100)*report_47_flagged!H42</f>
        <v>1.9925877627444762E-3</v>
      </c>
      <c r="AJ50" s="399">
        <f t="shared" si="7"/>
        <v>9.7644119810273955E-5</v>
      </c>
      <c r="AK50" s="398">
        <f>report_47_flagged!AX42</f>
        <v>3</v>
      </c>
    </row>
    <row r="51" spans="1:37" ht="15.5">
      <c r="A51" s="44">
        <v>2022</v>
      </c>
      <c r="B51" s="44" t="str">
        <f>LEFT(report_47_flagged!B43,2)</f>
        <v>47</v>
      </c>
      <c r="C51" s="44">
        <f>report_47_flagged!E43</f>
        <v>2000</v>
      </c>
      <c r="D51" s="398">
        <f>report_47_flagged!AM43</f>
        <v>2270.8000000000002</v>
      </c>
      <c r="E51" s="44" t="str">
        <f>report_47_flagged!D43</f>
        <v>McLane-PARFLUX-Mark78H-21 ; frame# 12419-02, controller# 12419-02 and Motor # 12419-02 Cup set ABx21</v>
      </c>
      <c r="F51" s="44"/>
      <c r="G51" s="44"/>
      <c r="H51" s="44">
        <f>report_47_flagged!C43</f>
        <v>17</v>
      </c>
      <c r="I51" s="44">
        <f>report_47_flagged!F43</f>
        <v>1</v>
      </c>
      <c r="J51" s="63">
        <f>report_47_flagged!AC43</f>
        <v>44968</v>
      </c>
      <c r="K51" s="63">
        <f>report_47_flagged!AD43</f>
        <v>44985</v>
      </c>
      <c r="L51" s="63">
        <f>report_47_flagged!AE43</f>
        <v>44976.5</v>
      </c>
      <c r="M51" s="398">
        <f>report_47_flagged!AF43</f>
        <v>17</v>
      </c>
      <c r="N51" s="208" t="str">
        <f>report_47_flagged!H43</f>
        <v>NaN</v>
      </c>
      <c r="O51" s="208" t="s">
        <v>3656</v>
      </c>
      <c r="P51" s="208">
        <f>report_47_flagged!J43</f>
        <v>9</v>
      </c>
      <c r="Q51" s="453">
        <f>report_47_flagged!BA43</f>
        <v>40.24358958265212</v>
      </c>
      <c r="R51" s="453">
        <f t="shared" si="1"/>
        <v>0.88535897081834658</v>
      </c>
      <c r="S51" s="454">
        <f>report_47_flagged!BB43</f>
        <v>2</v>
      </c>
      <c r="T51" s="453">
        <f>report_47_flagged!BC43</f>
        <v>8.64</v>
      </c>
      <c r="U51" s="453">
        <f t="shared" si="2"/>
        <v>0.25056</v>
      </c>
      <c r="V51" s="454">
        <f>report_47_flagged!BD43</f>
        <v>1</v>
      </c>
      <c r="W51" s="208" t="s">
        <v>3656</v>
      </c>
      <c r="X51" s="208" t="s">
        <v>3656</v>
      </c>
      <c r="Y51" s="398">
        <f>report_47_flagged!AP43</f>
        <v>3</v>
      </c>
      <c r="Z51" s="398" t="str">
        <f>report_47_flagged!AQ43</f>
        <v>NaN</v>
      </c>
      <c r="AA51" s="398">
        <f>report_47_flagged!AR43</f>
        <v>3</v>
      </c>
      <c r="AB51" s="398">
        <f>report_47_flagged!AR43</f>
        <v>3</v>
      </c>
      <c r="AC51" s="399" t="e">
        <f>(report_47_flagged!R43/100)*report_47_flagged!H43</f>
        <v>#VALUE!</v>
      </c>
      <c r="AD51" s="399" t="e">
        <f t="shared" si="5"/>
        <v>#VALUE!</v>
      </c>
      <c r="AE51" s="398">
        <f>report_47_flagged!AT43</f>
        <v>3</v>
      </c>
      <c r="AF51" s="399" t="e">
        <f>(report_47_flagged!L43/100)*report_47_flagged!H43</f>
        <v>#VALUE!</v>
      </c>
      <c r="AG51" s="399" t="e">
        <f t="shared" si="6"/>
        <v>#VALUE!</v>
      </c>
      <c r="AH51" s="398">
        <f>report_47_flagged!AV43</f>
        <v>3</v>
      </c>
      <c r="AI51" s="399" t="e">
        <f>(report_47_flagged!T43/100)*report_47_flagged!H43</f>
        <v>#VALUE!</v>
      </c>
      <c r="AJ51" s="399" t="e">
        <f t="shared" si="7"/>
        <v>#VALUE!</v>
      </c>
      <c r="AK51" s="398">
        <f>report_47_flagged!AX43</f>
        <v>3</v>
      </c>
    </row>
    <row r="52" spans="1:37" ht="15.5">
      <c r="A52" s="44">
        <v>2022</v>
      </c>
      <c r="B52" s="44" t="str">
        <f>LEFT(report_47_flagged!B44,2)</f>
        <v>47</v>
      </c>
      <c r="C52" s="44">
        <f>report_47_flagged!E44</f>
        <v>2000</v>
      </c>
      <c r="D52" s="398">
        <f>report_47_flagged!AM44</f>
        <v>2270.8000000000002</v>
      </c>
      <c r="E52" s="44" t="str">
        <f>report_47_flagged!D44</f>
        <v>McLane-PARFLUX-Mark78H-21 ; frame# 12419-02, controller# 12419-02 and Motor # 12419-02 Cup set ABx21</v>
      </c>
      <c r="F52" s="44"/>
      <c r="G52" s="44"/>
      <c r="H52" s="44">
        <f>report_47_flagged!C44</f>
        <v>18</v>
      </c>
      <c r="I52" s="44">
        <f>report_47_flagged!F44</f>
        <v>1</v>
      </c>
      <c r="J52" s="63">
        <f>report_47_flagged!AC44</f>
        <v>44985</v>
      </c>
      <c r="K52" s="63">
        <f>report_47_flagged!AD44</f>
        <v>45002</v>
      </c>
      <c r="L52" s="63">
        <f>report_47_flagged!AE44</f>
        <v>44993.5</v>
      </c>
      <c r="M52" s="398">
        <f>report_47_flagged!AF44</f>
        <v>17</v>
      </c>
      <c r="N52" s="208" t="str">
        <f>report_47_flagged!H44</f>
        <v>NaN</v>
      </c>
      <c r="O52" s="208" t="e">
        <f t="shared" si="0"/>
        <v>#VALUE!</v>
      </c>
      <c r="P52" s="208">
        <f>report_47_flagged!J44</f>
        <v>9</v>
      </c>
      <c r="Q52" s="453">
        <f>report_47_flagged!BA44</f>
        <v>39.516930272554035</v>
      </c>
      <c r="R52" s="453">
        <f t="shared" si="1"/>
        <v>0.86937246599618867</v>
      </c>
      <c r="S52" s="454">
        <f>report_47_flagged!BB44</f>
        <v>2</v>
      </c>
      <c r="T52" s="453">
        <f>report_47_flagged!BC44</f>
        <v>8.66</v>
      </c>
      <c r="U52" s="453">
        <f t="shared" si="2"/>
        <v>0.25114000000000003</v>
      </c>
      <c r="V52" s="454">
        <f>report_47_flagged!BD44</f>
        <v>1</v>
      </c>
      <c r="W52" s="208" t="s">
        <v>3656</v>
      </c>
      <c r="X52" s="208" t="s">
        <v>3656</v>
      </c>
      <c r="Y52" s="398">
        <f>report_47_flagged!AP44</f>
        <v>3</v>
      </c>
      <c r="Z52" s="398" t="str">
        <f>report_47_flagged!AQ44</f>
        <v>NaN</v>
      </c>
      <c r="AA52" s="398">
        <f>report_47_flagged!AR44</f>
        <v>3</v>
      </c>
      <c r="AB52" s="398">
        <f>report_47_flagged!AR44</f>
        <v>3</v>
      </c>
      <c r="AC52" s="399" t="e">
        <f>(report_47_flagged!R44/100)*report_47_flagged!H44</f>
        <v>#VALUE!</v>
      </c>
      <c r="AD52" s="399" t="e">
        <f t="shared" si="5"/>
        <v>#VALUE!</v>
      </c>
      <c r="AE52" s="398">
        <f>report_47_flagged!AT44</f>
        <v>3</v>
      </c>
      <c r="AF52" s="399" t="e">
        <f>(report_47_flagged!L44/100)*report_47_flagged!H44</f>
        <v>#VALUE!</v>
      </c>
      <c r="AG52" s="399" t="e">
        <f t="shared" si="6"/>
        <v>#VALUE!</v>
      </c>
      <c r="AH52" s="398">
        <f>report_47_flagged!AV44</f>
        <v>3</v>
      </c>
      <c r="AI52" s="399" t="e">
        <f>(report_47_flagged!T44/100)*report_47_flagged!H44</f>
        <v>#VALUE!</v>
      </c>
      <c r="AJ52" s="399" t="e">
        <f t="shared" si="7"/>
        <v>#VALUE!</v>
      </c>
      <c r="AK52" s="398">
        <f>report_47_flagged!AX44</f>
        <v>3</v>
      </c>
    </row>
    <row r="53" spans="1:37" ht="15.5">
      <c r="A53" s="44">
        <v>2022</v>
      </c>
      <c r="B53" s="44" t="str">
        <f>LEFT(report_47_flagged!B45,2)</f>
        <v>47</v>
      </c>
      <c r="C53" s="44">
        <f>report_47_flagged!E45</f>
        <v>2000</v>
      </c>
      <c r="D53" s="398">
        <f>report_47_flagged!AM45</f>
        <v>2270.8000000000002</v>
      </c>
      <c r="E53" s="44" t="str">
        <f>report_47_flagged!D45</f>
        <v>McLane-PARFLUX-Mark78H-21 ; frame# 12419-02, controller# 12419-02 and Motor # 12419-02 Cup set ABx21</v>
      </c>
      <c r="F53" s="44"/>
      <c r="G53" s="44"/>
      <c r="H53" s="44">
        <f>report_47_flagged!C45</f>
        <v>19</v>
      </c>
      <c r="I53" s="44">
        <f>report_47_flagged!F45</f>
        <v>1</v>
      </c>
      <c r="J53" s="63">
        <f>report_47_flagged!AC45</f>
        <v>45002</v>
      </c>
      <c r="K53" s="63">
        <f>report_47_flagged!AD45</f>
        <v>45019</v>
      </c>
      <c r="L53" s="63">
        <f>report_47_flagged!AE45</f>
        <v>45010.5</v>
      </c>
      <c r="M53" s="398">
        <f>report_47_flagged!AF45</f>
        <v>17</v>
      </c>
      <c r="N53" s="208" t="str">
        <f>report_47_flagged!H45</f>
        <v>NaN</v>
      </c>
      <c r="O53" s="208" t="e">
        <f>N53*$N$5</f>
        <v>#VALUE!</v>
      </c>
      <c r="P53" s="208">
        <f>report_47_flagged!J45</f>
        <v>9</v>
      </c>
      <c r="Q53" s="453">
        <f>report_47_flagged!BA45</f>
        <v>40.24358958265212</v>
      </c>
      <c r="R53" s="453">
        <f>Q53*$Q$5</f>
        <v>0.88535897081834658</v>
      </c>
      <c r="S53" s="454">
        <f>report_47_flagged!BB45</f>
        <v>2</v>
      </c>
      <c r="T53" s="453">
        <f>report_47_flagged!BC45</f>
        <v>8.65</v>
      </c>
      <c r="U53" s="453">
        <f>T53*$T$5</f>
        <v>0.25085000000000002</v>
      </c>
      <c r="V53" s="454">
        <f>report_47_flagged!BD45</f>
        <v>1</v>
      </c>
      <c r="W53" s="208" t="s">
        <v>3656</v>
      </c>
      <c r="X53" s="208" t="s">
        <v>3656</v>
      </c>
      <c r="Y53" s="398">
        <f>report_47_flagged!AP45</f>
        <v>3</v>
      </c>
      <c r="Z53" s="398" t="str">
        <f>report_47_flagged!AQ45</f>
        <v>NaN</v>
      </c>
      <c r="AA53" s="398">
        <f>report_47_flagged!AR45</f>
        <v>3</v>
      </c>
      <c r="AB53" s="398">
        <f>report_47_flagged!AR45</f>
        <v>3</v>
      </c>
      <c r="AC53" s="399" t="e">
        <f>(report_47_flagged!R45/100)*report_47_flagged!H45</f>
        <v>#VALUE!</v>
      </c>
      <c r="AD53" s="399" t="e">
        <f>AC53*SQRT(($AC$5)^2+($N$5)^2)</f>
        <v>#VALUE!</v>
      </c>
      <c r="AE53" s="398">
        <f>report_47_flagged!AT45</f>
        <v>3</v>
      </c>
      <c r="AF53" s="399" t="e">
        <f>(report_47_flagged!L45/100)*report_47_flagged!H45</f>
        <v>#VALUE!</v>
      </c>
      <c r="AG53" s="399" t="e">
        <f>AF53*SQRT(($AF$5)^2+($N$5)^2)</f>
        <v>#VALUE!</v>
      </c>
      <c r="AH53" s="398">
        <f>report_47_flagged!AV45</f>
        <v>3</v>
      </c>
      <c r="AI53" s="399" t="e">
        <f>(report_47_flagged!T45/100)*report_47_flagged!H45</f>
        <v>#VALUE!</v>
      </c>
      <c r="AJ53" s="399" t="e">
        <f>AI53*SQRT(($AI$5)^2+($N$5)^2)</f>
        <v>#VALUE!</v>
      </c>
      <c r="AK53" s="398">
        <f>report_47_flagged!AX45</f>
        <v>3</v>
      </c>
    </row>
    <row r="54" spans="1:37" ht="15.5">
      <c r="A54" s="44">
        <v>2022</v>
      </c>
      <c r="B54" s="44" t="str">
        <f>LEFT(report_47_flagged!B46,2)</f>
        <v>47</v>
      </c>
      <c r="C54" s="44">
        <f>report_47_flagged!E46</f>
        <v>2000</v>
      </c>
      <c r="D54" s="398">
        <f>report_47_flagged!AM46</f>
        <v>2270.8000000000002</v>
      </c>
      <c r="E54" s="44" t="str">
        <f>report_47_flagged!D46</f>
        <v>McLane-PARFLUX-Mark78H-21 ; frame# 12419-02, controller# 12419-02 and Motor # 12419-02 Cup set ABx21</v>
      </c>
      <c r="F54" s="44"/>
      <c r="G54" s="44"/>
      <c r="H54" s="44">
        <f>report_47_flagged!C46</f>
        <v>20</v>
      </c>
      <c r="I54" s="44">
        <f>report_47_flagged!F46</f>
        <v>1</v>
      </c>
      <c r="J54" s="63">
        <f>report_47_flagged!AC46</f>
        <v>45019</v>
      </c>
      <c r="K54" s="63">
        <f>report_47_flagged!AD46</f>
        <v>45036</v>
      </c>
      <c r="L54" s="63">
        <f>report_47_flagged!AE46</f>
        <v>45027.5</v>
      </c>
      <c r="M54" s="398">
        <f>report_47_flagged!AF46</f>
        <v>17</v>
      </c>
      <c r="N54" s="208">
        <f>report_47_flagged!H46</f>
        <v>27.744537815126051</v>
      </c>
      <c r="O54" s="208">
        <f t="shared" si="0"/>
        <v>1.6646722689075629E-2</v>
      </c>
      <c r="P54" s="208">
        <f>report_47_flagged!J46</f>
        <v>3</v>
      </c>
      <c r="Q54" s="453">
        <f>report_47_flagged!BA46</f>
        <v>39.734815737579275</v>
      </c>
      <c r="R54" s="453">
        <f t="shared" si="1"/>
        <v>0.87416594622674404</v>
      </c>
      <c r="S54" s="454">
        <f>report_47_flagged!BB46</f>
        <v>2</v>
      </c>
      <c r="T54" s="453">
        <f>report_47_flagged!BC46</f>
        <v>8.61</v>
      </c>
      <c r="U54" s="453">
        <f t="shared" si="2"/>
        <v>0.24969</v>
      </c>
      <c r="V54" s="454">
        <f>report_47_flagged!BD46</f>
        <v>1</v>
      </c>
      <c r="W54" s="399">
        <f>(report_47_flagged!N46/100)*report_47_flagged!H46</f>
        <v>4.2131473593190938</v>
      </c>
      <c r="X54" s="399">
        <f t="shared" si="3"/>
        <v>8.8512199870421804E-2</v>
      </c>
      <c r="Y54" s="398">
        <f>report_47_flagged!AP46</f>
        <v>3</v>
      </c>
      <c r="Z54" s="399">
        <f>(report_47_flagged!P46/100)*report_47_flagged!H46</f>
        <v>0.37226991723966202</v>
      </c>
      <c r="AA54" s="399">
        <f t="shared" si="4"/>
        <v>1.4148020129033163E-2</v>
      </c>
      <c r="AB54" s="398">
        <f>report_47_flagged!AR46</f>
        <v>3</v>
      </c>
      <c r="AC54" s="399">
        <f>(report_47_flagged!R46/100)*report_47_flagged!H46</f>
        <v>2.4563301728044249</v>
      </c>
      <c r="AD54" s="399">
        <f t="shared" si="5"/>
        <v>6.8793033720200777E-2</v>
      </c>
      <c r="AE54" s="398">
        <f>report_47_flagged!AT46</f>
        <v>3</v>
      </c>
      <c r="AF54" s="399">
        <f>(report_47_flagged!L46/100)*report_47_flagged!H46</f>
        <v>1.7568171865146691</v>
      </c>
      <c r="AG54" s="399">
        <f t="shared" si="6"/>
        <v>3.3396165927730204E-2</v>
      </c>
      <c r="AH54" s="398">
        <f>report_47_flagged!AV46</f>
        <v>3</v>
      </c>
      <c r="AI54" s="399">
        <f>(report_47_flagged!T46/100)*report_47_flagged!H46</f>
        <v>2.3385695032693867</v>
      </c>
      <c r="AJ54" s="399">
        <f t="shared" si="7"/>
        <v>0.11459849600168978</v>
      </c>
      <c r="AK54" s="398">
        <f>report_47_flagged!AX46</f>
        <v>3</v>
      </c>
    </row>
    <row r="55" spans="1:37" s="195" customFormat="1" ht="16" thickBot="1">
      <c r="A55" s="391">
        <v>2022</v>
      </c>
      <c r="B55" s="391" t="str">
        <f>LEFT(report_47_flagged!B47,2)</f>
        <v>47</v>
      </c>
      <c r="C55" s="391">
        <f>report_47_flagged!E47</f>
        <v>2000</v>
      </c>
      <c r="D55" s="402">
        <f>report_47_flagged!AM47</f>
        <v>2270.8000000000002</v>
      </c>
      <c r="E55" s="391" t="str">
        <f>report_47_flagged!D47</f>
        <v>McLane-PARFLUX-Mark78H-21 ; frame# 12419-02, controller# 12419-02 and Motor # 12419-02 Cup set ABx21</v>
      </c>
      <c r="F55" s="391"/>
      <c r="G55" s="391"/>
      <c r="H55" s="391">
        <f>report_47_flagged!C47</f>
        <v>21</v>
      </c>
      <c r="I55" s="391">
        <f>report_47_flagged!F47</f>
        <v>1</v>
      </c>
      <c r="J55" s="405">
        <f>report_47_flagged!AC47</f>
        <v>45036</v>
      </c>
      <c r="K55" s="405">
        <f>report_47_flagged!AD47</f>
        <v>45053</v>
      </c>
      <c r="L55" s="405">
        <f>report_47_flagged!AE47</f>
        <v>45044.5</v>
      </c>
      <c r="M55" s="402">
        <f>report_47_flagged!AF47</f>
        <v>17</v>
      </c>
      <c r="N55" s="403">
        <f>report_47_flagged!H47</f>
        <v>3.1932773109243699</v>
      </c>
      <c r="O55" s="403">
        <f t="shared" si="0"/>
        <v>1.9159663865546217E-3</v>
      </c>
      <c r="P55" s="403">
        <f>report_47_flagged!J47</f>
        <v>3</v>
      </c>
      <c r="Q55" s="503">
        <f>report_47_flagged!BA47</f>
        <v>39.952797679863593</v>
      </c>
      <c r="R55" s="503">
        <f t="shared" si="1"/>
        <v>0.87896154895699896</v>
      </c>
      <c r="S55" s="504">
        <f>report_47_flagged!BB47</f>
        <v>2</v>
      </c>
      <c r="T55" s="503">
        <f>report_47_flagged!BC47</f>
        <v>8.66</v>
      </c>
      <c r="U55" s="503">
        <f t="shared" si="2"/>
        <v>0.25114000000000003</v>
      </c>
      <c r="V55" s="504">
        <f>report_47_flagged!BD47</f>
        <v>1</v>
      </c>
      <c r="W55" s="404">
        <f>(report_47_flagged!N47/100)*report_47_flagged!H47</f>
        <v>0.4995923002227014</v>
      </c>
      <c r="X55" s="404">
        <f t="shared" si="3"/>
        <v>1.0495719650827054E-2</v>
      </c>
      <c r="Y55" s="402">
        <f>report_47_flagged!AP47</f>
        <v>3</v>
      </c>
      <c r="Z55" s="404">
        <f>(report_47_flagged!P47/100)*report_47_flagged!H47</f>
        <v>4.4896642099909428E-2</v>
      </c>
      <c r="AA55" s="404">
        <f t="shared" si="4"/>
        <v>1.7062850548479442E-3</v>
      </c>
      <c r="AB55" s="402">
        <f>report_47_flagged!AR47</f>
        <v>3</v>
      </c>
      <c r="AC55" s="404">
        <f>(report_47_flagged!R47/100)*report_47_flagged!H47</f>
        <v>0.29399264457319918</v>
      </c>
      <c r="AD55" s="404">
        <f t="shared" si="5"/>
        <v>8.2336837838556318E-3</v>
      </c>
      <c r="AE55" s="402">
        <f>report_47_flagged!AT47</f>
        <v>3</v>
      </c>
      <c r="AF55" s="404">
        <f>(report_47_flagged!L47/100)*report_47_flagged!H47</f>
        <v>0.20559965564950225</v>
      </c>
      <c r="AG55" s="404">
        <f t="shared" si="6"/>
        <v>3.9083407581962642E-3</v>
      </c>
      <c r="AH55" s="402">
        <f>report_47_flagged!AV47</f>
        <v>3</v>
      </c>
      <c r="AI55" s="404">
        <f>(report_47_flagged!T47/100)*report_47_flagged!H47</f>
        <v>0.21998693161535571</v>
      </c>
      <c r="AJ55" s="404">
        <f t="shared" si="7"/>
        <v>1.0780167734121996E-2</v>
      </c>
      <c r="AK55" s="402">
        <f>report_47_flagged!AX47</f>
        <v>3</v>
      </c>
    </row>
    <row r="56" spans="1:37" ht="15.5">
      <c r="A56" s="44">
        <v>2022</v>
      </c>
      <c r="B56" s="44" t="str">
        <f>LEFT(report_47_flagged!B48,2)</f>
        <v>47</v>
      </c>
      <c r="C56" s="44">
        <f>report_47_flagged!E48</f>
        <v>3800</v>
      </c>
      <c r="D56" s="398">
        <f>report_47_flagged!AM48</f>
        <v>3992.7</v>
      </c>
      <c r="E56" s="44" t="str">
        <f>report_47_flagged!D48</f>
        <v>McLane-PARFLUX-Mark78H-21 ; frame# 12993-01, controller# 12993-01 and Motor # 12993-01 Cup set ACx21</v>
      </c>
      <c r="F56" s="44"/>
      <c r="G56" s="44"/>
      <c r="H56" s="44">
        <f>report_47_flagged!C48</f>
        <v>1</v>
      </c>
      <c r="I56" s="44">
        <f>report_47_flagged!F48</f>
        <v>1</v>
      </c>
      <c r="J56" s="63">
        <f>report_47_flagged!AC48</f>
        <v>44696</v>
      </c>
      <c r="K56" s="63">
        <f>report_47_flagged!AD48</f>
        <v>44713</v>
      </c>
      <c r="L56" s="63">
        <f>report_47_flagged!AE48</f>
        <v>44704.5</v>
      </c>
      <c r="M56" s="398">
        <f>report_47_flagged!AF48</f>
        <v>17</v>
      </c>
      <c r="N56" s="208">
        <f>report_47_flagged!H48</f>
        <v>41.389915966386553</v>
      </c>
      <c r="O56" s="208">
        <f t="shared" si="0"/>
        <v>2.483394957983193E-2</v>
      </c>
      <c r="P56" s="208">
        <f>report_47_flagged!J48</f>
        <v>3</v>
      </c>
      <c r="Q56" s="453">
        <f>report_47_flagged!BA48</f>
        <v>38.791347926916671</v>
      </c>
      <c r="R56" s="453">
        <f t="shared" si="1"/>
        <v>0.85340965439216676</v>
      </c>
      <c r="S56" s="454">
        <f>report_47_flagged!BB48</f>
        <v>2</v>
      </c>
      <c r="T56" s="453">
        <f>report_47_flagged!BC48</f>
        <v>8.5399999999999991</v>
      </c>
      <c r="U56" s="453">
        <f t="shared" si="2"/>
        <v>0.24765999999999999</v>
      </c>
      <c r="V56" s="454">
        <f>report_47_flagged!BD48</f>
        <v>1</v>
      </c>
      <c r="W56" s="399">
        <f>(report_47_flagged!N48/100)*report_47_flagged!H48</f>
        <v>5.6795495818322443</v>
      </c>
      <c r="X56" s="399">
        <f t="shared" si="3"/>
        <v>0.11931921314101659</v>
      </c>
      <c r="Y56" s="398">
        <f>report_47_flagged!AP48</f>
        <v>3</v>
      </c>
      <c r="Z56" s="399">
        <f>(report_47_flagged!P48/100)*report_47_flagged!H48</f>
        <v>0.31113566419457189</v>
      </c>
      <c r="AA56" s="399">
        <f t="shared" si="4"/>
        <v>1.1824628948062412E-2</v>
      </c>
      <c r="AB56" s="398">
        <f>report_47_flagged!AR48</f>
        <v>3</v>
      </c>
      <c r="AC56" s="399">
        <f>(report_47_flagged!R48/100)*report_47_flagged!H48</f>
        <v>1.830936265035664</v>
      </c>
      <c r="AD56" s="399">
        <f t="shared" si="5"/>
        <v>5.1277984374686753E-2</v>
      </c>
      <c r="AE56" s="398">
        <f>report_47_flagged!AT48</f>
        <v>3</v>
      </c>
      <c r="AF56" s="399">
        <f>(report_47_flagged!L48/100)*report_47_flagged!H48</f>
        <v>3.8486133167965804</v>
      </c>
      <c r="AG56" s="399">
        <f t="shared" si="6"/>
        <v>7.3160104480989196E-2</v>
      </c>
      <c r="AH56" s="398">
        <f>report_47_flagged!AV48</f>
        <v>3</v>
      </c>
      <c r="AI56" s="399">
        <f>(report_47_flagged!T48/100)*report_47_flagged!H48</f>
        <v>1.2341554262601564</v>
      </c>
      <c r="AJ56" s="399">
        <f t="shared" si="7"/>
        <v>6.047814934899811E-2</v>
      </c>
      <c r="AK56" s="398">
        <f>report_47_flagged!AX48</f>
        <v>3</v>
      </c>
    </row>
    <row r="57" spans="1:37" ht="15.5">
      <c r="A57" s="44">
        <v>2022</v>
      </c>
      <c r="B57" s="44" t="str">
        <f>LEFT(report_47_flagged!B49,2)</f>
        <v>47</v>
      </c>
      <c r="C57" s="44">
        <f>report_47_flagged!E49</f>
        <v>3800</v>
      </c>
      <c r="D57" s="398">
        <f>report_47_flagged!AM49</f>
        <v>3992.7</v>
      </c>
      <c r="E57" s="44" t="str">
        <f>report_47_flagged!D49</f>
        <v>McLane-PARFLUX-Mark78H-21 ; frame# 12993-01, controller# 12993-01 and Motor # 12993-01 Cup set ACx21</v>
      </c>
      <c r="F57" s="44"/>
      <c r="G57" s="44"/>
      <c r="H57" s="44">
        <f>report_47_flagged!C49</f>
        <v>2</v>
      </c>
      <c r="I57" s="44">
        <f>report_47_flagged!F49</f>
        <v>1</v>
      </c>
      <c r="J57" s="63">
        <f>report_47_flagged!AC49</f>
        <v>44713</v>
      </c>
      <c r="K57" s="63">
        <f>report_47_flagged!AD49</f>
        <v>44730</v>
      </c>
      <c r="L57" s="63">
        <f>report_47_flagged!AE49</f>
        <v>44721.5</v>
      </c>
      <c r="M57" s="398">
        <f>report_47_flagged!AF49</f>
        <v>17</v>
      </c>
      <c r="N57" s="208">
        <f>report_47_flagged!H49</f>
        <v>34.5781512605042</v>
      </c>
      <c r="O57" s="208">
        <f t="shared" si="0"/>
        <v>2.0746890756302518E-2</v>
      </c>
      <c r="P57" s="208">
        <f>report_47_flagged!J49</f>
        <v>3</v>
      </c>
      <c r="Q57" s="453">
        <f>report_47_flagged!BA49</f>
        <v>38.936377437123824</v>
      </c>
      <c r="R57" s="453">
        <f t="shared" si="1"/>
        <v>0.85660030361672412</v>
      </c>
      <c r="S57" s="454">
        <f>report_47_flagged!BB49</f>
        <v>2</v>
      </c>
      <c r="T57" s="453">
        <f>report_47_flagged!BC49</f>
        <v>8.56</v>
      </c>
      <c r="U57" s="453">
        <f t="shared" si="2"/>
        <v>0.24824000000000002</v>
      </c>
      <c r="V57" s="454">
        <f>report_47_flagged!BD49</f>
        <v>1</v>
      </c>
      <c r="W57" s="399">
        <f>(report_47_flagged!N49/100)*report_47_flagged!H49</f>
        <v>4.6893920186146962</v>
      </c>
      <c r="X57" s="399">
        <f t="shared" si="3"/>
        <v>9.8517418979967949E-2</v>
      </c>
      <c r="Y57" s="398">
        <f>report_47_flagged!AP49</f>
        <v>3</v>
      </c>
      <c r="Z57" s="399">
        <f>(report_47_flagged!P49/100)*report_47_flagged!H49</f>
        <v>0.24982467870351646</v>
      </c>
      <c r="AA57" s="399">
        <f t="shared" si="4"/>
        <v>9.4945210970434589E-3</v>
      </c>
      <c r="AB57" s="398">
        <f>report_47_flagged!AR49</f>
        <v>3</v>
      </c>
      <c r="AC57" s="399">
        <f>(report_47_flagged!R49/100)*report_47_flagged!H49</f>
        <v>1.5805059346490078</v>
      </c>
      <c r="AD57" s="399">
        <f t="shared" si="5"/>
        <v>4.4264325399362196E-2</v>
      </c>
      <c r="AE57" s="398">
        <f>report_47_flagged!AT49</f>
        <v>3</v>
      </c>
      <c r="AF57" s="399">
        <f>(report_47_flagged!L49/100)*report_47_flagged!H49</f>
        <v>3.1088860839656887</v>
      </c>
      <c r="AG57" s="399">
        <f t="shared" si="6"/>
        <v>5.909828086125829E-2</v>
      </c>
      <c r="AH57" s="398">
        <f>report_47_flagged!AV49</f>
        <v>3</v>
      </c>
      <c r="AI57" s="399">
        <f>(report_47_flagged!T49/100)*report_47_flagged!H49</f>
        <v>1.1028327816920314</v>
      </c>
      <c r="AJ57" s="399">
        <f t="shared" si="7"/>
        <v>5.4042857373526716E-2</v>
      </c>
      <c r="AK57" s="398">
        <f>report_47_flagged!AX49</f>
        <v>3</v>
      </c>
    </row>
    <row r="58" spans="1:37" ht="15.5">
      <c r="A58" s="44">
        <v>2022</v>
      </c>
      <c r="B58" s="44" t="str">
        <f>LEFT(report_47_flagged!B50,2)</f>
        <v>47</v>
      </c>
      <c r="C58" s="44">
        <f>report_47_flagged!E50</f>
        <v>3800</v>
      </c>
      <c r="D58" s="398">
        <f>report_47_flagged!AM50</f>
        <v>3992.7</v>
      </c>
      <c r="E58" s="44" t="str">
        <f>report_47_flagged!D50</f>
        <v>McLane-PARFLUX-Mark78H-21 ; frame# 12993-01, controller# 12993-01 and Motor # 12993-01 Cup set ACx21</v>
      </c>
      <c r="F58" s="44"/>
      <c r="G58" s="44"/>
      <c r="H58" s="44">
        <f>report_47_flagged!C50</f>
        <v>3</v>
      </c>
      <c r="I58" s="44">
        <f>report_47_flagged!F50</f>
        <v>1</v>
      </c>
      <c r="J58" s="63">
        <f>report_47_flagged!AC50</f>
        <v>44730</v>
      </c>
      <c r="K58" s="63">
        <f>report_47_flagged!AD50</f>
        <v>44747</v>
      </c>
      <c r="L58" s="63">
        <f>report_47_flagged!AE50</f>
        <v>44738.5</v>
      </c>
      <c r="M58" s="398">
        <f>report_47_flagged!AF50</f>
        <v>17</v>
      </c>
      <c r="N58" s="208">
        <f>report_47_flagged!H50</f>
        <v>25.178151260504201</v>
      </c>
      <c r="O58" s="208">
        <f t="shared" si="0"/>
        <v>1.510689075630252E-2</v>
      </c>
      <c r="P58" s="208">
        <f>report_47_flagged!J50</f>
        <v>3</v>
      </c>
      <c r="Q58" s="453">
        <f>report_47_flagged!BA50</f>
        <v>39.081455997028186</v>
      </c>
      <c r="R58" s="453">
        <f t="shared" si="1"/>
        <v>0.85979203193462006</v>
      </c>
      <c r="S58" s="454">
        <f>report_47_flagged!BB50</f>
        <v>2</v>
      </c>
      <c r="T58" s="453">
        <f>report_47_flagged!BC50</f>
        <v>8.5949999999999989</v>
      </c>
      <c r="U58" s="453">
        <f t="shared" si="2"/>
        <v>0.24925499999999998</v>
      </c>
      <c r="V58" s="454">
        <f>report_47_flagged!BD50</f>
        <v>1</v>
      </c>
      <c r="W58" s="399">
        <f>(report_47_flagged!N50/100)*report_47_flagged!H50</f>
        <v>3.3837109899601012</v>
      </c>
      <c r="X58" s="399">
        <f t="shared" si="3"/>
        <v>7.1086928109605652E-2</v>
      </c>
      <c r="Y58" s="398">
        <f>report_47_flagged!AP50</f>
        <v>3</v>
      </c>
      <c r="Z58" s="399">
        <f>(report_47_flagged!P50/100)*report_47_flagged!H50</f>
        <v>0.16789818320154143</v>
      </c>
      <c r="AA58" s="399">
        <f t="shared" si="4"/>
        <v>6.3809262192793311E-3</v>
      </c>
      <c r="AB58" s="398">
        <f>report_47_flagged!AR50</f>
        <v>3</v>
      </c>
      <c r="AC58" s="399">
        <f>(report_47_flagged!R50/100)*report_47_flagged!H50</f>
        <v>1.09817561796582</v>
      </c>
      <c r="AD58" s="399">
        <f t="shared" si="5"/>
        <v>3.0755976193205393E-2</v>
      </c>
      <c r="AE58" s="398">
        <f>report_47_flagged!AT50</f>
        <v>3</v>
      </c>
      <c r="AF58" s="399">
        <f>(report_47_flagged!L50/100)*report_47_flagged!H50</f>
        <v>2.2855353719942815</v>
      </c>
      <c r="AG58" s="399">
        <f t="shared" si="6"/>
        <v>4.3446819112832186E-2</v>
      </c>
      <c r="AH58" s="398">
        <f>report_47_flagged!AV50</f>
        <v>3</v>
      </c>
      <c r="AI58" s="399">
        <f>(report_47_flagged!T50/100)*report_47_flagged!H50</f>
        <v>0.72658013679716582</v>
      </c>
      <c r="AJ58" s="399">
        <f t="shared" si="7"/>
        <v>3.5605095672910467E-2</v>
      </c>
      <c r="AK58" s="398">
        <f>report_47_flagged!AX50</f>
        <v>3</v>
      </c>
    </row>
    <row r="59" spans="1:37" ht="15.5">
      <c r="A59" s="44">
        <v>2022</v>
      </c>
      <c r="B59" s="44" t="str">
        <f>LEFT(report_47_flagged!B51,2)</f>
        <v>47</v>
      </c>
      <c r="C59" s="44">
        <f>report_47_flagged!E51</f>
        <v>3800</v>
      </c>
      <c r="D59" s="398">
        <f>report_47_flagged!AM51</f>
        <v>3992.7</v>
      </c>
      <c r="E59" s="44" t="str">
        <f>report_47_flagged!D51</f>
        <v>McLane-PARFLUX-Mark78H-21 ; frame# 12993-01, controller# 12993-01 and Motor # 12993-01 Cup set ACx21</v>
      </c>
      <c r="F59" s="44"/>
      <c r="G59" s="44"/>
      <c r="H59" s="44">
        <f>report_47_flagged!C51</f>
        <v>4</v>
      </c>
      <c r="I59" s="44">
        <f>report_47_flagged!F51</f>
        <v>1</v>
      </c>
      <c r="J59" s="63">
        <f>report_47_flagged!AC51</f>
        <v>44747</v>
      </c>
      <c r="K59" s="63">
        <f>report_47_flagged!AD51</f>
        <v>44764</v>
      </c>
      <c r="L59" s="63">
        <f>report_47_flagged!AE51</f>
        <v>44755.5</v>
      </c>
      <c r="M59" s="398">
        <f>report_47_flagged!AF51</f>
        <v>17</v>
      </c>
      <c r="N59" s="208">
        <f>report_47_flagged!H51</f>
        <v>24.144537815126046</v>
      </c>
      <c r="O59" s="208">
        <f t="shared" si="0"/>
        <v>1.4486722689075627E-2</v>
      </c>
      <c r="P59" s="208">
        <f>report_47_flagged!J51</f>
        <v>3</v>
      </c>
      <c r="Q59" s="453">
        <f>report_47_flagged!BA51</f>
        <v>39.008908556296177</v>
      </c>
      <c r="R59" s="453">
        <f t="shared" si="1"/>
        <v>0.85819598823851584</v>
      </c>
      <c r="S59" s="454">
        <f>report_47_flagged!BB51</f>
        <v>2</v>
      </c>
      <c r="T59" s="453">
        <f>report_47_flagged!BC51</f>
        <v>8.56</v>
      </c>
      <c r="U59" s="453">
        <f t="shared" si="2"/>
        <v>0.24824000000000002</v>
      </c>
      <c r="V59" s="454">
        <f>report_47_flagged!BD51</f>
        <v>1</v>
      </c>
      <c r="W59" s="399">
        <f>(report_47_flagged!N51/100)*report_47_flagged!H51</f>
        <v>3.7871737839514461</v>
      </c>
      <c r="X59" s="399">
        <f t="shared" si="3"/>
        <v>7.9563104330465914E-2</v>
      </c>
      <c r="Y59" s="398">
        <f>report_47_flagged!AP51</f>
        <v>3</v>
      </c>
      <c r="Z59" s="399">
        <f>(report_47_flagged!P51/100)*report_47_flagged!H51</f>
        <v>0.28975153333599823</v>
      </c>
      <c r="AA59" s="399">
        <f t="shared" si="4"/>
        <v>1.1011930688497682E-2</v>
      </c>
      <c r="AB59" s="398">
        <f>report_47_flagged!AR51</f>
        <v>3</v>
      </c>
      <c r="AC59" s="399">
        <f>(report_47_flagged!R51/100)*report_47_flagged!H51</f>
        <v>1.8504032282666043</v>
      </c>
      <c r="AD59" s="399">
        <f t="shared" si="5"/>
        <v>5.1823184475553896E-2</v>
      </c>
      <c r="AE59" s="398">
        <f>report_47_flagged!AT51</f>
        <v>3</v>
      </c>
      <c r="AF59" s="399">
        <f>(report_47_flagged!L51/100)*report_47_flagged!H51</f>
        <v>1.9367705556848418</v>
      </c>
      <c r="AG59" s="399">
        <f t="shared" si="6"/>
        <v>3.6816984338542691E-2</v>
      </c>
      <c r="AH59" s="398">
        <f>report_47_flagged!AV51</f>
        <v>3</v>
      </c>
      <c r="AI59" s="399">
        <f>(report_47_flagged!T51/100)*report_47_flagged!H51</f>
        <v>0.7507294108819158</v>
      </c>
      <c r="AJ59" s="399">
        <f t="shared" si="7"/>
        <v>3.6788498811357255E-2</v>
      </c>
      <c r="AK59" s="398">
        <f>report_47_flagged!AX51</f>
        <v>3</v>
      </c>
    </row>
    <row r="60" spans="1:37" ht="15.5">
      <c r="A60" s="44">
        <v>2022</v>
      </c>
      <c r="B60" s="44" t="str">
        <f>LEFT(report_47_flagged!B52,2)</f>
        <v>47</v>
      </c>
      <c r="C60" s="44">
        <f>report_47_flagged!E52</f>
        <v>3800</v>
      </c>
      <c r="D60" s="398">
        <f>report_47_flagged!AM52</f>
        <v>3992.7</v>
      </c>
      <c r="E60" s="44" t="str">
        <f>report_47_flagged!D52</f>
        <v>McLane-PARFLUX-Mark78H-21 ; frame# 12993-01, controller# 12993-01 and Motor # 12993-01 Cup set ACx21</v>
      </c>
      <c r="F60" s="44"/>
      <c r="G60" s="44"/>
      <c r="H60" s="44">
        <f>report_47_flagged!C52</f>
        <v>5</v>
      </c>
      <c r="I60" s="44">
        <f>report_47_flagged!F52</f>
        <v>1</v>
      </c>
      <c r="J60" s="63">
        <f>report_47_flagged!AC52</f>
        <v>44764</v>
      </c>
      <c r="K60" s="63">
        <f>report_47_flagged!AD52</f>
        <v>44781</v>
      </c>
      <c r="L60" s="63">
        <f>report_47_flagged!AE52</f>
        <v>44772.5</v>
      </c>
      <c r="M60" s="398">
        <f>report_47_flagged!AF52</f>
        <v>17</v>
      </c>
      <c r="N60" s="208">
        <f>report_47_flagged!H52</f>
        <v>38.810084033613457</v>
      </c>
      <c r="O60" s="208">
        <f t="shared" si="0"/>
        <v>2.3286050420168073E-2</v>
      </c>
      <c r="P60" s="208">
        <f>report_47_flagged!J52</f>
        <v>3</v>
      </c>
      <c r="Q60" s="453">
        <f>report_47_flagged!BA52</f>
        <v>38.501420298682284</v>
      </c>
      <c r="R60" s="453">
        <f t="shared" si="1"/>
        <v>0.84703124657101014</v>
      </c>
      <c r="S60" s="454">
        <f>report_47_flagged!BB52</f>
        <v>2</v>
      </c>
      <c r="T60" s="453">
        <f>report_47_flagged!BC52</f>
        <v>8.56</v>
      </c>
      <c r="U60" s="453">
        <f t="shared" si="2"/>
        <v>0.24824000000000002</v>
      </c>
      <c r="V60" s="454">
        <f>report_47_flagged!BD52</f>
        <v>1</v>
      </c>
      <c r="W60" s="399">
        <f>(report_47_flagged!N52/100)*report_47_flagged!H52</f>
        <v>4.9257508482732701</v>
      </c>
      <c r="X60" s="399">
        <f t="shared" si="3"/>
        <v>0.10348297992233664</v>
      </c>
      <c r="Y60" s="398">
        <f>report_47_flagged!AP52</f>
        <v>3</v>
      </c>
      <c r="Z60" s="399">
        <f>(report_47_flagged!P52/100)*report_47_flagged!H52</f>
        <v>0.2087118701133408</v>
      </c>
      <c r="AA60" s="399">
        <f t="shared" si="4"/>
        <v>7.9320396378703157E-3</v>
      </c>
      <c r="AB60" s="398">
        <f>report_47_flagged!AR52</f>
        <v>3</v>
      </c>
      <c r="AC60" s="399">
        <f>(report_47_flagged!R52/100)*report_47_flagged!H52</f>
        <v>1.3412204669071834</v>
      </c>
      <c r="AD60" s="399">
        <f t="shared" si="5"/>
        <v>3.7562794215415786E-2</v>
      </c>
      <c r="AE60" s="398">
        <f>report_47_flagged!AT52</f>
        <v>3</v>
      </c>
      <c r="AF60" s="399">
        <f>(report_47_flagged!L52/100)*report_47_flagged!H52</f>
        <v>3.5845303813660871</v>
      </c>
      <c r="AG60" s="399">
        <f t="shared" si="6"/>
        <v>6.8140027492890373E-2</v>
      </c>
      <c r="AH60" s="398">
        <f>report_47_flagged!AV52</f>
        <v>3</v>
      </c>
      <c r="AI60" s="399">
        <f>(report_47_flagged!T52/100)*report_47_flagged!H52</f>
        <v>1.383541938596073</v>
      </c>
      <c r="AJ60" s="399">
        <f t="shared" si="7"/>
        <v>6.7798637199669387E-2</v>
      </c>
      <c r="AK60" s="398">
        <f>report_47_flagged!AX52</f>
        <v>3</v>
      </c>
    </row>
    <row r="61" spans="1:37" ht="15.5">
      <c r="A61" s="44">
        <v>2022</v>
      </c>
      <c r="B61" s="44" t="str">
        <f>LEFT(report_47_flagged!B53,2)</f>
        <v>47</v>
      </c>
      <c r="C61" s="44">
        <f>report_47_flagged!E53</f>
        <v>3800</v>
      </c>
      <c r="D61" s="398">
        <f>report_47_flagged!AM53</f>
        <v>3992.7</v>
      </c>
      <c r="E61" s="44" t="str">
        <f>report_47_flagged!D53</f>
        <v>McLane-PARFLUX-Mark78H-21 ; frame# 12993-01, controller# 12993-01 and Motor # 12993-01 Cup set ACx21</v>
      </c>
      <c r="F61" s="44"/>
      <c r="G61" s="44"/>
      <c r="H61" s="44">
        <f>report_47_flagged!C53</f>
        <v>6</v>
      </c>
      <c r="I61" s="44">
        <f>report_47_flagged!F53</f>
        <v>1</v>
      </c>
      <c r="J61" s="63">
        <f>report_47_flagged!AC53</f>
        <v>44781</v>
      </c>
      <c r="K61" s="63">
        <f>report_47_flagged!AD53</f>
        <v>44798</v>
      </c>
      <c r="L61" s="63">
        <f>report_47_flagged!AE53</f>
        <v>44789.5</v>
      </c>
      <c r="M61" s="398">
        <f>report_47_flagged!AF53</f>
        <v>17</v>
      </c>
      <c r="N61" s="208">
        <f>report_47_flagged!H53</f>
        <v>23.058823529411764</v>
      </c>
      <c r="O61" s="208">
        <f t="shared" si="0"/>
        <v>1.3835294117647057E-2</v>
      </c>
      <c r="P61" s="208">
        <f>report_47_flagged!J53</f>
        <v>3</v>
      </c>
      <c r="Q61" s="453">
        <f>report_47_flagged!BA53</f>
        <v>39.008908556296177</v>
      </c>
      <c r="R61" s="453">
        <f t="shared" si="1"/>
        <v>0.85819598823851584</v>
      </c>
      <c r="S61" s="454">
        <f>report_47_flagged!BB53</f>
        <v>2</v>
      </c>
      <c r="T61" s="453">
        <f>report_47_flagged!BC53</f>
        <v>8.61</v>
      </c>
      <c r="U61" s="453">
        <f t="shared" si="2"/>
        <v>0.24969</v>
      </c>
      <c r="V61" s="454">
        <f>report_47_flagged!BD53</f>
        <v>1</v>
      </c>
      <c r="W61" s="399">
        <f>(report_47_flagged!N53/100)*report_47_flagged!H53</f>
        <v>2.7642033431109261</v>
      </c>
      <c r="X61" s="399">
        <f t="shared" si="3"/>
        <v>5.8071958543473301E-2</v>
      </c>
      <c r="Y61" s="398">
        <f>report_47_flagged!AP53</f>
        <v>3</v>
      </c>
      <c r="Z61" s="399">
        <f>(report_47_flagged!P53/100)*report_47_flagged!H53</f>
        <v>0.10508123271605548</v>
      </c>
      <c r="AA61" s="399">
        <f t="shared" si="4"/>
        <v>3.9935845653981776E-3</v>
      </c>
      <c r="AB61" s="398">
        <f>report_47_flagged!AR53</f>
        <v>3</v>
      </c>
      <c r="AC61" s="399">
        <f>(report_47_flagged!R53/100)*report_47_flagged!H53</f>
        <v>0.67751697898650953</v>
      </c>
      <c r="AD61" s="399">
        <f t="shared" si="5"/>
        <v>1.897483037804076E-2</v>
      </c>
      <c r="AE61" s="398">
        <f>report_47_flagged!AT53</f>
        <v>3</v>
      </c>
      <c r="AF61" s="399">
        <f>(report_47_flagged!L53/100)*report_47_flagged!H53</f>
        <v>2.0866863641244167</v>
      </c>
      <c r="AG61" s="399">
        <f t="shared" si="6"/>
        <v>3.9666804600018174E-2</v>
      </c>
      <c r="AH61" s="398">
        <f>report_47_flagged!AV53</f>
        <v>3</v>
      </c>
      <c r="AI61" s="399">
        <f>(report_47_flagged!T53/100)*report_47_flagged!H53</f>
        <v>1.1105503291875021</v>
      </c>
      <c r="AJ61" s="399">
        <f t="shared" si="7"/>
        <v>5.4421045549916641E-2</v>
      </c>
      <c r="AK61" s="398">
        <f>report_47_flagged!AX53</f>
        <v>3</v>
      </c>
    </row>
    <row r="62" spans="1:37" ht="15.5">
      <c r="A62" s="44">
        <v>2022</v>
      </c>
      <c r="B62" s="44" t="str">
        <f>LEFT(report_47_flagged!B54,2)</f>
        <v>47</v>
      </c>
      <c r="C62" s="44">
        <f>report_47_flagged!E54</f>
        <v>3800</v>
      </c>
      <c r="D62" s="398">
        <f>report_47_flagged!AM54</f>
        <v>3992.7</v>
      </c>
      <c r="E62" s="44" t="str">
        <f>report_47_flagged!D54</f>
        <v>McLane-PARFLUX-Mark78H-21 ; frame# 12993-01, controller# 12993-01 and Motor # 12993-01 Cup set ACx21</v>
      </c>
      <c r="F62" s="44"/>
      <c r="G62" s="44"/>
      <c r="H62" s="44">
        <f>report_47_flagged!C54</f>
        <v>7</v>
      </c>
      <c r="I62" s="44">
        <f>report_47_flagged!F54</f>
        <v>1</v>
      </c>
      <c r="J62" s="63">
        <f>report_47_flagged!AC54</f>
        <v>44798</v>
      </c>
      <c r="K62" s="63">
        <f>report_47_flagged!AD54</f>
        <v>44815</v>
      </c>
      <c r="L62" s="63">
        <f>report_47_flagged!AE54</f>
        <v>44806.5</v>
      </c>
      <c r="M62" s="398">
        <f>report_47_flagged!AF54</f>
        <v>17</v>
      </c>
      <c r="N62" s="208">
        <f>report_47_flagged!H54</f>
        <v>32.699159663865544</v>
      </c>
      <c r="O62" s="208">
        <f t="shared" si="0"/>
        <v>1.9619495798319325E-2</v>
      </c>
      <c r="P62" s="208">
        <f>report_47_flagged!J54</f>
        <v>3</v>
      </c>
      <c r="Q62" s="453">
        <f>report_47_flagged!BA54</f>
        <v>38.936377437123824</v>
      </c>
      <c r="R62" s="453">
        <f t="shared" si="1"/>
        <v>0.85660030361672412</v>
      </c>
      <c r="S62" s="454">
        <f>report_47_flagged!BB54</f>
        <v>2</v>
      </c>
      <c r="T62" s="453">
        <f>report_47_flagged!BC54</f>
        <v>8.6300000000000008</v>
      </c>
      <c r="U62" s="453">
        <f t="shared" si="2"/>
        <v>0.25027000000000005</v>
      </c>
      <c r="V62" s="454">
        <f>report_47_flagged!BD54</f>
        <v>1</v>
      </c>
      <c r="W62" s="399">
        <f>(report_47_flagged!N54/100)*report_47_flagged!H54</f>
        <v>3.9091580061712183</v>
      </c>
      <c r="X62" s="399">
        <f t="shared" si="3"/>
        <v>8.2125818362832309E-2</v>
      </c>
      <c r="Y62" s="398">
        <f>report_47_flagged!AP54</f>
        <v>3</v>
      </c>
      <c r="Z62" s="399">
        <f>(report_47_flagged!P54/100)*report_47_flagged!H54</f>
        <v>0.1817913438813025</v>
      </c>
      <c r="AA62" s="399">
        <f t="shared" si="4"/>
        <v>6.9089321307175327E-3</v>
      </c>
      <c r="AB62" s="398">
        <f>report_47_flagged!AR54</f>
        <v>3</v>
      </c>
      <c r="AC62" s="399">
        <f>(report_47_flagged!R54/100)*report_47_flagged!H54</f>
        <v>0.99735540053280936</v>
      </c>
      <c r="AD62" s="399">
        <f t="shared" si="5"/>
        <v>2.7932362049497481E-2</v>
      </c>
      <c r="AE62" s="398">
        <f>report_47_flagged!AT54</f>
        <v>3</v>
      </c>
      <c r="AF62" s="399">
        <f>(report_47_flagged!L54/100)*report_47_flagged!H54</f>
        <v>2.911802605638409</v>
      </c>
      <c r="AG62" s="399">
        <f t="shared" si="6"/>
        <v>5.5351828131654887E-2</v>
      </c>
      <c r="AH62" s="398">
        <f>report_47_flagged!AV54</f>
        <v>3</v>
      </c>
      <c r="AI62" s="399">
        <f>(report_47_flagged!T54/100)*report_47_flagged!H54</f>
        <v>1.5798150121252845</v>
      </c>
      <c r="AJ62" s="399">
        <f t="shared" si="7"/>
        <v>7.741673877870367E-2</v>
      </c>
      <c r="AK62" s="398">
        <f>report_47_flagged!AX54</f>
        <v>3</v>
      </c>
    </row>
    <row r="63" spans="1:37" ht="15.5">
      <c r="A63" s="44">
        <v>2022</v>
      </c>
      <c r="B63" s="44" t="str">
        <f>LEFT(report_47_flagged!B55,2)</f>
        <v>47</v>
      </c>
      <c r="C63" s="44">
        <f>report_47_flagged!E55</f>
        <v>3800</v>
      </c>
      <c r="D63" s="398">
        <f>report_47_flagged!AM55</f>
        <v>3992.7</v>
      </c>
      <c r="E63" s="44" t="str">
        <f>report_47_flagged!D55</f>
        <v>McLane-PARFLUX-Mark78H-21 ; frame# 12993-01, controller# 12993-01 and Motor # 12993-01 Cup set ACx21</v>
      </c>
      <c r="F63" s="44"/>
      <c r="G63" s="44"/>
      <c r="H63" s="44">
        <f>report_47_flagged!C55</f>
        <v>8</v>
      </c>
      <c r="I63" s="44">
        <f>report_47_flagged!F55</f>
        <v>1</v>
      </c>
      <c r="J63" s="63">
        <f>report_47_flagged!AC55</f>
        <v>44815</v>
      </c>
      <c r="K63" s="63">
        <f>report_47_flagged!AD55</f>
        <v>44832</v>
      </c>
      <c r="L63" s="63">
        <f>report_47_flagged!AE55</f>
        <v>44823.5</v>
      </c>
      <c r="M63" s="398">
        <f>report_47_flagged!AF55</f>
        <v>17</v>
      </c>
      <c r="N63" s="208">
        <f>report_47_flagged!H55</f>
        <v>24.709243697478989</v>
      </c>
      <c r="O63" s="208">
        <f t="shared" si="0"/>
        <v>1.4825546218487392E-2</v>
      </c>
      <c r="P63" s="208">
        <f>report_47_flagged!J55</f>
        <v>3</v>
      </c>
      <c r="Q63" s="453">
        <f>report_47_flagged!BA55</f>
        <v>39.008908556296177</v>
      </c>
      <c r="R63" s="453">
        <f t="shared" si="1"/>
        <v>0.85819598823851584</v>
      </c>
      <c r="S63" s="454">
        <f>report_47_flagged!BB55</f>
        <v>2</v>
      </c>
      <c r="T63" s="453">
        <f>report_47_flagged!BC55</f>
        <v>8.61</v>
      </c>
      <c r="U63" s="453">
        <f t="shared" si="2"/>
        <v>0.24969</v>
      </c>
      <c r="V63" s="454">
        <f>report_47_flagged!BD55</f>
        <v>1</v>
      </c>
      <c r="W63" s="399">
        <f>(report_47_flagged!N55/100)*report_47_flagged!H55</f>
        <v>3.0397033647809706</v>
      </c>
      <c r="X63" s="399">
        <f t="shared" si="3"/>
        <v>6.385981994557377E-2</v>
      </c>
      <c r="Y63" s="398">
        <f>report_47_flagged!AP55</f>
        <v>3</v>
      </c>
      <c r="Z63" s="399">
        <f>(report_47_flagged!P55/100)*report_47_flagged!H55</f>
        <v>0.14490379076244447</v>
      </c>
      <c r="AA63" s="399">
        <f t="shared" si="4"/>
        <v>5.5070303925752028E-3</v>
      </c>
      <c r="AB63" s="398">
        <f>report_47_flagged!AR55</f>
        <v>3</v>
      </c>
      <c r="AC63" s="399">
        <f>(report_47_flagged!R55/100)*report_47_flagged!H55</f>
        <v>0.90098650604431396</v>
      </c>
      <c r="AD63" s="399">
        <f t="shared" si="5"/>
        <v>2.5233413560599292E-2</v>
      </c>
      <c r="AE63" s="398">
        <f>report_47_flagged!AT55</f>
        <v>3</v>
      </c>
      <c r="AF63" s="399">
        <f>(report_47_flagged!L55/100)*report_47_flagged!H55</f>
        <v>2.138716858736657</v>
      </c>
      <c r="AG63" s="399">
        <f t="shared" si="6"/>
        <v>4.0655876795298487E-2</v>
      </c>
      <c r="AH63" s="398">
        <f>report_47_flagged!AV55</f>
        <v>3</v>
      </c>
      <c r="AI63" s="399">
        <f>(report_47_flagged!T55/100)*report_47_flagged!H55</f>
        <v>1.233482656162352</v>
      </c>
      <c r="AJ63" s="399">
        <f t="shared" si="7"/>
        <v>6.0445181142897965E-2</v>
      </c>
      <c r="AK63" s="398">
        <f>report_47_flagged!AX55</f>
        <v>3</v>
      </c>
    </row>
    <row r="64" spans="1:37" ht="15.5">
      <c r="A64" s="44">
        <v>2022</v>
      </c>
      <c r="B64" s="44" t="str">
        <f>LEFT(report_47_flagged!B56,2)</f>
        <v>47</v>
      </c>
      <c r="C64" s="44">
        <f>report_47_flagged!E56</f>
        <v>3800</v>
      </c>
      <c r="D64" s="398">
        <f>report_47_flagged!AM56</f>
        <v>3992.7</v>
      </c>
      <c r="E64" s="44" t="str">
        <f>report_47_flagged!D56</f>
        <v>McLane-PARFLUX-Mark78H-21 ; frame# 12993-01, controller# 12993-01 and Motor # 12993-01 Cup set ACx21</v>
      </c>
      <c r="F64" s="44"/>
      <c r="G64" s="44"/>
      <c r="H64" s="44">
        <f>report_47_flagged!C56</f>
        <v>9</v>
      </c>
      <c r="I64" s="44">
        <f>report_47_flagged!F56</f>
        <v>1</v>
      </c>
      <c r="J64" s="63">
        <f>report_47_flagged!AC56</f>
        <v>44832</v>
      </c>
      <c r="K64" s="63">
        <f>report_47_flagged!AD56</f>
        <v>44849</v>
      </c>
      <c r="L64" s="63">
        <f>report_47_flagged!AE56</f>
        <v>44840.5</v>
      </c>
      <c r="M64" s="398">
        <f>report_47_flagged!AF56</f>
        <v>17</v>
      </c>
      <c r="N64" s="208">
        <f>report_47_flagged!H56</f>
        <v>36.238655462184873</v>
      </c>
      <c r="O64" s="208">
        <f t="shared" si="0"/>
        <v>2.1743193277310922E-2</v>
      </c>
      <c r="P64" s="208">
        <f>report_47_flagged!J56</f>
        <v>3</v>
      </c>
      <c r="Q64" s="453">
        <f>report_47_flagged!BA56</f>
        <v>38.936377437123824</v>
      </c>
      <c r="R64" s="453">
        <f t="shared" si="1"/>
        <v>0.85660030361672412</v>
      </c>
      <c r="S64" s="454">
        <f>report_47_flagged!BB56</f>
        <v>2</v>
      </c>
      <c r="T64" s="453">
        <f>report_47_flagged!BC56</f>
        <v>8.61</v>
      </c>
      <c r="U64" s="453">
        <f t="shared" si="2"/>
        <v>0.24969</v>
      </c>
      <c r="V64" s="454">
        <f>report_47_flagged!BD56</f>
        <v>1</v>
      </c>
      <c r="W64" s="399">
        <f>(report_47_flagged!N56/100)*report_47_flagged!H56</f>
        <v>4.6238821397348611</v>
      </c>
      <c r="X64" s="399">
        <f t="shared" si="3"/>
        <v>9.7141150124791659E-2</v>
      </c>
      <c r="Y64" s="398">
        <f>report_47_flagged!AP56</f>
        <v>3</v>
      </c>
      <c r="Z64" s="399">
        <f>(report_47_flagged!P56/100)*report_47_flagged!H56</f>
        <v>0.23111916389785894</v>
      </c>
      <c r="AA64" s="399">
        <f t="shared" si="4"/>
        <v>8.7836229348801295E-3</v>
      </c>
      <c r="AB64" s="398">
        <f>report_47_flagged!AR56</f>
        <v>3</v>
      </c>
      <c r="AC64" s="399">
        <f>(report_47_flagged!R56/100)*report_47_flagged!H56</f>
        <v>1.4555488807759831</v>
      </c>
      <c r="AD64" s="399">
        <f t="shared" si="5"/>
        <v>4.0764724687765042E-2</v>
      </c>
      <c r="AE64" s="398">
        <f>report_47_flagged!AT56</f>
        <v>3</v>
      </c>
      <c r="AF64" s="399">
        <f>(report_47_flagged!L56/100)*report_47_flagged!H56</f>
        <v>3.168333258958878</v>
      </c>
      <c r="AG64" s="399">
        <f t="shared" si="6"/>
        <v>6.0228340229556018E-2</v>
      </c>
      <c r="AH64" s="398">
        <f>report_47_flagged!AV56</f>
        <v>3</v>
      </c>
      <c r="AI64" s="399">
        <f>(report_47_flagged!T56/100)*report_47_flagged!H56</f>
        <v>1.8618528918828228</v>
      </c>
      <c r="AJ64" s="399">
        <f t="shared" si="7"/>
        <v>9.1237630905507461E-2</v>
      </c>
      <c r="AK64" s="398">
        <f>report_47_flagged!AX56</f>
        <v>3</v>
      </c>
    </row>
    <row r="65" spans="1:37" ht="15.5">
      <c r="A65" s="44">
        <v>2022</v>
      </c>
      <c r="B65" s="44" t="str">
        <f>LEFT(report_47_flagged!B57,2)</f>
        <v>47</v>
      </c>
      <c r="C65" s="44">
        <f>report_47_flagged!E57</f>
        <v>3800</v>
      </c>
      <c r="D65" s="398">
        <f>report_47_flagged!AM57</f>
        <v>3992.7</v>
      </c>
      <c r="E65" s="44" t="str">
        <f>report_47_flagged!D57</f>
        <v>McLane-PARFLUX-Mark78H-21 ; frame# 12993-01, controller# 12993-01 and Motor # 12993-01 Cup set ACx21</v>
      </c>
      <c r="F65" s="44"/>
      <c r="G65" s="44"/>
      <c r="H65" s="44">
        <f>report_47_flagged!C57</f>
        <v>10</v>
      </c>
      <c r="I65" s="44">
        <f>report_47_flagged!F57</f>
        <v>1</v>
      </c>
      <c r="J65" s="63">
        <f>report_47_flagged!AC57</f>
        <v>44849</v>
      </c>
      <c r="K65" s="63">
        <f>report_47_flagged!AD57</f>
        <v>44866</v>
      </c>
      <c r="L65" s="63">
        <f>report_47_flagged!AE57</f>
        <v>44857.5</v>
      </c>
      <c r="M65" s="398">
        <f>report_47_flagged!AF57</f>
        <v>17</v>
      </c>
      <c r="N65" s="208">
        <f>report_47_flagged!H57</f>
        <v>32.877310924369745</v>
      </c>
      <c r="O65" s="208">
        <f t="shared" si="0"/>
        <v>1.9726386554621844E-2</v>
      </c>
      <c r="P65" s="208">
        <f>report_47_flagged!J57</f>
        <v>3</v>
      </c>
      <c r="Q65" s="453">
        <f>report_47_flagged!BA57</f>
        <v>39.081450562157663</v>
      </c>
      <c r="R65" s="453">
        <f t="shared" si="1"/>
        <v>0.85979191236746855</v>
      </c>
      <c r="S65" s="454">
        <f>report_47_flagged!BB57</f>
        <v>2</v>
      </c>
      <c r="T65" s="453">
        <f>report_47_flagged!BC57</f>
        <v>8.59</v>
      </c>
      <c r="U65" s="453">
        <f t="shared" si="2"/>
        <v>0.24911</v>
      </c>
      <c r="V65" s="454">
        <f>report_47_flagged!BD57</f>
        <v>1</v>
      </c>
      <c r="W65" s="399">
        <f>(report_47_flagged!N57/100)*report_47_flagged!H57</f>
        <v>4.0898144323845864</v>
      </c>
      <c r="X65" s="399">
        <f t="shared" si="3"/>
        <v>8.5921151481078137E-2</v>
      </c>
      <c r="Y65" s="398">
        <f>report_47_flagged!AP57</f>
        <v>3</v>
      </c>
      <c r="Z65" s="399">
        <f>(report_47_flagged!P57/100)*report_47_flagged!H57</f>
        <v>0.16267356432686333</v>
      </c>
      <c r="AA65" s="399">
        <f t="shared" si="4"/>
        <v>6.1823659553891788E-3</v>
      </c>
      <c r="AB65" s="398">
        <f>report_47_flagged!AR57</f>
        <v>3</v>
      </c>
      <c r="AC65" s="399">
        <f>(report_47_flagged!R57/100)*report_47_flagged!H57</f>
        <v>1.050064099596848</v>
      </c>
      <c r="AD65" s="399">
        <f t="shared" si="5"/>
        <v>2.9408544426038696E-2</v>
      </c>
      <c r="AE65" s="398">
        <f>report_47_flagged!AT57</f>
        <v>3</v>
      </c>
      <c r="AF65" s="399">
        <f>(report_47_flagged!L57/100)*report_47_flagged!H57</f>
        <v>3.0397503327877389</v>
      </c>
      <c r="AG65" s="399">
        <f t="shared" si="6"/>
        <v>5.7784046781810545E-2</v>
      </c>
      <c r="AH65" s="398">
        <f>report_47_flagged!AV57</f>
        <v>3</v>
      </c>
      <c r="AI65" s="399">
        <f>(report_47_flagged!T57/100)*report_47_flagged!H57</f>
        <v>1.5037582194323085</v>
      </c>
      <c r="AJ65" s="399">
        <f t="shared" si="7"/>
        <v>7.3689676554920217E-2</v>
      </c>
      <c r="AK65" s="398">
        <f>report_47_flagged!AX57</f>
        <v>3</v>
      </c>
    </row>
    <row r="66" spans="1:37" ht="15.5">
      <c r="A66" s="44">
        <v>2022</v>
      </c>
      <c r="B66" s="44" t="str">
        <f>LEFT(report_47_flagged!B58,2)</f>
        <v>47</v>
      </c>
      <c r="C66" s="44">
        <f>report_47_flagged!E58</f>
        <v>3800</v>
      </c>
      <c r="D66" s="398">
        <f>report_47_flagged!AM58</f>
        <v>3992.7</v>
      </c>
      <c r="E66" s="44" t="str">
        <f>report_47_flagged!D58</f>
        <v>McLane-PARFLUX-Mark78H-21 ; frame# 12993-01, controller# 12993-01 and Motor # 12993-01 Cup set ACx21</v>
      </c>
      <c r="F66" s="44"/>
      <c r="G66" s="44"/>
      <c r="H66" s="44">
        <f>report_47_flagged!C58</f>
        <v>11</v>
      </c>
      <c r="I66" s="44">
        <f>report_47_flagged!F58</f>
        <v>1</v>
      </c>
      <c r="J66" s="63">
        <f>report_47_flagged!AC58</f>
        <v>44866</v>
      </c>
      <c r="K66" s="63">
        <f>report_47_flagged!AD58</f>
        <v>44883</v>
      </c>
      <c r="L66" s="63">
        <f>report_47_flagged!AE58</f>
        <v>44874.5</v>
      </c>
      <c r="M66" s="398">
        <f>report_47_flagged!AF58</f>
        <v>17</v>
      </c>
      <c r="N66" s="208">
        <f>report_47_flagged!H58</f>
        <v>26.910924369747903</v>
      </c>
      <c r="O66" s="208">
        <f t="shared" si="0"/>
        <v>1.614655462184874E-2</v>
      </c>
      <c r="P66" s="208">
        <f>report_47_flagged!J58</f>
        <v>3</v>
      </c>
      <c r="Q66" s="453">
        <f>report_47_flagged!BA58</f>
        <v>38.501420298682284</v>
      </c>
      <c r="R66" s="453">
        <f t="shared" si="1"/>
        <v>0.84703124657101014</v>
      </c>
      <c r="S66" s="454">
        <f>report_47_flagged!BB58</f>
        <v>2</v>
      </c>
      <c r="T66" s="453">
        <f>report_47_flagged!BC58</f>
        <v>8.6199999999999992</v>
      </c>
      <c r="U66" s="453">
        <f t="shared" si="2"/>
        <v>0.24997999999999998</v>
      </c>
      <c r="V66" s="454">
        <f>report_47_flagged!BD58</f>
        <v>1</v>
      </c>
      <c r="W66" s="399">
        <f>(report_47_flagged!N58/100)*report_47_flagged!H58</f>
        <v>3.3485003553118031</v>
      </c>
      <c r="X66" s="399">
        <f t="shared" si="3"/>
        <v>7.0347203038119366E-2</v>
      </c>
      <c r="Y66" s="398">
        <f>report_47_flagged!AP58</f>
        <v>3</v>
      </c>
      <c r="Z66" s="399">
        <f>(report_47_flagged!P58/100)*report_47_flagged!H58</f>
        <v>0.12045881719348812</v>
      </c>
      <c r="AA66" s="399">
        <f t="shared" si="4"/>
        <v>4.5780056121908505E-3</v>
      </c>
      <c r="AB66" s="398">
        <f>report_47_flagged!AR58</f>
        <v>3</v>
      </c>
      <c r="AC66" s="399">
        <f>(report_47_flagged!R58/100)*report_47_flagged!H58</f>
        <v>0.80155996865105539</v>
      </c>
      <c r="AD66" s="399">
        <f t="shared" si="5"/>
        <v>2.2448831416347858E-2</v>
      </c>
      <c r="AE66" s="398">
        <f>report_47_flagged!AT58</f>
        <v>3</v>
      </c>
      <c r="AF66" s="399">
        <f>(report_47_flagged!L58/100)*report_47_flagged!H58</f>
        <v>2.5469403866607476</v>
      </c>
      <c r="AG66" s="399">
        <f t="shared" si="6"/>
        <v>4.841599024296056E-2</v>
      </c>
      <c r="AH66" s="398">
        <f>report_47_flagged!AV58</f>
        <v>3</v>
      </c>
      <c r="AI66" s="399">
        <f>(report_47_flagged!T58/100)*report_47_flagged!H58</f>
        <v>1.1584722089192998</v>
      </c>
      <c r="AJ66" s="399">
        <f t="shared" si="7"/>
        <v>5.6769393689734694E-2</v>
      </c>
      <c r="AK66" s="398">
        <f>report_47_flagged!AX58</f>
        <v>3</v>
      </c>
    </row>
    <row r="67" spans="1:37" ht="15.5">
      <c r="A67" s="44">
        <v>2022</v>
      </c>
      <c r="B67" s="44" t="str">
        <f>LEFT(report_47_flagged!B59,2)</f>
        <v>47</v>
      </c>
      <c r="C67" s="44">
        <f>report_47_flagged!E59</f>
        <v>3800</v>
      </c>
      <c r="D67" s="398">
        <f>report_47_flagged!AM59</f>
        <v>3992.7</v>
      </c>
      <c r="E67" s="44" t="str">
        <f>report_47_flagged!D59</f>
        <v>McLane-PARFLUX-Mark78H-21 ; frame# 12993-01, controller# 12993-01 and Motor # 12993-01 Cup set ACx21</v>
      </c>
      <c r="F67" s="44"/>
      <c r="G67" s="44"/>
      <c r="H67" s="44">
        <f>report_47_flagged!C59</f>
        <v>12</v>
      </c>
      <c r="I67" s="44">
        <f>report_47_flagged!F59</f>
        <v>1</v>
      </c>
      <c r="J67" s="63">
        <f>report_47_flagged!AC59</f>
        <v>44883</v>
      </c>
      <c r="K67" s="63">
        <f>report_47_flagged!AD59</f>
        <v>44900</v>
      </c>
      <c r="L67" s="63">
        <f>report_47_flagged!AE59</f>
        <v>44891.5</v>
      </c>
      <c r="M67" s="398">
        <f>report_47_flagged!AF59</f>
        <v>17</v>
      </c>
      <c r="N67" s="208">
        <f>report_47_flagged!H59</f>
        <v>23.152941176470591</v>
      </c>
      <c r="O67" s="208">
        <f t="shared" si="0"/>
        <v>1.3891764705882353E-2</v>
      </c>
      <c r="P67" s="208">
        <f>report_47_flagged!J59</f>
        <v>3</v>
      </c>
      <c r="Q67" s="453">
        <f>report_47_flagged!BA59</f>
        <v>38.863862682020248</v>
      </c>
      <c r="R67" s="453">
        <f t="shared" si="1"/>
        <v>0.85500497900444539</v>
      </c>
      <c r="S67" s="454">
        <f>report_47_flagged!BB59</f>
        <v>2</v>
      </c>
      <c r="T67" s="453">
        <f>report_47_flagged!BC59</f>
        <v>8.5949999999999989</v>
      </c>
      <c r="U67" s="453">
        <f t="shared" si="2"/>
        <v>0.24925499999999998</v>
      </c>
      <c r="V67" s="454">
        <f>report_47_flagged!BD59</f>
        <v>1</v>
      </c>
      <c r="W67" s="399">
        <f>(report_47_flagged!N59/100)*report_47_flagged!H59</f>
        <v>3.0615965558220362</v>
      </c>
      <c r="X67" s="399">
        <f t="shared" si="3"/>
        <v>6.4319764575077862E-2</v>
      </c>
      <c r="Y67" s="398">
        <f>report_47_flagged!AP59</f>
        <v>3</v>
      </c>
      <c r="Z67" s="399">
        <f>(report_47_flagged!P59/100)*report_47_flagged!H59</f>
        <v>0.15254942153481876</v>
      </c>
      <c r="AA67" s="399">
        <f t="shared" si="4"/>
        <v>5.7976005758142322E-3</v>
      </c>
      <c r="AB67" s="398">
        <f>report_47_flagged!AR59</f>
        <v>3</v>
      </c>
      <c r="AC67" s="399">
        <f>(report_47_flagged!R59/100)*report_47_flagged!H59</f>
        <v>0.95298334801364959</v>
      </c>
      <c r="AD67" s="399">
        <f t="shared" si="5"/>
        <v>2.6689659362789851E-2</v>
      </c>
      <c r="AE67" s="398">
        <f>report_47_flagged!AT59</f>
        <v>3</v>
      </c>
      <c r="AF67" s="399">
        <f>(report_47_flagged!L59/100)*report_47_flagged!H59</f>
        <v>2.1086132078083866</v>
      </c>
      <c r="AG67" s="399">
        <f t="shared" si="6"/>
        <v>4.0083622306244057E-2</v>
      </c>
      <c r="AH67" s="398">
        <f>report_47_flagged!AV59</f>
        <v>3</v>
      </c>
      <c r="AI67" s="399">
        <f>(report_47_flagged!T59/100)*report_47_flagged!H59</f>
        <v>0.89091354703403203</v>
      </c>
      <c r="AJ67" s="399">
        <f t="shared" si="7"/>
        <v>4.3658036425642165E-2</v>
      </c>
      <c r="AK67" s="398">
        <f>report_47_flagged!AX59</f>
        <v>3</v>
      </c>
    </row>
    <row r="68" spans="1:37" ht="15.5">
      <c r="A68" s="44">
        <v>2022</v>
      </c>
      <c r="B68" s="44" t="str">
        <f>LEFT(report_47_flagged!B60,2)</f>
        <v>47</v>
      </c>
      <c r="C68" s="44">
        <f>report_47_flagged!E60</f>
        <v>3800</v>
      </c>
      <c r="D68" s="398">
        <f>report_47_flagged!AM60</f>
        <v>3992.7</v>
      </c>
      <c r="E68" s="44" t="str">
        <f>report_47_flagged!D60</f>
        <v>McLane-PARFLUX-Mark78H-21 ; frame# 12993-01, controller# 12993-01 and Motor # 12993-01 Cup set ACx21</v>
      </c>
      <c r="F68" s="44"/>
      <c r="G68" s="44"/>
      <c r="H68" s="44">
        <f>report_47_flagged!C60</f>
        <v>13</v>
      </c>
      <c r="I68" s="44">
        <f>report_47_flagged!F60</f>
        <v>1</v>
      </c>
      <c r="J68" s="63">
        <f>report_47_flagged!AC60</f>
        <v>44900</v>
      </c>
      <c r="K68" s="63">
        <f>report_47_flagged!AD60</f>
        <v>44917</v>
      </c>
      <c r="L68" s="63">
        <f>report_47_flagged!AE60</f>
        <v>44908.5</v>
      </c>
      <c r="M68" s="398">
        <f>report_47_flagged!AF60</f>
        <v>17</v>
      </c>
      <c r="N68" s="208">
        <f>report_47_flagged!H60</f>
        <v>60.001680672268904</v>
      </c>
      <c r="O68" s="208">
        <f t="shared" si="0"/>
        <v>3.6001008403361338E-2</v>
      </c>
      <c r="P68" s="208">
        <f>report_47_flagged!J60</f>
        <v>3</v>
      </c>
      <c r="Q68" s="453">
        <f>report_47_flagged!BA60</f>
        <v>38.718849570056641</v>
      </c>
      <c r="R68" s="453">
        <f t="shared" si="1"/>
        <v>0.85181469054124603</v>
      </c>
      <c r="S68" s="454">
        <f>report_47_flagged!BB60</f>
        <v>2</v>
      </c>
      <c r="T68" s="453">
        <f>report_47_flagged!BC60</f>
        <v>8.57</v>
      </c>
      <c r="U68" s="453">
        <f t="shared" si="2"/>
        <v>0.24853000000000003</v>
      </c>
      <c r="V68" s="454">
        <f>report_47_flagged!BD60</f>
        <v>1</v>
      </c>
      <c r="W68" s="399">
        <f>(report_47_flagged!N60/100)*report_47_flagged!H60</f>
        <v>7.3423613099010048</v>
      </c>
      <c r="X68" s="399">
        <f t="shared" si="3"/>
        <v>0.1542525091948935</v>
      </c>
      <c r="Y68" s="398">
        <f>report_47_flagged!AP60</f>
        <v>3</v>
      </c>
      <c r="Z68" s="399">
        <f>(report_47_flagged!P60/100)*report_47_flagged!H60</f>
        <v>0.4034451838591519</v>
      </c>
      <c r="AA68" s="399">
        <f t="shared" si="4"/>
        <v>1.5332827923686539E-2</v>
      </c>
      <c r="AB68" s="398">
        <f>report_47_flagged!AR60</f>
        <v>3</v>
      </c>
      <c r="AC68" s="399">
        <f>(report_47_flagged!R60/100)*report_47_flagged!H60</f>
        <v>2.5014000877988694</v>
      </c>
      <c r="AD68" s="399">
        <f t="shared" si="5"/>
        <v>7.0055281041960266E-2</v>
      </c>
      <c r="AE68" s="398">
        <f>report_47_flagged!AT60</f>
        <v>3</v>
      </c>
      <c r="AF68" s="399">
        <f>(report_47_flagged!L60/100)*report_47_flagged!H60</f>
        <v>4.8409612221021359</v>
      </c>
      <c r="AG68" s="399">
        <f t="shared" si="6"/>
        <v>9.2024113529857357E-2</v>
      </c>
      <c r="AH68" s="398">
        <f>report_47_flagged!AV60</f>
        <v>3</v>
      </c>
      <c r="AI68" s="399">
        <f>(report_47_flagged!T60/100)*report_47_flagged!H60</f>
        <v>4.4231405379408946</v>
      </c>
      <c r="AJ68" s="399">
        <f t="shared" si="7"/>
        <v>0.21675013402145696</v>
      </c>
      <c r="AK68" s="398">
        <f>report_47_flagged!AX60</f>
        <v>3</v>
      </c>
    </row>
    <row r="69" spans="1:37" ht="15.5">
      <c r="A69" s="44">
        <v>2022</v>
      </c>
      <c r="B69" s="44" t="str">
        <f>LEFT(report_47_flagged!B61,2)</f>
        <v>47</v>
      </c>
      <c r="C69" s="44">
        <f>report_47_flagged!E61</f>
        <v>3800</v>
      </c>
      <c r="D69" s="398">
        <f>report_47_flagged!AM61</f>
        <v>3992.7</v>
      </c>
      <c r="E69" s="44" t="str">
        <f>report_47_flagged!D61</f>
        <v>McLane-PARFLUX-Mark78H-21 ; frame# 12993-01, controller# 12993-01 and Motor # 12993-01 Cup set ACx21</v>
      </c>
      <c r="F69" s="44"/>
      <c r="G69" s="44"/>
      <c r="H69" s="44">
        <f>report_47_flagged!C61</f>
        <v>14</v>
      </c>
      <c r="I69" s="44">
        <f>report_47_flagged!F61</f>
        <v>1</v>
      </c>
      <c r="J69" s="63">
        <f>report_47_flagged!AC61</f>
        <v>44917</v>
      </c>
      <c r="K69" s="63">
        <f>report_47_flagged!AD61</f>
        <v>44934</v>
      </c>
      <c r="L69" s="63">
        <f>report_47_flagged!AE61</f>
        <v>44925.5</v>
      </c>
      <c r="M69" s="398">
        <f>report_47_flagged!AF61</f>
        <v>17</v>
      </c>
      <c r="N69" s="208">
        <f>report_47_flagged!H61</f>
        <v>73.110924369747906</v>
      </c>
      <c r="O69" s="208">
        <f t="shared" si="0"/>
        <v>4.3866554621848741E-2</v>
      </c>
      <c r="P69" s="208">
        <f>report_47_flagged!J61</f>
        <v>3</v>
      </c>
      <c r="Q69" s="453">
        <f>report_47_flagged!BA61</f>
        <v>38.646362168235825</v>
      </c>
      <c r="R69" s="453">
        <f t="shared" si="1"/>
        <v>0.85021996770118813</v>
      </c>
      <c r="S69" s="454">
        <f>report_47_flagged!BB61</f>
        <v>2</v>
      </c>
      <c r="T69" s="453">
        <f>report_47_flagged!BC61</f>
        <v>8.56</v>
      </c>
      <c r="U69" s="453">
        <f t="shared" si="2"/>
        <v>0.24824000000000002</v>
      </c>
      <c r="V69" s="454">
        <f>report_47_flagged!BD61</f>
        <v>1</v>
      </c>
      <c r="W69" s="399">
        <f>(report_47_flagged!N61/100)*report_47_flagged!H61</f>
        <v>8.6001004449700122</v>
      </c>
      <c r="X69" s="399">
        <f t="shared" si="3"/>
        <v>0.18067580945327116</v>
      </c>
      <c r="Y69" s="398">
        <f>report_47_flagged!AP61</f>
        <v>3</v>
      </c>
      <c r="Z69" s="399">
        <f>(report_47_flagged!P61/100)*report_47_flagged!H61</f>
        <v>0.48468463096097741</v>
      </c>
      <c r="AA69" s="399">
        <f t="shared" si="4"/>
        <v>1.8420311708008008E-2</v>
      </c>
      <c r="AB69" s="398">
        <f>report_47_flagged!AR61</f>
        <v>3</v>
      </c>
      <c r="AC69" s="399">
        <f>(report_47_flagged!R61/100)*report_47_flagged!H61</f>
        <v>3.1290121904590524</v>
      </c>
      <c r="AD69" s="399">
        <f t="shared" si="5"/>
        <v>8.7632454102621826E-2</v>
      </c>
      <c r="AE69" s="398">
        <f>report_47_flagged!AT61</f>
        <v>3</v>
      </c>
      <c r="AF69" s="399">
        <f>(report_47_flagged!L61/100)*report_47_flagged!H61</f>
        <v>5.4710882545109589</v>
      </c>
      <c r="AG69" s="399">
        <f t="shared" si="6"/>
        <v>0.10400249528261213</v>
      </c>
      <c r="AH69" s="398">
        <f>report_47_flagged!AV61</f>
        <v>3</v>
      </c>
      <c r="AI69" s="399">
        <f>(report_47_flagged!T61/100)*report_47_flagged!H61</f>
        <v>6.9686732969727885</v>
      </c>
      <c r="AJ69" s="399">
        <f t="shared" si="7"/>
        <v>0.34149058980019781</v>
      </c>
      <c r="AK69" s="398">
        <f>report_47_flagged!AX61</f>
        <v>3</v>
      </c>
    </row>
    <row r="70" spans="1:37" ht="15.5">
      <c r="A70" s="44">
        <v>2022</v>
      </c>
      <c r="B70" s="44" t="str">
        <f>LEFT(report_47_flagged!B62,2)</f>
        <v>47</v>
      </c>
      <c r="C70" s="44">
        <f>report_47_flagged!E62</f>
        <v>3800</v>
      </c>
      <c r="D70" s="398">
        <f>report_47_flagged!AM62</f>
        <v>3992.7</v>
      </c>
      <c r="E70" s="44" t="str">
        <f>report_47_flagged!D62</f>
        <v>McLane-PARFLUX-Mark78H-21 ; frame# 12993-01, controller# 12993-01 and Motor # 12993-01 Cup set ACx21</v>
      </c>
      <c r="F70" s="44"/>
      <c r="G70" s="44"/>
      <c r="H70" s="44">
        <f>report_47_flagged!C62</f>
        <v>15</v>
      </c>
      <c r="I70" s="44">
        <f>report_47_flagged!F62</f>
        <v>1</v>
      </c>
      <c r="J70" s="63">
        <f>report_47_flagged!AC62</f>
        <v>44934</v>
      </c>
      <c r="K70" s="63">
        <f>report_47_flagged!AD62</f>
        <v>44951</v>
      </c>
      <c r="L70" s="63">
        <f>report_47_flagged!AE62</f>
        <v>44942.5</v>
      </c>
      <c r="M70" s="398">
        <f>report_47_flagged!AF62</f>
        <v>17</v>
      </c>
      <c r="N70" s="208">
        <f>report_47_flagged!H62</f>
        <v>149.74789915966386</v>
      </c>
      <c r="O70" s="208">
        <f t="shared" si="0"/>
        <v>8.9848739495798302E-2</v>
      </c>
      <c r="P70" s="208">
        <f>report_47_flagged!J62</f>
        <v>3</v>
      </c>
      <c r="Q70" s="453">
        <f>report_47_flagged!BA62</f>
        <v>37.922094495813525</v>
      </c>
      <c r="R70" s="453">
        <f t="shared" si="1"/>
        <v>0.83428607890789752</v>
      </c>
      <c r="S70" s="454">
        <f>report_47_flagged!BB62</f>
        <v>2</v>
      </c>
      <c r="T70" s="453">
        <f>report_47_flagged!BC62</f>
        <v>8.4499999999999993</v>
      </c>
      <c r="U70" s="453">
        <f t="shared" si="2"/>
        <v>0.24504999999999999</v>
      </c>
      <c r="V70" s="454">
        <f>report_47_flagged!BD62</f>
        <v>1</v>
      </c>
      <c r="W70" s="399">
        <f>(report_47_flagged!N62/100)*report_47_flagged!H62</f>
        <v>19.924164801685748</v>
      </c>
      <c r="X70" s="399">
        <f t="shared" si="3"/>
        <v>0.41857820455229566</v>
      </c>
      <c r="Y70" s="398">
        <f>report_47_flagged!AP62</f>
        <v>3</v>
      </c>
      <c r="Z70" s="399">
        <f>(report_47_flagged!P62/100)*report_47_flagged!H62</f>
        <v>1.5411741644394497</v>
      </c>
      <c r="AA70" s="399">
        <f t="shared" si="4"/>
        <v>5.8571918092424687E-2</v>
      </c>
      <c r="AB70" s="398">
        <f>report_47_flagged!AR62</f>
        <v>3</v>
      </c>
      <c r="AC70" s="399">
        <f>(report_47_flagged!R62/100)*report_47_flagged!H62</f>
        <v>9.5548462755109114</v>
      </c>
      <c r="AD70" s="399">
        <f t="shared" si="5"/>
        <v>0.2675971126764693</v>
      </c>
      <c r="AE70" s="398">
        <f>report_47_flagged!AT62</f>
        <v>3</v>
      </c>
      <c r="AF70" s="399">
        <f>(report_47_flagged!L62/100)*report_47_flagged!H62</f>
        <v>10.369318526174839</v>
      </c>
      <c r="AG70" s="399">
        <f t="shared" si="6"/>
        <v>0.19711526316783912</v>
      </c>
      <c r="AH70" s="398">
        <f>report_47_flagged!AV62</f>
        <v>3</v>
      </c>
      <c r="AI70" s="399">
        <f>(report_47_flagged!T62/100)*report_47_flagged!H62</f>
        <v>14.093894854278524</v>
      </c>
      <c r="AJ70" s="399">
        <f t="shared" si="7"/>
        <v>0.69065261941039735</v>
      </c>
      <c r="AK70" s="398">
        <f>report_47_flagged!AX62</f>
        <v>3</v>
      </c>
    </row>
    <row r="71" spans="1:37" ht="15.5">
      <c r="A71" s="44">
        <v>2022</v>
      </c>
      <c r="B71" s="44" t="str">
        <f>LEFT(report_47_flagged!B63,2)</f>
        <v>47</v>
      </c>
      <c r="C71" s="44">
        <f>report_47_flagged!E63</f>
        <v>3800</v>
      </c>
      <c r="D71" s="398">
        <f>report_47_flagged!AM63</f>
        <v>3992.7</v>
      </c>
      <c r="E71" s="44" t="str">
        <f>report_47_flagged!D63</f>
        <v>McLane-PARFLUX-Mark78H-21 ; frame# 12993-01, controller# 12993-01 and Motor # 12993-01 Cup set ACx21</v>
      </c>
      <c r="F71" s="44"/>
      <c r="G71" s="44"/>
      <c r="H71" s="44">
        <f>report_47_flagged!C63</f>
        <v>16</v>
      </c>
      <c r="I71" s="44">
        <f>report_47_flagged!F63</f>
        <v>1</v>
      </c>
      <c r="J71" s="63">
        <f>report_47_flagged!AC63</f>
        <v>44951</v>
      </c>
      <c r="K71" s="63">
        <f>report_47_flagged!AD63</f>
        <v>44968</v>
      </c>
      <c r="L71" s="63">
        <f>report_47_flagged!AE63</f>
        <v>44959.5</v>
      </c>
      <c r="M71" s="398">
        <f>report_47_flagged!AF63</f>
        <v>17</v>
      </c>
      <c r="N71" s="208">
        <f>report_47_flagged!H63</f>
        <v>75.161344537815125</v>
      </c>
      <c r="O71" s="208">
        <f t="shared" si="0"/>
        <v>4.5096806722689071E-2</v>
      </c>
      <c r="P71" s="208">
        <f>report_47_flagged!J63</f>
        <v>3</v>
      </c>
      <c r="Q71" s="453">
        <f>report_47_flagged!BA63</f>
        <v>37.632698574553245</v>
      </c>
      <c r="R71" s="453">
        <f t="shared" si="1"/>
        <v>0.82791936864017135</v>
      </c>
      <c r="S71" s="454">
        <f>report_47_flagged!BB63</f>
        <v>2</v>
      </c>
      <c r="T71" s="453">
        <f>report_47_flagged!BC63</f>
        <v>8.41</v>
      </c>
      <c r="U71" s="453">
        <f t="shared" si="2"/>
        <v>0.24389000000000002</v>
      </c>
      <c r="V71" s="454">
        <f>report_47_flagged!BD63</f>
        <v>1</v>
      </c>
      <c r="W71" s="399">
        <f>(report_47_flagged!N63/100)*report_47_flagged!H63</f>
        <v>9.7312507589163904</v>
      </c>
      <c r="X71" s="399">
        <f t="shared" si="3"/>
        <v>0.20443965964238328</v>
      </c>
      <c r="Y71" s="398">
        <f>report_47_flagged!AP63</f>
        <v>3</v>
      </c>
      <c r="Z71" s="399">
        <f>(report_47_flagged!P63/100)*report_47_flagged!H63</f>
        <v>0.59332991182703931</v>
      </c>
      <c r="AA71" s="399">
        <f t="shared" si="4"/>
        <v>2.254934698438768E-2</v>
      </c>
      <c r="AB71" s="398">
        <f>report_47_flagged!AR63</f>
        <v>3</v>
      </c>
      <c r="AC71" s="399">
        <f>(report_47_flagged!R63/100)*report_47_flagged!H63</f>
        <v>3.5481456350138787</v>
      </c>
      <c r="AD71" s="399">
        <f t="shared" si="5"/>
        <v>9.9370884670204898E-2</v>
      </c>
      <c r="AE71" s="398">
        <f>report_47_flagged!AT63</f>
        <v>3</v>
      </c>
      <c r="AF71" s="399">
        <f>(report_47_flagged!L63/100)*report_47_flagged!H63</f>
        <v>6.1831051239025108</v>
      </c>
      <c r="AG71" s="399">
        <f t="shared" si="6"/>
        <v>0.11753755954317839</v>
      </c>
      <c r="AH71" s="398">
        <f>report_47_flagged!AV63</f>
        <v>3</v>
      </c>
      <c r="AI71" s="399">
        <f>(report_47_flagged!T63/100)*report_47_flagged!H63</f>
        <v>4.8568241412000859</v>
      </c>
      <c r="AJ71" s="399">
        <f t="shared" si="7"/>
        <v>0.2380022236448851</v>
      </c>
      <c r="AK71" s="398">
        <f>report_47_flagged!AX63</f>
        <v>3</v>
      </c>
    </row>
    <row r="72" spans="1:37" ht="15.5">
      <c r="A72" s="44">
        <v>2022</v>
      </c>
      <c r="B72" s="44" t="str">
        <f>LEFT(report_47_flagged!B64,2)</f>
        <v>47</v>
      </c>
      <c r="C72" s="44">
        <f>report_47_flagged!E64</f>
        <v>3800</v>
      </c>
      <c r="D72" s="398">
        <f>report_47_flagged!AM64</f>
        <v>3992.7</v>
      </c>
      <c r="E72" s="44" t="str">
        <f>report_47_flagged!D64</f>
        <v>McLane-PARFLUX-Mark78H-21 ; frame# 12993-01, controller# 12993-01 and Motor # 12993-01 Cup set ACx21</v>
      </c>
      <c r="F72" s="44"/>
      <c r="G72" s="44"/>
      <c r="H72" s="44">
        <f>report_47_flagged!C64</f>
        <v>17</v>
      </c>
      <c r="I72" s="44">
        <f>report_47_flagged!F64</f>
        <v>1</v>
      </c>
      <c r="J72" s="63">
        <f>report_47_flagged!AC64</f>
        <v>44968</v>
      </c>
      <c r="K72" s="63">
        <f>report_47_flagged!AD64</f>
        <v>44985</v>
      </c>
      <c r="L72" s="63">
        <f>report_47_flagged!AE64</f>
        <v>44976.5</v>
      </c>
      <c r="M72" s="398">
        <f>report_47_flagged!AF64</f>
        <v>17</v>
      </c>
      <c r="N72" s="208">
        <f>report_47_flagged!H64</f>
        <v>13.213445378151262</v>
      </c>
      <c r="O72" s="208">
        <f t="shared" si="0"/>
        <v>7.9280672268907566E-3</v>
      </c>
      <c r="P72" s="208">
        <f>report_47_flagged!J64</f>
        <v>3</v>
      </c>
      <c r="Q72" s="453">
        <f>report_47_flagged!BA64</f>
        <v>36.476921764898364</v>
      </c>
      <c r="R72" s="453">
        <f t="shared" si="1"/>
        <v>0.80249227882776397</v>
      </c>
      <c r="S72" s="454">
        <f>report_47_flagged!BB64</f>
        <v>2</v>
      </c>
      <c r="T72" s="453">
        <f>report_47_flagged!BC64</f>
        <v>8.57</v>
      </c>
      <c r="U72" s="453">
        <f t="shared" si="2"/>
        <v>0.24853000000000003</v>
      </c>
      <c r="V72" s="454">
        <f>report_47_flagged!BD64</f>
        <v>1</v>
      </c>
      <c r="W72" s="399">
        <f>(report_47_flagged!N64/100)*report_47_flagged!H64</f>
        <v>1.8019332862796305</v>
      </c>
      <c r="X72" s="399">
        <f t="shared" si="3"/>
        <v>3.7856041003542076E-2</v>
      </c>
      <c r="Y72" s="398">
        <f>report_47_flagged!AP64</f>
        <v>3</v>
      </c>
      <c r="Z72" s="399">
        <f>(report_47_flagged!P64/100)*report_47_flagged!H64</f>
        <v>0.10081037525970395</v>
      </c>
      <c r="AA72" s="399">
        <f t="shared" si="4"/>
        <v>3.8312717529401332E-3</v>
      </c>
      <c r="AB72" s="398">
        <f>report_47_flagged!AR64</f>
        <v>3</v>
      </c>
      <c r="AC72" s="399">
        <f>(report_47_flagged!R64/100)*report_47_flagged!H64</f>
        <v>0.63631537527476678</v>
      </c>
      <c r="AD72" s="399">
        <f t="shared" si="5"/>
        <v>1.7820920637058254E-2</v>
      </c>
      <c r="AE72" s="398">
        <f>report_47_flagged!AT64</f>
        <v>3</v>
      </c>
      <c r="AF72" s="399">
        <f>(report_47_flagged!L64/100)*report_47_flagged!H64</f>
        <v>1.1656179110048637</v>
      </c>
      <c r="AG72" s="399">
        <f t="shared" si="6"/>
        <v>2.2157780253436545E-2</v>
      </c>
      <c r="AH72" s="398">
        <f>report_47_flagged!AV64</f>
        <v>3</v>
      </c>
      <c r="AI72" s="399">
        <f>(report_47_flagged!T64/100)*report_47_flagged!H64</f>
        <v>0.5441974927304819</v>
      </c>
      <c r="AJ72" s="399">
        <f t="shared" si="7"/>
        <v>2.6667676161694912E-2</v>
      </c>
      <c r="AK72" s="398">
        <f>report_47_flagged!AX64</f>
        <v>3</v>
      </c>
    </row>
    <row r="73" spans="1:37" ht="15.5">
      <c r="A73" s="44">
        <v>2022</v>
      </c>
      <c r="B73" s="44" t="str">
        <f>LEFT(report_47_flagged!B65,2)</f>
        <v>47</v>
      </c>
      <c r="C73" s="44">
        <f>report_47_flagged!E65</f>
        <v>3800</v>
      </c>
      <c r="D73" s="398">
        <f>report_47_flagged!AM65</f>
        <v>3992.7</v>
      </c>
      <c r="E73" s="44" t="str">
        <f>report_47_flagged!D65</f>
        <v>McLane-PARFLUX-Mark78H-21 ; frame# 12993-01, controller# 12993-01 and Motor # 12993-01 Cup set ACx21</v>
      </c>
      <c r="F73" s="44"/>
      <c r="G73" s="44"/>
      <c r="H73" s="44">
        <f>report_47_flagged!C65</f>
        <v>18</v>
      </c>
      <c r="I73" s="44">
        <f>report_47_flagged!F65</f>
        <v>1</v>
      </c>
      <c r="J73" s="63">
        <f>report_47_flagged!AC65</f>
        <v>44985</v>
      </c>
      <c r="K73" s="63">
        <f>report_47_flagged!AD65</f>
        <v>45002</v>
      </c>
      <c r="L73" s="63">
        <f>report_47_flagged!AE65</f>
        <v>44993.5</v>
      </c>
      <c r="M73" s="398">
        <f>report_47_flagged!AF65</f>
        <v>17</v>
      </c>
      <c r="N73" s="208">
        <f>report_47_flagged!H65</f>
        <v>38.322689075630265</v>
      </c>
      <c r="O73" s="208">
        <f t="shared" si="0"/>
        <v>2.2993613445378158E-2</v>
      </c>
      <c r="P73" s="208">
        <f>report_47_flagged!J65</f>
        <v>3</v>
      </c>
      <c r="Q73" s="453">
        <f>report_47_flagged!BA65</f>
        <v>38.646362168235825</v>
      </c>
      <c r="R73" s="453">
        <f t="shared" si="1"/>
        <v>0.85021996770118813</v>
      </c>
      <c r="S73" s="454">
        <f>report_47_flagged!BB65</f>
        <v>2</v>
      </c>
      <c r="T73" s="453">
        <f>report_47_flagged!BC65</f>
        <v>8.61</v>
      </c>
      <c r="U73" s="453">
        <f t="shared" si="2"/>
        <v>0.24969</v>
      </c>
      <c r="V73" s="454">
        <f>report_47_flagged!BD65</f>
        <v>1</v>
      </c>
      <c r="W73" s="399">
        <f>(report_47_flagged!N65/100)*report_47_flagged!H65</f>
        <v>4.9409054278205442</v>
      </c>
      <c r="X73" s="399">
        <f t="shared" si="3"/>
        <v>0.10380135596272687</v>
      </c>
      <c r="Y73" s="398">
        <f>report_47_flagged!AP65</f>
        <v>3</v>
      </c>
      <c r="Z73" s="399">
        <f>(report_47_flagged!P65/100)*report_47_flagged!H65</f>
        <v>0.2279756516007817</v>
      </c>
      <c r="AA73" s="399">
        <f t="shared" si="4"/>
        <v>8.6641545781977383E-3</v>
      </c>
      <c r="AB73" s="398">
        <f>report_47_flagged!AR65</f>
        <v>3</v>
      </c>
      <c r="AC73" s="399">
        <f>(report_47_flagged!R65/100)*report_47_flagged!H65</f>
        <v>1.6496109427636576</v>
      </c>
      <c r="AD73" s="399">
        <f t="shared" si="5"/>
        <v>4.6199709822067156E-2</v>
      </c>
      <c r="AE73" s="398">
        <f>report_47_flagged!AT65</f>
        <v>3</v>
      </c>
      <c r="AF73" s="399">
        <f>(report_47_flagged!L65/100)*report_47_flagged!H65</f>
        <v>3.2912944850568864</v>
      </c>
      <c r="AG73" s="399">
        <f t="shared" si="6"/>
        <v>6.2565768130971852E-2</v>
      </c>
      <c r="AH73" s="398">
        <f>report_47_flagged!AV65</f>
        <v>3</v>
      </c>
      <c r="AI73" s="399">
        <f>(report_47_flagged!T65/100)*report_47_flagged!H65</f>
        <v>2.0646065699320433</v>
      </c>
      <c r="AJ73" s="399">
        <f t="shared" si="7"/>
        <v>0.10117330591143221</v>
      </c>
      <c r="AK73" s="398">
        <f>report_47_flagged!AX65</f>
        <v>3</v>
      </c>
    </row>
    <row r="74" spans="1:37" ht="15.5">
      <c r="A74" s="44">
        <v>2022</v>
      </c>
      <c r="B74" s="44" t="str">
        <f>LEFT(report_47_flagged!B66,2)</f>
        <v>47</v>
      </c>
      <c r="C74" s="44">
        <f>report_47_flagged!E66</f>
        <v>3800</v>
      </c>
      <c r="D74" s="398">
        <f>report_47_flagged!AM66</f>
        <v>3992.7</v>
      </c>
      <c r="E74" s="44" t="str">
        <f>report_47_flagged!D66</f>
        <v>McLane-PARFLUX-Mark78H-21 ; frame# 12993-01, controller# 12993-01 and Motor # 12993-01 Cup set ACx21</v>
      </c>
      <c r="F74" s="44"/>
      <c r="G74" s="44"/>
      <c r="H74" s="44">
        <f>report_47_flagged!C66</f>
        <v>19</v>
      </c>
      <c r="I74" s="44">
        <f>report_47_flagged!F66</f>
        <v>1</v>
      </c>
      <c r="J74" s="63">
        <f>report_47_flagged!AC66</f>
        <v>45002</v>
      </c>
      <c r="K74" s="63">
        <f>report_47_flagged!AD66</f>
        <v>45019</v>
      </c>
      <c r="L74" s="63">
        <f>report_47_flagged!AE66</f>
        <v>45010.5</v>
      </c>
      <c r="M74" s="398">
        <f>report_47_flagged!AF66</f>
        <v>17</v>
      </c>
      <c r="N74" s="208">
        <f>report_47_flagged!H66</f>
        <v>28.183193277310927</v>
      </c>
      <c r="O74" s="208">
        <f t="shared" si="0"/>
        <v>1.6909915966386555E-2</v>
      </c>
      <c r="P74" s="208">
        <f>report_47_flagged!J66</f>
        <v>3</v>
      </c>
      <c r="Q74" s="453">
        <f>report_47_flagged!BA66</f>
        <v>38.863857221644167</v>
      </c>
      <c r="R74" s="453">
        <f t="shared" si="1"/>
        <v>0.85500485887617161</v>
      </c>
      <c r="S74" s="454">
        <f>report_47_flagged!BB66</f>
        <v>2</v>
      </c>
      <c r="T74" s="453">
        <f>report_47_flagged!BC66</f>
        <v>8.6300000000000008</v>
      </c>
      <c r="U74" s="453">
        <f t="shared" si="2"/>
        <v>0.25027000000000005</v>
      </c>
      <c r="V74" s="454">
        <f>report_47_flagged!BD66</f>
        <v>1</v>
      </c>
      <c r="W74" s="399">
        <f>(report_47_flagged!N66/100)*report_47_flagged!H66</f>
        <v>3.5693869039230988</v>
      </c>
      <c r="X74" s="399">
        <f t="shared" si="3"/>
        <v>7.4987713485997545E-2</v>
      </c>
      <c r="Y74" s="398">
        <f>report_47_flagged!AP66</f>
        <v>3</v>
      </c>
      <c r="Z74" s="399">
        <f>(report_47_flagged!P66/100)*report_47_flagged!H66</f>
        <v>0.18158160521302907</v>
      </c>
      <c r="AA74" s="399">
        <f t="shared" si="4"/>
        <v>6.900961067886101E-3</v>
      </c>
      <c r="AB74" s="398">
        <f>report_47_flagged!AR66</f>
        <v>3</v>
      </c>
      <c r="AC74" s="399">
        <f>(report_47_flagged!R66/100)*report_47_flagged!H66</f>
        <v>1.161164329603172</v>
      </c>
      <c r="AD74" s="399">
        <f t="shared" si="5"/>
        <v>3.2520065000009854E-2</v>
      </c>
      <c r="AE74" s="398">
        <f>report_47_flagged!AT66</f>
        <v>3</v>
      </c>
      <c r="AF74" s="399">
        <f>(report_47_flagged!L66/100)*report_47_flagged!H66</f>
        <v>2.408222574319927</v>
      </c>
      <c r="AG74" s="399">
        <f t="shared" si="6"/>
        <v>4.5779037967205317E-2</v>
      </c>
      <c r="AH74" s="398">
        <f>report_47_flagged!AV66</f>
        <v>3</v>
      </c>
      <c r="AI74" s="399">
        <f>(report_47_flagged!T66/100)*report_47_flagged!H66</f>
        <v>1.4558097329726924</v>
      </c>
      <c r="AJ74" s="399">
        <f t="shared" si="7"/>
        <v>7.1340024587703735E-2</v>
      </c>
      <c r="AK74" s="398">
        <f>report_47_flagged!AX66</f>
        <v>3</v>
      </c>
    </row>
    <row r="75" spans="1:37" ht="15.5">
      <c r="A75" s="44">
        <v>2022</v>
      </c>
      <c r="B75" s="44" t="str">
        <f>LEFT(report_47_flagged!B67,2)</f>
        <v>47</v>
      </c>
      <c r="C75" s="44">
        <f>report_47_flagged!E67</f>
        <v>3800</v>
      </c>
      <c r="D75" s="398">
        <f>report_47_flagged!AM67</f>
        <v>3992.7</v>
      </c>
      <c r="E75" s="44" t="str">
        <f>report_47_flagged!D67</f>
        <v>McLane-PARFLUX-Mark78H-21 ; frame# 12993-01, controller# 12993-01 and Motor # 12993-01 Cup set ACx21</v>
      </c>
      <c r="F75" s="44"/>
      <c r="G75" s="44"/>
      <c r="H75" s="44">
        <f>report_47_flagged!C67</f>
        <v>20</v>
      </c>
      <c r="I75" s="44">
        <f>report_47_flagged!F67</f>
        <v>1</v>
      </c>
      <c r="J75" s="63">
        <f>report_47_flagged!AC67</f>
        <v>45019</v>
      </c>
      <c r="K75" s="63">
        <f>report_47_flagged!AD67</f>
        <v>45036</v>
      </c>
      <c r="L75" s="63">
        <f>report_47_flagged!AE67</f>
        <v>45027.5</v>
      </c>
      <c r="M75" s="398">
        <f>report_47_flagged!AF67</f>
        <v>17</v>
      </c>
      <c r="N75" s="208">
        <f>report_47_flagged!H67</f>
        <v>59.907563025210088</v>
      </c>
      <c r="O75" s="208">
        <f>N75*$N$5</f>
        <v>3.5944537815126049E-2</v>
      </c>
      <c r="P75" s="208">
        <f>report_47_flagged!J67</f>
        <v>3</v>
      </c>
      <c r="Q75" s="453">
        <f>report_47_flagged!BA67</f>
        <v>37.777374168095484</v>
      </c>
      <c r="R75" s="453">
        <f>Q75*$Q$5</f>
        <v>0.8311022316981006</v>
      </c>
      <c r="S75" s="454">
        <f>report_47_flagged!BB67</f>
        <v>2</v>
      </c>
      <c r="T75" s="453">
        <f>report_47_flagged!BC67</f>
        <v>8.56</v>
      </c>
      <c r="U75" s="453">
        <f>T75*$T$5</f>
        <v>0.24824000000000002</v>
      </c>
      <c r="V75" s="454">
        <f>report_47_flagged!BD67</f>
        <v>1</v>
      </c>
      <c r="W75" s="399">
        <f>(report_47_flagged!N67/100)*report_47_flagged!H67</f>
        <v>7.4638984836450151</v>
      </c>
      <c r="X75" s="399">
        <f>W75*SQRT(($W$5)^2+($N$5)^2)</f>
        <v>0.1568058313782065</v>
      </c>
      <c r="Y75" s="398">
        <f>report_47_flagged!AP67</f>
        <v>3</v>
      </c>
      <c r="Z75" s="399">
        <f>(report_47_flagged!P67/100)*report_47_flagged!H67</f>
        <v>0.34689449642886633</v>
      </c>
      <c r="AA75" s="399">
        <f>Z75*SQRT(($Z$5)^2+($N$5)^2)</f>
        <v>1.3183633946351908E-2</v>
      </c>
      <c r="AB75" s="398">
        <f>report_47_flagged!AR67</f>
        <v>3</v>
      </c>
      <c r="AC75" s="399">
        <f>(report_47_flagged!R67/100)*report_47_flagged!H67</f>
        <v>2.2416778789015326</v>
      </c>
      <c r="AD75" s="399">
        <f>AC75*SQRT(($AC$5)^2+($N$5)^2)</f>
        <v>6.2781389741687538E-2</v>
      </c>
      <c r="AE75" s="398">
        <f>report_47_flagged!AT67</f>
        <v>3</v>
      </c>
      <c r="AF75" s="399">
        <f>(report_47_flagged!L67/100)*report_47_flagged!H67</f>
        <v>5.222220604743482</v>
      </c>
      <c r="AG75" s="399">
        <f>AF75*SQRT(($AF$5)^2+($N$5)^2)</f>
        <v>9.9271652831003684E-2</v>
      </c>
      <c r="AH75" s="398">
        <f>report_47_flagged!AV67</f>
        <v>3</v>
      </c>
      <c r="AI75" s="399">
        <f>(report_47_flagged!T67/100)*report_47_flagged!H67</f>
        <v>2.8668849597117334</v>
      </c>
      <c r="AJ75" s="399">
        <f>AI75*SQRT(($AI$5)^2+($N$5)^2)</f>
        <v>0.1404878940452787</v>
      </c>
      <c r="AK75" s="398">
        <f>report_47_flagged!AX67</f>
        <v>3</v>
      </c>
    </row>
    <row r="76" spans="1:37" ht="15.5">
      <c r="A76" s="44">
        <v>2022</v>
      </c>
      <c r="B76" s="44" t="str">
        <f>LEFT(report_47_flagged!B68,2)</f>
        <v>47</v>
      </c>
      <c r="C76" s="44">
        <f>report_47_flagged!E68</f>
        <v>3800</v>
      </c>
      <c r="D76" s="398">
        <f>report_47_flagged!AM68</f>
        <v>3992.7</v>
      </c>
      <c r="E76" s="44" t="str">
        <f>report_47_flagged!D68</f>
        <v>McLane-PARFLUX-Mark78H-21 ; frame# 12993-01, controller# 12993-01 and Motor # 12993-01 Cup set ACx21</v>
      </c>
      <c r="F76" s="44"/>
      <c r="G76" s="44"/>
      <c r="H76" s="44">
        <f>report_47_flagged!C68</f>
        <v>21</v>
      </c>
      <c r="I76" s="44">
        <f>report_47_flagged!F68</f>
        <v>1</v>
      </c>
      <c r="J76" s="63">
        <f>report_47_flagged!AC68</f>
        <v>45036</v>
      </c>
      <c r="K76" s="63">
        <f>report_47_flagged!AD68</f>
        <v>45053</v>
      </c>
      <c r="L76" s="63">
        <f>report_47_flagged!AE68</f>
        <v>45044.5</v>
      </c>
      <c r="M76" s="398">
        <f>report_47_flagged!AF68</f>
        <v>17</v>
      </c>
      <c r="N76" s="208">
        <f>report_47_flagged!H68</f>
        <v>26.69075630252101</v>
      </c>
      <c r="O76" s="208">
        <f t="shared" si="0"/>
        <v>1.6014453781512603E-2</v>
      </c>
      <c r="P76" s="208">
        <f>report_47_flagged!J68</f>
        <v>3</v>
      </c>
      <c r="Q76" s="453">
        <f>report_47_flagged!BA68</f>
        <v>38.428965865577133</v>
      </c>
      <c r="R76" s="453">
        <f t="shared" si="1"/>
        <v>0.8454372490426969</v>
      </c>
      <c r="S76" s="454">
        <f>report_47_flagged!BB68</f>
        <v>2</v>
      </c>
      <c r="T76" s="453">
        <f>report_47_flagged!BC68</f>
        <v>8.6</v>
      </c>
      <c r="U76" s="453">
        <f t="shared" si="2"/>
        <v>0.24940000000000001</v>
      </c>
      <c r="V76" s="454">
        <f>report_47_flagged!BD68</f>
        <v>1</v>
      </c>
      <c r="W76" s="399">
        <f>(report_47_flagged!N68/100)*report_47_flagged!H68</f>
        <v>3.7322880359938164</v>
      </c>
      <c r="X76" s="399">
        <f t="shared" si="3"/>
        <v>7.8410033270058369E-2</v>
      </c>
      <c r="Y76" s="398">
        <f>report_47_flagged!AP68</f>
        <v>3</v>
      </c>
      <c r="Z76" s="399">
        <f>(report_47_flagged!P68/100)*report_47_flagged!H68</f>
        <v>0.25963275911226996</v>
      </c>
      <c r="AA76" s="399">
        <f t="shared" si="4"/>
        <v>9.8672746090090399E-3</v>
      </c>
      <c r="AB76" s="398">
        <f>report_47_flagged!AR68</f>
        <v>3</v>
      </c>
      <c r="AC76" s="399">
        <f>(report_47_flagged!R68/100)*report_47_flagged!H68</f>
        <v>1.4785949493168302</v>
      </c>
      <c r="AD76" s="399">
        <f t="shared" si="5"/>
        <v>4.1410162743203034E-2</v>
      </c>
      <c r="AE76" s="398">
        <f>report_47_flagged!AT68</f>
        <v>3</v>
      </c>
      <c r="AF76" s="399">
        <f>(report_47_flagged!L68/100)*report_47_flagged!H68</f>
        <v>2.2536930866769862</v>
      </c>
      <c r="AG76" s="399">
        <f t="shared" si="6"/>
        <v>4.2841514103217494E-2</v>
      </c>
      <c r="AH76" s="398">
        <f>report_47_flagged!AV68</f>
        <v>3</v>
      </c>
      <c r="AI76" s="399">
        <f>(report_47_flagged!T68/100)*report_47_flagged!H68</f>
        <v>1.1719694660442908</v>
      </c>
      <c r="AJ76" s="399">
        <f t="shared" si="7"/>
        <v>5.7430808868761715E-2</v>
      </c>
      <c r="AK76" s="398">
        <f>report_47_flagged!AX68</f>
        <v>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A896E-19A0-4793-9592-0DD206DD63D9}">
  <dimension ref="A1:E10"/>
  <sheetViews>
    <sheetView workbookViewId="0">
      <selection activeCell="G44" sqref="G44"/>
    </sheetView>
  </sheetViews>
  <sheetFormatPr defaultRowHeight="14.5"/>
  <sheetData>
    <row r="1" spans="1:5">
      <c r="A1" s="44" t="s">
        <v>3123</v>
      </c>
      <c r="B1" s="44" t="s">
        <v>3788</v>
      </c>
      <c r="C1" s="44" t="s">
        <v>3789</v>
      </c>
      <c r="D1" s="27"/>
      <c r="E1" s="27"/>
    </row>
    <row r="2" spans="1:5">
      <c r="A2" s="44" t="s">
        <v>436</v>
      </c>
      <c r="B2" s="44">
        <v>1273.5</v>
      </c>
      <c r="C2" s="44">
        <v>1272.4000000000001</v>
      </c>
      <c r="D2" s="27"/>
      <c r="E2" s="27"/>
    </row>
    <row r="3" spans="1:5">
      <c r="A3" s="44" t="s">
        <v>437</v>
      </c>
      <c r="B3" s="44">
        <v>2270.8000000000002</v>
      </c>
      <c r="C3" s="44">
        <v>2269.5</v>
      </c>
      <c r="D3" s="27"/>
      <c r="E3" s="27"/>
    </row>
    <row r="4" spans="1:5">
      <c r="A4" s="44" t="s">
        <v>3790</v>
      </c>
      <c r="B4" s="44">
        <v>3992.7</v>
      </c>
      <c r="C4" s="44">
        <v>3992.7</v>
      </c>
      <c r="D4" s="27"/>
      <c r="E4" s="27"/>
    </row>
    <row r="5" spans="1:5">
      <c r="A5" s="44" t="s">
        <v>3791</v>
      </c>
      <c r="B5" s="44">
        <v>1509.4</v>
      </c>
      <c r="C5" s="44">
        <v>1507.8</v>
      </c>
      <c r="D5" s="44" t="s">
        <v>3792</v>
      </c>
      <c r="E5" s="27"/>
    </row>
    <row r="6" spans="1:5">
      <c r="A6" s="27"/>
      <c r="B6" s="27"/>
      <c r="C6" s="27"/>
      <c r="D6" s="27"/>
      <c r="E6" s="27"/>
    </row>
    <row r="7" spans="1:5">
      <c r="A7" s="27"/>
      <c r="B7" s="27">
        <f>B5-B2</f>
        <v>235.90000000000009</v>
      </c>
      <c r="C7" s="408">
        <f>C5-C2</f>
        <v>235.39999999999986</v>
      </c>
      <c r="D7" s="27"/>
      <c r="E7" s="27"/>
    </row>
    <row r="8" spans="1:5">
      <c r="A8" s="27"/>
      <c r="B8" s="27"/>
      <c r="C8" s="27"/>
      <c r="D8" s="27"/>
      <c r="E8" s="27"/>
    </row>
    <row r="9" spans="1:5">
      <c r="A9" s="27"/>
      <c r="B9" s="27"/>
      <c r="C9" s="27"/>
      <c r="D9" s="27"/>
      <c r="E9" s="27"/>
    </row>
    <row r="10" spans="1:5">
      <c r="A10" s="27"/>
      <c r="B10" s="27"/>
      <c r="C10" s="27"/>
      <c r="D10" s="27"/>
      <c r="E10" s="2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3491F-343A-44A2-A9F1-3E3DD938EAE7}">
  <dimension ref="A1"/>
  <sheetViews>
    <sheetView zoomScale="80" zoomScaleNormal="80" workbookViewId="0">
      <selection activeCell="AD55" sqref="AD55"/>
    </sheetView>
  </sheetViews>
  <sheetFormatPr defaultRowHeight="14.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B0C27-045A-4A02-AC0B-D4024938E067}">
  <dimension ref="A1:L42"/>
  <sheetViews>
    <sheetView zoomScaleNormal="100" workbookViewId="0">
      <selection activeCell="X9" sqref="X9"/>
    </sheetView>
  </sheetViews>
  <sheetFormatPr defaultColWidth="10.1796875" defaultRowHeight="14.5"/>
  <cols>
    <col min="1" max="1" width="13.1796875" customWidth="1"/>
    <col min="2" max="2" width="9.81640625" customWidth="1"/>
    <col min="3" max="3" width="9.1796875" customWidth="1"/>
    <col min="4" max="4" width="12.453125" customWidth="1"/>
    <col min="5" max="5" width="13" customWidth="1"/>
    <col min="6" max="6" width="10.81640625" customWidth="1"/>
    <col min="7" max="7" width="9.54296875" customWidth="1"/>
    <col min="8" max="8" width="12.54296875" customWidth="1"/>
    <col min="9" max="9" width="13.81640625" customWidth="1"/>
    <col min="10" max="10" width="10.453125" customWidth="1"/>
    <col min="11" max="11" width="10.81640625" customWidth="1"/>
    <col min="12" max="12" width="9.1796875" customWidth="1"/>
  </cols>
  <sheetData>
    <row r="1" spans="1:12" ht="39.65" customHeight="1">
      <c r="A1" s="45" t="s">
        <v>241</v>
      </c>
      <c r="B1" s="46" t="s">
        <v>46</v>
      </c>
      <c r="C1" s="47" t="s">
        <v>242</v>
      </c>
      <c r="D1" s="48" t="s">
        <v>243</v>
      </c>
      <c r="E1" s="45" t="s">
        <v>241</v>
      </c>
      <c r="F1" s="49" t="s">
        <v>76</v>
      </c>
      <c r="G1" s="47" t="s">
        <v>242</v>
      </c>
      <c r="H1" s="48" t="s">
        <v>243</v>
      </c>
      <c r="I1" s="45" t="s">
        <v>241</v>
      </c>
      <c r="J1" s="49" t="s">
        <v>93</v>
      </c>
      <c r="K1" s="47" t="s">
        <v>242</v>
      </c>
      <c r="L1" s="48" t="s">
        <v>243</v>
      </c>
    </row>
    <row r="2" spans="1:12" ht="39.65" customHeight="1">
      <c r="A2" s="45" t="s">
        <v>241</v>
      </c>
      <c r="B2" s="46" t="s">
        <v>46</v>
      </c>
      <c r="C2" s="47" t="s">
        <v>244</v>
      </c>
      <c r="D2" s="48" t="s">
        <v>243</v>
      </c>
      <c r="E2" s="45" t="s">
        <v>241</v>
      </c>
      <c r="F2" s="49" t="s">
        <v>76</v>
      </c>
      <c r="G2" s="47" t="s">
        <v>244</v>
      </c>
      <c r="H2" s="48" t="s">
        <v>243</v>
      </c>
      <c r="I2" s="45" t="s">
        <v>241</v>
      </c>
      <c r="J2" s="49" t="s">
        <v>93</v>
      </c>
      <c r="K2" s="47" t="s">
        <v>244</v>
      </c>
      <c r="L2" s="48" t="s">
        <v>243</v>
      </c>
    </row>
    <row r="3" spans="1:12" ht="39.65" customHeight="1">
      <c r="A3" s="45" t="s">
        <v>241</v>
      </c>
      <c r="B3" s="46" t="s">
        <v>46</v>
      </c>
      <c r="C3" s="47" t="s">
        <v>245</v>
      </c>
      <c r="D3" s="48" t="s">
        <v>243</v>
      </c>
      <c r="E3" s="45" t="s">
        <v>241</v>
      </c>
      <c r="F3" s="49" t="s">
        <v>76</v>
      </c>
      <c r="G3" s="47" t="s">
        <v>245</v>
      </c>
      <c r="H3" s="48" t="s">
        <v>243</v>
      </c>
      <c r="I3" s="45" t="s">
        <v>241</v>
      </c>
      <c r="J3" s="49" t="s">
        <v>93</v>
      </c>
      <c r="K3" s="47" t="s">
        <v>245</v>
      </c>
      <c r="L3" s="48" t="s">
        <v>243</v>
      </c>
    </row>
    <row r="4" spans="1:12" ht="39.65" customHeight="1">
      <c r="A4" s="45" t="s">
        <v>241</v>
      </c>
      <c r="B4" s="46" t="s">
        <v>46</v>
      </c>
      <c r="C4" s="47" t="s">
        <v>246</v>
      </c>
      <c r="D4" s="48" t="s">
        <v>243</v>
      </c>
      <c r="E4" s="45" t="s">
        <v>241</v>
      </c>
      <c r="F4" s="49" t="s">
        <v>76</v>
      </c>
      <c r="G4" s="47" t="s">
        <v>246</v>
      </c>
      <c r="H4" s="48" t="s">
        <v>243</v>
      </c>
      <c r="I4" s="45" t="s">
        <v>241</v>
      </c>
      <c r="J4" s="49" t="s">
        <v>93</v>
      </c>
      <c r="K4" s="47" t="s">
        <v>246</v>
      </c>
      <c r="L4" s="48" t="s">
        <v>243</v>
      </c>
    </row>
    <row r="5" spans="1:12" ht="39.65" customHeight="1">
      <c r="A5" s="45" t="s">
        <v>241</v>
      </c>
      <c r="B5" s="46" t="s">
        <v>46</v>
      </c>
      <c r="C5" s="47" t="s">
        <v>247</v>
      </c>
      <c r="D5" s="48" t="s">
        <v>243</v>
      </c>
      <c r="E5" s="45" t="s">
        <v>241</v>
      </c>
      <c r="F5" s="49" t="s">
        <v>76</v>
      </c>
      <c r="G5" s="47" t="s">
        <v>247</v>
      </c>
      <c r="H5" s="48" t="s">
        <v>243</v>
      </c>
      <c r="I5" s="45" t="s">
        <v>241</v>
      </c>
      <c r="J5" s="49" t="s">
        <v>93</v>
      </c>
      <c r="K5" s="47" t="s">
        <v>247</v>
      </c>
      <c r="L5" s="48" t="s">
        <v>243</v>
      </c>
    </row>
    <row r="6" spans="1:12" ht="39.65" customHeight="1">
      <c r="A6" s="45" t="s">
        <v>241</v>
      </c>
      <c r="B6" s="46" t="s">
        <v>46</v>
      </c>
      <c r="C6" s="47" t="s">
        <v>248</v>
      </c>
      <c r="D6" s="48" t="s">
        <v>243</v>
      </c>
      <c r="E6" s="45" t="s">
        <v>241</v>
      </c>
      <c r="F6" s="49" t="s">
        <v>76</v>
      </c>
      <c r="G6" s="47" t="s">
        <v>248</v>
      </c>
      <c r="H6" s="48" t="s">
        <v>243</v>
      </c>
      <c r="I6" s="45" t="s">
        <v>241</v>
      </c>
      <c r="J6" s="49" t="s">
        <v>93</v>
      </c>
      <c r="K6" s="47" t="s">
        <v>248</v>
      </c>
      <c r="L6" s="48" t="s">
        <v>243</v>
      </c>
    </row>
    <row r="7" spans="1:12" ht="39.65" customHeight="1">
      <c r="A7" s="45" t="s">
        <v>241</v>
      </c>
      <c r="B7" s="46" t="s">
        <v>46</v>
      </c>
      <c r="C7" s="47" t="s">
        <v>249</v>
      </c>
      <c r="D7" s="48" t="s">
        <v>243</v>
      </c>
      <c r="E7" s="45" t="s">
        <v>241</v>
      </c>
      <c r="F7" s="49" t="s">
        <v>76</v>
      </c>
      <c r="G7" s="47" t="s">
        <v>249</v>
      </c>
      <c r="H7" s="48" t="s">
        <v>243</v>
      </c>
      <c r="I7" s="45" t="s">
        <v>241</v>
      </c>
      <c r="J7" s="49" t="s">
        <v>93</v>
      </c>
      <c r="K7" s="47" t="s">
        <v>249</v>
      </c>
      <c r="L7" s="48" t="s">
        <v>243</v>
      </c>
    </row>
    <row r="8" spans="1:12" ht="39.65" customHeight="1">
      <c r="A8" s="45" t="s">
        <v>241</v>
      </c>
      <c r="B8" s="46" t="s">
        <v>46</v>
      </c>
      <c r="C8" s="47" t="s">
        <v>250</v>
      </c>
      <c r="D8" s="48" t="s">
        <v>243</v>
      </c>
      <c r="E8" s="45" t="s">
        <v>241</v>
      </c>
      <c r="F8" s="49" t="s">
        <v>76</v>
      </c>
      <c r="G8" s="47" t="s">
        <v>250</v>
      </c>
      <c r="H8" s="48" t="s">
        <v>243</v>
      </c>
      <c r="I8" s="45" t="s">
        <v>241</v>
      </c>
      <c r="J8" s="49" t="s">
        <v>93</v>
      </c>
      <c r="K8" s="47" t="s">
        <v>250</v>
      </c>
      <c r="L8" s="48" t="s">
        <v>243</v>
      </c>
    </row>
    <row r="9" spans="1:12" ht="39.65" customHeight="1">
      <c r="A9" s="45" t="s">
        <v>241</v>
      </c>
      <c r="B9" s="46" t="s">
        <v>46</v>
      </c>
      <c r="C9" s="47" t="s">
        <v>251</v>
      </c>
      <c r="D9" s="48" t="s">
        <v>243</v>
      </c>
      <c r="E9" s="45" t="s">
        <v>241</v>
      </c>
      <c r="F9" s="49" t="s">
        <v>76</v>
      </c>
      <c r="G9" s="47" t="s">
        <v>251</v>
      </c>
      <c r="H9" s="48" t="s">
        <v>243</v>
      </c>
      <c r="I9" s="45" t="s">
        <v>241</v>
      </c>
      <c r="J9" s="49" t="s">
        <v>93</v>
      </c>
      <c r="K9" s="47" t="s">
        <v>251</v>
      </c>
      <c r="L9" s="48" t="s">
        <v>243</v>
      </c>
    </row>
    <row r="10" spans="1:12" ht="39.65" customHeight="1">
      <c r="A10" s="45" t="s">
        <v>241</v>
      </c>
      <c r="B10" s="46" t="s">
        <v>46</v>
      </c>
      <c r="C10" s="47" t="s">
        <v>252</v>
      </c>
      <c r="D10" s="48" t="s">
        <v>243</v>
      </c>
      <c r="E10" s="45" t="s">
        <v>241</v>
      </c>
      <c r="F10" s="49" t="s">
        <v>76</v>
      </c>
      <c r="G10" s="47" t="s">
        <v>252</v>
      </c>
      <c r="H10" s="48" t="s">
        <v>243</v>
      </c>
      <c r="I10" s="45" t="s">
        <v>241</v>
      </c>
      <c r="J10" s="49" t="s">
        <v>93</v>
      </c>
      <c r="K10" s="47" t="s">
        <v>252</v>
      </c>
      <c r="L10" s="48" t="s">
        <v>243</v>
      </c>
    </row>
    <row r="11" spans="1:12" ht="39.65" customHeight="1">
      <c r="A11" s="45" t="s">
        <v>241</v>
      </c>
      <c r="B11" s="46" t="s">
        <v>46</v>
      </c>
      <c r="C11" s="47" t="s">
        <v>253</v>
      </c>
      <c r="D11" s="48" t="s">
        <v>243</v>
      </c>
      <c r="E11" s="45" t="s">
        <v>241</v>
      </c>
      <c r="F11" s="49" t="s">
        <v>76</v>
      </c>
      <c r="G11" s="47" t="s">
        <v>253</v>
      </c>
      <c r="H11" s="48" t="s">
        <v>243</v>
      </c>
      <c r="I11" s="45" t="s">
        <v>241</v>
      </c>
      <c r="J11" s="49" t="s">
        <v>93</v>
      </c>
      <c r="K11" s="47" t="s">
        <v>253</v>
      </c>
      <c r="L11" s="48" t="s">
        <v>243</v>
      </c>
    </row>
    <row r="12" spans="1:12" ht="39.65" customHeight="1">
      <c r="A12" s="45" t="s">
        <v>241</v>
      </c>
      <c r="B12" s="46" t="s">
        <v>46</v>
      </c>
      <c r="C12" s="47" t="s">
        <v>254</v>
      </c>
      <c r="D12" s="48" t="s">
        <v>243</v>
      </c>
      <c r="E12" s="45" t="s">
        <v>241</v>
      </c>
      <c r="F12" s="49" t="s">
        <v>76</v>
      </c>
      <c r="G12" s="47" t="s">
        <v>254</v>
      </c>
      <c r="H12" s="48" t="s">
        <v>243</v>
      </c>
      <c r="I12" s="45" t="s">
        <v>241</v>
      </c>
      <c r="J12" s="49" t="s">
        <v>93</v>
      </c>
      <c r="K12" s="47" t="s">
        <v>254</v>
      </c>
      <c r="L12" s="48" t="s">
        <v>243</v>
      </c>
    </row>
    <row r="13" spans="1:12" ht="39.65" customHeight="1">
      <c r="A13" s="45" t="s">
        <v>241</v>
      </c>
      <c r="B13" s="46" t="s">
        <v>46</v>
      </c>
      <c r="C13" s="47" t="s">
        <v>255</v>
      </c>
      <c r="D13" s="48" t="s">
        <v>243</v>
      </c>
      <c r="E13" s="45" t="s">
        <v>241</v>
      </c>
      <c r="F13" s="49" t="s">
        <v>76</v>
      </c>
      <c r="G13" s="47" t="s">
        <v>255</v>
      </c>
      <c r="H13" s="48" t="s">
        <v>243</v>
      </c>
      <c r="I13" s="45" t="s">
        <v>241</v>
      </c>
      <c r="J13" s="49" t="s">
        <v>93</v>
      </c>
      <c r="K13" s="47" t="s">
        <v>255</v>
      </c>
      <c r="L13" s="48" t="s">
        <v>243</v>
      </c>
    </row>
    <row r="14" spans="1:12" ht="39.65" customHeight="1">
      <c r="A14" s="45" t="s">
        <v>241</v>
      </c>
      <c r="B14" s="46" t="s">
        <v>46</v>
      </c>
      <c r="C14" s="47" t="s">
        <v>256</v>
      </c>
      <c r="D14" s="48" t="s">
        <v>243</v>
      </c>
      <c r="E14" s="45" t="s">
        <v>241</v>
      </c>
      <c r="F14" s="49" t="s">
        <v>76</v>
      </c>
      <c r="G14" s="47" t="s">
        <v>256</v>
      </c>
      <c r="H14" s="48" t="s">
        <v>243</v>
      </c>
      <c r="I14" s="45" t="s">
        <v>241</v>
      </c>
      <c r="J14" s="49" t="s">
        <v>93</v>
      </c>
      <c r="K14" s="47" t="s">
        <v>256</v>
      </c>
      <c r="L14" s="48" t="s">
        <v>243</v>
      </c>
    </row>
    <row r="15" spans="1:12" ht="39.65" customHeight="1">
      <c r="A15" s="45" t="s">
        <v>241</v>
      </c>
      <c r="B15" s="46" t="s">
        <v>46</v>
      </c>
      <c r="C15" s="47" t="s">
        <v>257</v>
      </c>
      <c r="D15" s="48" t="s">
        <v>243</v>
      </c>
      <c r="E15" s="45" t="s">
        <v>241</v>
      </c>
      <c r="F15" s="49" t="s">
        <v>76</v>
      </c>
      <c r="G15" s="47" t="s">
        <v>257</v>
      </c>
      <c r="H15" s="48" t="s">
        <v>243</v>
      </c>
      <c r="I15" s="45" t="s">
        <v>241</v>
      </c>
      <c r="J15" s="49" t="s">
        <v>93</v>
      </c>
      <c r="K15" s="47" t="s">
        <v>257</v>
      </c>
      <c r="L15" s="48" t="s">
        <v>243</v>
      </c>
    </row>
    <row r="16" spans="1:12" ht="39.65" customHeight="1">
      <c r="A16" s="45" t="s">
        <v>241</v>
      </c>
      <c r="B16" s="46" t="s">
        <v>46</v>
      </c>
      <c r="C16" s="47" t="s">
        <v>258</v>
      </c>
      <c r="D16" s="48" t="s">
        <v>243</v>
      </c>
      <c r="E16" s="45" t="s">
        <v>241</v>
      </c>
      <c r="F16" s="49" t="s">
        <v>76</v>
      </c>
      <c r="G16" s="47" t="s">
        <v>258</v>
      </c>
      <c r="H16" s="48" t="s">
        <v>243</v>
      </c>
      <c r="I16" s="45" t="s">
        <v>241</v>
      </c>
      <c r="J16" s="49" t="s">
        <v>93</v>
      </c>
      <c r="K16" s="47" t="s">
        <v>258</v>
      </c>
      <c r="L16" s="48" t="s">
        <v>243</v>
      </c>
    </row>
    <row r="17" spans="1:12" ht="39.65" customHeight="1">
      <c r="A17" s="45" t="s">
        <v>241</v>
      </c>
      <c r="B17" s="46" t="s">
        <v>46</v>
      </c>
      <c r="C17" s="47" t="s">
        <v>259</v>
      </c>
      <c r="D17" s="48" t="s">
        <v>243</v>
      </c>
      <c r="E17" s="45" t="s">
        <v>241</v>
      </c>
      <c r="F17" s="49" t="s">
        <v>76</v>
      </c>
      <c r="G17" s="47" t="s">
        <v>259</v>
      </c>
      <c r="H17" s="48" t="s">
        <v>243</v>
      </c>
      <c r="I17" s="45" t="s">
        <v>241</v>
      </c>
      <c r="J17" s="49" t="s">
        <v>93</v>
      </c>
      <c r="K17" s="47" t="s">
        <v>259</v>
      </c>
      <c r="L17" s="48" t="s">
        <v>243</v>
      </c>
    </row>
    <row r="18" spans="1:12" ht="39.65" customHeight="1">
      <c r="A18" s="45" t="s">
        <v>241</v>
      </c>
      <c r="B18" s="46" t="s">
        <v>46</v>
      </c>
      <c r="C18" s="47" t="s">
        <v>260</v>
      </c>
      <c r="D18" s="48" t="s">
        <v>243</v>
      </c>
      <c r="E18" s="45" t="s">
        <v>241</v>
      </c>
      <c r="F18" s="49" t="s">
        <v>76</v>
      </c>
      <c r="G18" s="47" t="s">
        <v>260</v>
      </c>
      <c r="H18" s="48" t="s">
        <v>243</v>
      </c>
      <c r="I18" s="45" t="s">
        <v>241</v>
      </c>
      <c r="J18" s="49" t="s">
        <v>93</v>
      </c>
      <c r="K18" s="47" t="s">
        <v>260</v>
      </c>
      <c r="L18" s="48" t="s">
        <v>243</v>
      </c>
    </row>
    <row r="19" spans="1:12" ht="39.65" customHeight="1">
      <c r="A19" s="45" t="s">
        <v>241</v>
      </c>
      <c r="B19" s="46" t="s">
        <v>46</v>
      </c>
      <c r="C19" s="47" t="s">
        <v>261</v>
      </c>
      <c r="D19" s="48" t="s">
        <v>243</v>
      </c>
      <c r="E19" s="45" t="s">
        <v>241</v>
      </c>
      <c r="F19" s="49" t="s">
        <v>76</v>
      </c>
      <c r="G19" s="47" t="s">
        <v>261</v>
      </c>
      <c r="H19" s="48" t="s">
        <v>243</v>
      </c>
      <c r="I19" s="45" t="s">
        <v>241</v>
      </c>
      <c r="J19" s="49" t="s">
        <v>93</v>
      </c>
      <c r="K19" s="47" t="s">
        <v>261</v>
      </c>
      <c r="L19" s="48" t="s">
        <v>243</v>
      </c>
    </row>
    <row r="20" spans="1:12" ht="39.65" customHeight="1">
      <c r="A20" s="45" t="s">
        <v>241</v>
      </c>
      <c r="B20" s="46" t="s">
        <v>46</v>
      </c>
      <c r="C20" s="47" t="s">
        <v>262</v>
      </c>
      <c r="D20" s="48" t="s">
        <v>243</v>
      </c>
      <c r="E20" s="45" t="s">
        <v>241</v>
      </c>
      <c r="F20" s="49" t="s">
        <v>76</v>
      </c>
      <c r="G20" s="47" t="s">
        <v>262</v>
      </c>
      <c r="H20" s="48" t="s">
        <v>243</v>
      </c>
      <c r="I20" s="45" t="s">
        <v>241</v>
      </c>
      <c r="J20" s="49" t="s">
        <v>93</v>
      </c>
      <c r="K20" s="47" t="s">
        <v>262</v>
      </c>
      <c r="L20" s="48" t="s">
        <v>243</v>
      </c>
    </row>
    <row r="21" spans="1:12" ht="39.65" customHeight="1">
      <c r="A21" s="45" t="s">
        <v>241</v>
      </c>
      <c r="B21" s="46" t="s">
        <v>46</v>
      </c>
      <c r="C21" s="47" t="s">
        <v>263</v>
      </c>
      <c r="D21" s="48" t="s">
        <v>243</v>
      </c>
      <c r="E21" s="45" t="s">
        <v>241</v>
      </c>
      <c r="F21" s="49" t="s">
        <v>76</v>
      </c>
      <c r="G21" s="47" t="s">
        <v>263</v>
      </c>
      <c r="H21" s="48" t="s">
        <v>243</v>
      </c>
      <c r="I21" s="45" t="s">
        <v>241</v>
      </c>
      <c r="J21" s="49" t="s">
        <v>93</v>
      </c>
      <c r="K21" s="47" t="s">
        <v>263</v>
      </c>
      <c r="L21" s="48" t="s">
        <v>243</v>
      </c>
    </row>
    <row r="22" spans="1:12" ht="39.65" customHeight="1">
      <c r="A22" s="45" t="s">
        <v>241</v>
      </c>
      <c r="B22" s="46" t="s">
        <v>46</v>
      </c>
      <c r="C22" s="47" t="s">
        <v>264</v>
      </c>
      <c r="D22" s="48" t="s">
        <v>243</v>
      </c>
      <c r="E22" s="45" t="s">
        <v>241</v>
      </c>
      <c r="F22" s="49" t="s">
        <v>76</v>
      </c>
      <c r="G22" s="47" t="s">
        <v>264</v>
      </c>
      <c r="H22" s="48" t="s">
        <v>243</v>
      </c>
      <c r="I22" s="45" t="s">
        <v>241</v>
      </c>
      <c r="J22" s="49" t="s">
        <v>93</v>
      </c>
      <c r="K22" s="47" t="s">
        <v>264</v>
      </c>
      <c r="L22" s="48" t="s">
        <v>243</v>
      </c>
    </row>
    <row r="23" spans="1:12" ht="39.65" customHeight="1">
      <c r="A23" s="45" t="s">
        <v>241</v>
      </c>
      <c r="B23" s="46" t="s">
        <v>46</v>
      </c>
      <c r="C23" s="47" t="s">
        <v>265</v>
      </c>
      <c r="D23" s="48" t="s">
        <v>243</v>
      </c>
      <c r="E23" s="45" t="s">
        <v>241</v>
      </c>
      <c r="F23" s="49" t="s">
        <v>76</v>
      </c>
      <c r="G23" s="47" t="s">
        <v>265</v>
      </c>
      <c r="H23" s="48" t="s">
        <v>243</v>
      </c>
      <c r="I23" s="45" t="s">
        <v>241</v>
      </c>
      <c r="J23" s="49" t="s">
        <v>93</v>
      </c>
      <c r="K23" s="47" t="s">
        <v>265</v>
      </c>
      <c r="L23" s="48" t="s">
        <v>243</v>
      </c>
    </row>
    <row r="24" spans="1:12" ht="39.65" customHeight="1">
      <c r="A24" s="45" t="s">
        <v>241</v>
      </c>
      <c r="B24" s="46" t="s">
        <v>46</v>
      </c>
      <c r="C24" s="47" t="s">
        <v>266</v>
      </c>
      <c r="D24" s="48" t="s">
        <v>243</v>
      </c>
      <c r="E24" s="45" t="s">
        <v>241</v>
      </c>
      <c r="F24" s="49" t="s">
        <v>76</v>
      </c>
      <c r="G24" s="47" t="s">
        <v>266</v>
      </c>
      <c r="H24" s="48" t="s">
        <v>243</v>
      </c>
      <c r="I24" s="45" t="s">
        <v>241</v>
      </c>
      <c r="J24" s="49" t="s">
        <v>93</v>
      </c>
      <c r="K24" s="47" t="s">
        <v>266</v>
      </c>
      <c r="L24" s="48" t="s">
        <v>243</v>
      </c>
    </row>
    <row r="25" spans="1:12" ht="39.65" customHeight="1">
      <c r="A25" s="45" t="s">
        <v>241</v>
      </c>
      <c r="B25" s="46" t="s">
        <v>46</v>
      </c>
      <c r="C25" s="47" t="s">
        <v>267</v>
      </c>
      <c r="D25" s="48" t="s">
        <v>243</v>
      </c>
      <c r="E25" s="45" t="s">
        <v>241</v>
      </c>
      <c r="F25" s="49" t="s">
        <v>76</v>
      </c>
      <c r="G25" s="47" t="s">
        <v>267</v>
      </c>
      <c r="H25" s="48" t="s">
        <v>243</v>
      </c>
      <c r="I25" s="45" t="s">
        <v>241</v>
      </c>
      <c r="J25" s="49" t="s">
        <v>93</v>
      </c>
      <c r="K25" s="47" t="s">
        <v>267</v>
      </c>
      <c r="L25" s="48" t="s">
        <v>243</v>
      </c>
    </row>
    <row r="26" spans="1:12" ht="39.65" customHeight="1">
      <c r="A26" s="45" t="s">
        <v>241</v>
      </c>
      <c r="B26" s="46" t="s">
        <v>46</v>
      </c>
      <c r="C26" s="47" t="s">
        <v>268</v>
      </c>
      <c r="D26" s="48" t="s">
        <v>243</v>
      </c>
      <c r="E26" s="45" t="s">
        <v>241</v>
      </c>
      <c r="F26" s="49" t="s">
        <v>76</v>
      </c>
      <c r="G26" s="47" t="s">
        <v>268</v>
      </c>
      <c r="H26" s="48" t="s">
        <v>243</v>
      </c>
      <c r="I26" s="45" t="s">
        <v>241</v>
      </c>
      <c r="J26" s="49" t="s">
        <v>93</v>
      </c>
      <c r="K26" s="47" t="s">
        <v>268</v>
      </c>
      <c r="L26" s="48" t="s">
        <v>243</v>
      </c>
    </row>
    <row r="27" spans="1:12" ht="39.65" customHeight="1">
      <c r="A27" s="45" t="s">
        <v>241</v>
      </c>
      <c r="B27" s="46" t="s">
        <v>46</v>
      </c>
      <c r="C27" s="47" t="s">
        <v>269</v>
      </c>
      <c r="D27" s="48" t="s">
        <v>243</v>
      </c>
      <c r="E27" s="45" t="s">
        <v>241</v>
      </c>
      <c r="F27" s="49" t="s">
        <v>76</v>
      </c>
      <c r="G27" s="47" t="s">
        <v>269</v>
      </c>
      <c r="H27" s="48" t="s">
        <v>243</v>
      </c>
      <c r="I27" s="45" t="s">
        <v>241</v>
      </c>
      <c r="J27" s="49" t="s">
        <v>93</v>
      </c>
      <c r="K27" s="47" t="s">
        <v>269</v>
      </c>
      <c r="L27" s="48" t="s">
        <v>243</v>
      </c>
    </row>
    <row r="28" spans="1:12" ht="39.65" customHeight="1">
      <c r="A28" s="45" t="s">
        <v>241</v>
      </c>
      <c r="B28" s="46" t="s">
        <v>46</v>
      </c>
      <c r="C28" s="47" t="s">
        <v>270</v>
      </c>
      <c r="D28" s="48" t="s">
        <v>243</v>
      </c>
      <c r="E28" s="45" t="s">
        <v>241</v>
      </c>
      <c r="F28" s="49" t="s">
        <v>76</v>
      </c>
      <c r="G28" s="47" t="s">
        <v>270</v>
      </c>
      <c r="H28" s="48" t="s">
        <v>243</v>
      </c>
      <c r="I28" s="45" t="s">
        <v>241</v>
      </c>
      <c r="J28" s="49" t="s">
        <v>93</v>
      </c>
      <c r="K28" s="47" t="s">
        <v>270</v>
      </c>
      <c r="L28" s="48" t="s">
        <v>243</v>
      </c>
    </row>
    <row r="29" spans="1:12" ht="39.65" customHeight="1">
      <c r="A29" s="45" t="s">
        <v>241</v>
      </c>
      <c r="B29" s="46" t="s">
        <v>46</v>
      </c>
      <c r="C29" s="47" t="s">
        <v>271</v>
      </c>
      <c r="D29" s="48" t="s">
        <v>243</v>
      </c>
      <c r="E29" s="45" t="s">
        <v>241</v>
      </c>
      <c r="F29" s="49" t="s">
        <v>76</v>
      </c>
      <c r="G29" s="47" t="s">
        <v>271</v>
      </c>
      <c r="H29" s="48" t="s">
        <v>243</v>
      </c>
      <c r="I29" s="45" t="s">
        <v>241</v>
      </c>
      <c r="J29" s="49" t="s">
        <v>93</v>
      </c>
      <c r="K29" s="47" t="s">
        <v>271</v>
      </c>
      <c r="L29" s="48" t="s">
        <v>243</v>
      </c>
    </row>
    <row r="30" spans="1:12" ht="39.65" customHeight="1">
      <c r="A30" s="45" t="s">
        <v>241</v>
      </c>
      <c r="B30" s="46" t="s">
        <v>46</v>
      </c>
      <c r="C30" s="47" t="s">
        <v>272</v>
      </c>
      <c r="D30" s="48" t="s">
        <v>243</v>
      </c>
      <c r="E30" s="45" t="s">
        <v>241</v>
      </c>
      <c r="F30" s="49" t="s">
        <v>76</v>
      </c>
      <c r="G30" s="47" t="s">
        <v>272</v>
      </c>
      <c r="H30" s="48" t="s">
        <v>243</v>
      </c>
      <c r="I30" s="45" t="s">
        <v>241</v>
      </c>
      <c r="J30" s="49" t="s">
        <v>93</v>
      </c>
      <c r="K30" s="47" t="s">
        <v>272</v>
      </c>
      <c r="L30" s="48" t="s">
        <v>243</v>
      </c>
    </row>
    <row r="31" spans="1:12" ht="39.65" customHeight="1">
      <c r="A31" s="45" t="s">
        <v>241</v>
      </c>
      <c r="B31" s="46" t="s">
        <v>46</v>
      </c>
      <c r="C31" s="47" t="s">
        <v>273</v>
      </c>
      <c r="D31" s="48" t="s">
        <v>243</v>
      </c>
      <c r="E31" s="45" t="s">
        <v>241</v>
      </c>
      <c r="F31" s="49" t="s">
        <v>76</v>
      </c>
      <c r="G31" s="47" t="s">
        <v>273</v>
      </c>
      <c r="H31" s="48" t="s">
        <v>243</v>
      </c>
      <c r="I31" s="45" t="s">
        <v>241</v>
      </c>
      <c r="J31" s="49" t="s">
        <v>93</v>
      </c>
      <c r="K31" s="47" t="s">
        <v>273</v>
      </c>
      <c r="L31" s="48" t="s">
        <v>243</v>
      </c>
    </row>
    <row r="32" spans="1:12" ht="39.65" customHeight="1">
      <c r="A32" s="45" t="s">
        <v>241</v>
      </c>
      <c r="B32" s="46" t="s">
        <v>46</v>
      </c>
      <c r="C32" s="47" t="s">
        <v>274</v>
      </c>
      <c r="D32" s="48" t="s">
        <v>243</v>
      </c>
      <c r="E32" s="45" t="s">
        <v>241</v>
      </c>
      <c r="F32" s="49" t="s">
        <v>76</v>
      </c>
      <c r="G32" s="47" t="s">
        <v>274</v>
      </c>
      <c r="H32" s="48" t="s">
        <v>243</v>
      </c>
      <c r="I32" s="45" t="s">
        <v>241</v>
      </c>
      <c r="J32" s="49" t="s">
        <v>93</v>
      </c>
      <c r="K32" s="47" t="s">
        <v>274</v>
      </c>
      <c r="L32" s="48" t="s">
        <v>243</v>
      </c>
    </row>
    <row r="33" spans="1:12" ht="39.65" customHeight="1">
      <c r="A33" s="45" t="s">
        <v>241</v>
      </c>
      <c r="B33" s="46" t="s">
        <v>46</v>
      </c>
      <c r="C33" s="47" t="s">
        <v>275</v>
      </c>
      <c r="D33" s="48" t="s">
        <v>243</v>
      </c>
      <c r="E33" s="45" t="s">
        <v>241</v>
      </c>
      <c r="F33" s="49" t="s">
        <v>76</v>
      </c>
      <c r="G33" s="47" t="s">
        <v>275</v>
      </c>
      <c r="H33" s="48" t="s">
        <v>243</v>
      </c>
      <c r="I33" s="45" t="s">
        <v>241</v>
      </c>
      <c r="J33" s="49" t="s">
        <v>93</v>
      </c>
      <c r="K33" s="47" t="s">
        <v>275</v>
      </c>
      <c r="L33" s="48" t="s">
        <v>243</v>
      </c>
    </row>
    <row r="34" spans="1:12" ht="39.65" customHeight="1">
      <c r="A34" s="45" t="s">
        <v>241</v>
      </c>
      <c r="B34" s="46" t="s">
        <v>46</v>
      </c>
      <c r="C34" s="47" t="s">
        <v>276</v>
      </c>
      <c r="D34" s="48" t="s">
        <v>243</v>
      </c>
      <c r="E34" s="45" t="s">
        <v>241</v>
      </c>
      <c r="F34" s="49" t="s">
        <v>76</v>
      </c>
      <c r="G34" s="47" t="s">
        <v>276</v>
      </c>
      <c r="H34" s="48" t="s">
        <v>243</v>
      </c>
      <c r="I34" s="45" t="s">
        <v>241</v>
      </c>
      <c r="J34" s="49" t="s">
        <v>93</v>
      </c>
      <c r="K34" s="47" t="s">
        <v>276</v>
      </c>
      <c r="L34" s="48" t="s">
        <v>243</v>
      </c>
    </row>
    <row r="35" spans="1:12" ht="39.65" customHeight="1">
      <c r="A35" s="45" t="s">
        <v>241</v>
      </c>
      <c r="B35" s="46" t="s">
        <v>46</v>
      </c>
      <c r="C35" s="47" t="s">
        <v>277</v>
      </c>
      <c r="D35" s="48" t="s">
        <v>243</v>
      </c>
      <c r="E35" s="45" t="s">
        <v>241</v>
      </c>
      <c r="F35" s="49" t="s">
        <v>76</v>
      </c>
      <c r="G35" s="47" t="s">
        <v>277</v>
      </c>
      <c r="H35" s="48" t="s">
        <v>243</v>
      </c>
      <c r="I35" s="45" t="s">
        <v>241</v>
      </c>
      <c r="J35" s="49" t="s">
        <v>93</v>
      </c>
      <c r="K35" s="47" t="s">
        <v>277</v>
      </c>
      <c r="L35" s="48" t="s">
        <v>243</v>
      </c>
    </row>
    <row r="36" spans="1:12" ht="39.65" customHeight="1">
      <c r="A36" s="45" t="s">
        <v>241</v>
      </c>
      <c r="B36" s="46" t="s">
        <v>46</v>
      </c>
      <c r="C36" s="47" t="s">
        <v>278</v>
      </c>
      <c r="D36" s="48" t="s">
        <v>243</v>
      </c>
      <c r="E36" s="45" t="s">
        <v>241</v>
      </c>
      <c r="F36" s="49" t="s">
        <v>76</v>
      </c>
      <c r="G36" s="47" t="s">
        <v>278</v>
      </c>
      <c r="H36" s="48" t="s">
        <v>243</v>
      </c>
      <c r="I36" s="45" t="s">
        <v>241</v>
      </c>
      <c r="J36" s="49" t="s">
        <v>93</v>
      </c>
      <c r="K36" s="47" t="s">
        <v>278</v>
      </c>
      <c r="L36" s="48" t="s">
        <v>243</v>
      </c>
    </row>
    <row r="37" spans="1:12" ht="39.65" customHeight="1">
      <c r="A37" s="45" t="s">
        <v>241</v>
      </c>
      <c r="B37" s="46" t="s">
        <v>46</v>
      </c>
      <c r="C37" s="47" t="s">
        <v>279</v>
      </c>
      <c r="D37" s="48" t="s">
        <v>243</v>
      </c>
      <c r="E37" s="45" t="s">
        <v>241</v>
      </c>
      <c r="F37" s="49" t="s">
        <v>76</v>
      </c>
      <c r="G37" s="47" t="s">
        <v>279</v>
      </c>
      <c r="H37" s="48" t="s">
        <v>243</v>
      </c>
      <c r="I37" s="45" t="s">
        <v>241</v>
      </c>
      <c r="J37" s="49" t="s">
        <v>93</v>
      </c>
      <c r="K37" s="47" t="s">
        <v>279</v>
      </c>
      <c r="L37" s="48" t="s">
        <v>243</v>
      </c>
    </row>
    <row r="38" spans="1:12" ht="39.65" customHeight="1">
      <c r="A38" s="45" t="s">
        <v>241</v>
      </c>
      <c r="B38" s="46" t="s">
        <v>46</v>
      </c>
      <c r="C38" s="47" t="s">
        <v>280</v>
      </c>
      <c r="D38" s="48" t="s">
        <v>243</v>
      </c>
      <c r="E38" s="45" t="s">
        <v>241</v>
      </c>
      <c r="F38" s="49" t="s">
        <v>76</v>
      </c>
      <c r="G38" s="47" t="s">
        <v>280</v>
      </c>
      <c r="H38" s="48" t="s">
        <v>243</v>
      </c>
      <c r="I38" s="45" t="s">
        <v>241</v>
      </c>
      <c r="J38" s="49" t="s">
        <v>93</v>
      </c>
      <c r="K38" s="47" t="s">
        <v>280</v>
      </c>
      <c r="L38" s="48" t="s">
        <v>243</v>
      </c>
    </row>
    <row r="39" spans="1:12" ht="39.65" customHeight="1">
      <c r="A39" s="45" t="s">
        <v>241</v>
      </c>
      <c r="B39" s="46" t="s">
        <v>46</v>
      </c>
      <c r="C39" s="47" t="s">
        <v>281</v>
      </c>
      <c r="D39" s="48" t="s">
        <v>243</v>
      </c>
      <c r="E39" s="45" t="s">
        <v>241</v>
      </c>
      <c r="F39" s="49" t="s">
        <v>76</v>
      </c>
      <c r="G39" s="47" t="s">
        <v>281</v>
      </c>
      <c r="H39" s="48" t="s">
        <v>243</v>
      </c>
      <c r="I39" s="45" t="s">
        <v>241</v>
      </c>
      <c r="J39" s="49" t="s">
        <v>93</v>
      </c>
      <c r="K39" s="47" t="s">
        <v>281</v>
      </c>
      <c r="L39" s="48" t="s">
        <v>243</v>
      </c>
    </row>
    <row r="40" spans="1:12" ht="39.65" customHeight="1">
      <c r="A40" s="45" t="s">
        <v>241</v>
      </c>
      <c r="B40" s="46" t="s">
        <v>46</v>
      </c>
      <c r="C40" s="47" t="s">
        <v>282</v>
      </c>
      <c r="D40" s="48" t="s">
        <v>243</v>
      </c>
      <c r="E40" s="45" t="s">
        <v>241</v>
      </c>
      <c r="F40" s="49" t="s">
        <v>76</v>
      </c>
      <c r="G40" s="47" t="s">
        <v>282</v>
      </c>
      <c r="H40" s="48" t="s">
        <v>243</v>
      </c>
      <c r="I40" s="45" t="s">
        <v>241</v>
      </c>
      <c r="J40" s="49" t="s">
        <v>93</v>
      </c>
      <c r="K40" s="47" t="s">
        <v>282</v>
      </c>
      <c r="L40" s="48" t="s">
        <v>243</v>
      </c>
    </row>
    <row r="41" spans="1:12" ht="39.65" customHeight="1">
      <c r="A41" s="45" t="s">
        <v>241</v>
      </c>
      <c r="B41" s="46" t="s">
        <v>46</v>
      </c>
      <c r="C41" s="47" t="s">
        <v>283</v>
      </c>
      <c r="D41" s="48" t="s">
        <v>243</v>
      </c>
      <c r="E41" s="45" t="s">
        <v>241</v>
      </c>
      <c r="F41" s="49" t="s">
        <v>76</v>
      </c>
      <c r="G41" s="47" t="s">
        <v>283</v>
      </c>
      <c r="H41" s="48" t="s">
        <v>243</v>
      </c>
      <c r="I41" s="45" t="s">
        <v>241</v>
      </c>
      <c r="J41" s="49" t="s">
        <v>93</v>
      </c>
      <c r="K41" s="47" t="s">
        <v>283</v>
      </c>
      <c r="L41" s="48" t="s">
        <v>243</v>
      </c>
    </row>
    <row r="42" spans="1:12" ht="39.65" customHeight="1">
      <c r="A42" s="45" t="s">
        <v>241</v>
      </c>
      <c r="B42" s="46" t="s">
        <v>46</v>
      </c>
      <c r="C42" s="47" t="s">
        <v>284</v>
      </c>
      <c r="D42" s="48" t="s">
        <v>243</v>
      </c>
      <c r="E42" s="45" t="s">
        <v>241</v>
      </c>
      <c r="F42" s="49" t="s">
        <v>76</v>
      </c>
      <c r="G42" s="47" t="s">
        <v>284</v>
      </c>
      <c r="H42" s="48" t="s">
        <v>243</v>
      </c>
      <c r="I42" s="45" t="s">
        <v>241</v>
      </c>
      <c r="J42" s="49" t="s">
        <v>93</v>
      </c>
      <c r="K42" s="47" t="s">
        <v>284</v>
      </c>
      <c r="L42" s="48" t="s">
        <v>243</v>
      </c>
    </row>
  </sheetData>
  <phoneticPr fontId="15" type="noConversion"/>
  <pageMargins left="0.7" right="0.7" top="0.75" bottom="0.75" header="0.3" footer="0.3"/>
  <pageSetup paperSize="9" scale="96" orientation="portrait" r:id="rId1"/>
  <colBreaks count="1" manualBreakCount="1">
    <brk id="8"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A60"/>
  <sheetViews>
    <sheetView workbookViewId="0">
      <selection activeCell="G45" sqref="G45"/>
    </sheetView>
  </sheetViews>
  <sheetFormatPr defaultColWidth="8.81640625" defaultRowHeight="14.5"/>
  <sheetData>
    <row r="3" spans="1:1">
      <c r="A3" t="s">
        <v>285</v>
      </c>
    </row>
    <row r="4" spans="1:1">
      <c r="A4" t="s">
        <v>286</v>
      </c>
    </row>
    <row r="5" spans="1:1">
      <c r="A5" s="54" t="s">
        <v>287</v>
      </c>
    </row>
    <row r="6" spans="1:1">
      <c r="A6" s="54"/>
    </row>
    <row r="7" spans="1:1">
      <c r="A7" s="54" t="s">
        <v>288</v>
      </c>
    </row>
    <row r="8" spans="1:1">
      <c r="A8" s="54"/>
    </row>
    <row r="9" spans="1:1">
      <c r="A9" s="54" t="s">
        <v>289</v>
      </c>
    </row>
    <row r="10" spans="1:1">
      <c r="A10" s="54"/>
    </row>
    <row r="11" spans="1:1">
      <c r="A11" s="55" t="s">
        <v>290</v>
      </c>
    </row>
    <row r="12" spans="1:1" ht="16">
      <c r="A12" s="56"/>
    </row>
    <row r="13" spans="1:1">
      <c r="A13" s="57" t="s">
        <v>291</v>
      </c>
    </row>
    <row r="14" spans="1:1" ht="16">
      <c r="A14" s="56"/>
    </row>
    <row r="15" spans="1:1">
      <c r="A15" s="57" t="s">
        <v>292</v>
      </c>
    </row>
    <row r="16" spans="1:1">
      <c r="A16" s="57" t="s">
        <v>293</v>
      </c>
    </row>
    <row r="17" spans="1:1" ht="16">
      <c r="A17" s="56"/>
    </row>
    <row r="18" spans="1:1">
      <c r="A18" s="57" t="s">
        <v>294</v>
      </c>
    </row>
    <row r="19" spans="1:1">
      <c r="A19" s="57" t="s">
        <v>295</v>
      </c>
    </row>
    <row r="20" spans="1:1">
      <c r="A20" s="57" t="s">
        <v>296</v>
      </c>
    </row>
    <row r="21" spans="1:1" ht="16">
      <c r="A21" s="56"/>
    </row>
    <row r="22" spans="1:1">
      <c r="A22" s="57" t="s">
        <v>297</v>
      </c>
    </row>
    <row r="23" spans="1:1">
      <c r="A23" s="57" t="s">
        <v>298</v>
      </c>
    </row>
    <row r="24" spans="1:1" ht="16">
      <c r="A24" s="56"/>
    </row>
    <row r="25" spans="1:1">
      <c r="A25" s="57" t="s">
        <v>299</v>
      </c>
    </row>
    <row r="26" spans="1:1" ht="16">
      <c r="A26" s="56"/>
    </row>
    <row r="27" spans="1:1">
      <c r="A27" s="57" t="s">
        <v>300</v>
      </c>
    </row>
    <row r="28" spans="1:1" ht="16">
      <c r="A28" s="58"/>
    </row>
    <row r="29" spans="1:1">
      <c r="A29" s="54"/>
    </row>
    <row r="30" spans="1:1">
      <c r="A30" s="54"/>
    </row>
    <row r="31" spans="1:1">
      <c r="A31" s="59" t="s">
        <v>301</v>
      </c>
    </row>
    <row r="32" spans="1:1">
      <c r="A32" s="59" t="s">
        <v>302</v>
      </c>
    </row>
    <row r="33" spans="1:1">
      <c r="A33" s="59"/>
    </row>
    <row r="34" spans="1:1">
      <c r="A34" s="59" t="s">
        <v>303</v>
      </c>
    </row>
    <row r="35" spans="1:1">
      <c r="A35" s="59" t="s">
        <v>304</v>
      </c>
    </row>
    <row r="36" spans="1:1">
      <c r="A36" s="59" t="s">
        <v>305</v>
      </c>
    </row>
    <row r="37" spans="1:1">
      <c r="A37" s="59" t="s">
        <v>306</v>
      </c>
    </row>
    <row r="38" spans="1:1">
      <c r="A38" s="59" t="s">
        <v>307</v>
      </c>
    </row>
    <row r="39" spans="1:1">
      <c r="A39" s="59" t="s">
        <v>308</v>
      </c>
    </row>
    <row r="40" spans="1:1">
      <c r="A40" s="59" t="s">
        <v>309</v>
      </c>
    </row>
    <row r="41" spans="1:1">
      <c r="A41" s="59" t="s">
        <v>310</v>
      </c>
    </row>
    <row r="42" spans="1:1">
      <c r="A42" s="59"/>
    </row>
    <row r="43" spans="1:1">
      <c r="A43" s="59" t="s">
        <v>311</v>
      </c>
    </row>
    <row r="44" spans="1:1">
      <c r="A44" s="59"/>
    </row>
    <row r="45" spans="1:1">
      <c r="A45" s="59" t="s">
        <v>312</v>
      </c>
    </row>
    <row r="46" spans="1:1">
      <c r="A46" s="59"/>
    </row>
    <row r="47" spans="1:1">
      <c r="A47" s="59" t="s">
        <v>313</v>
      </c>
    </row>
    <row r="48" spans="1:1">
      <c r="A48" s="59" t="s">
        <v>314</v>
      </c>
    </row>
    <row r="49" spans="1:1">
      <c r="A49" s="59" t="s">
        <v>315</v>
      </c>
    </row>
    <row r="50" spans="1:1">
      <c r="A50" s="59" t="s">
        <v>316</v>
      </c>
    </row>
    <row r="51" spans="1:1">
      <c r="A51" s="59" t="s">
        <v>317</v>
      </c>
    </row>
    <row r="52" spans="1:1">
      <c r="A52" s="59" t="s">
        <v>318</v>
      </c>
    </row>
    <row r="53" spans="1:1">
      <c r="A53" s="59" t="s">
        <v>319</v>
      </c>
    </row>
    <row r="54" spans="1:1">
      <c r="A54" s="59" t="s">
        <v>320</v>
      </c>
    </row>
    <row r="55" spans="1:1">
      <c r="A55" s="54"/>
    </row>
    <row r="56" spans="1:1">
      <c r="A56" s="54" t="s">
        <v>321</v>
      </c>
    </row>
    <row r="57" spans="1:1">
      <c r="A57" s="54"/>
    </row>
    <row r="58" spans="1:1">
      <c r="A58" s="54" t="s">
        <v>322</v>
      </c>
    </row>
    <row r="59" spans="1:1">
      <c r="A59" s="54"/>
    </row>
    <row r="60" spans="1:1">
      <c r="A60" s="60" t="s">
        <v>323</v>
      </c>
    </row>
  </sheetData>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Y42"/>
  <sheetViews>
    <sheetView zoomScale="80" zoomScaleNormal="80" workbookViewId="0">
      <selection activeCell="C27" sqref="C27"/>
    </sheetView>
  </sheetViews>
  <sheetFormatPr defaultColWidth="8.81640625" defaultRowHeight="14.5"/>
  <cols>
    <col min="1" max="1" width="63.26953125" customWidth="1"/>
    <col min="2" max="2" width="18.1796875" customWidth="1"/>
    <col min="3" max="3" width="50" customWidth="1"/>
    <col min="4" max="4" width="16.54296875" customWidth="1"/>
    <col min="5" max="5" width="63.81640625" bestFit="1" customWidth="1"/>
    <col min="6" max="6" width="15" bestFit="1" customWidth="1"/>
    <col min="7" max="7" width="13.1796875" customWidth="1"/>
    <col min="9" max="9" width="9.81640625" bestFit="1" customWidth="1"/>
    <col min="10" max="10" width="10.81640625" bestFit="1" customWidth="1"/>
    <col min="16" max="16" width="15" bestFit="1" customWidth="1"/>
    <col min="17" max="17" width="11.54296875" bestFit="1" customWidth="1"/>
    <col min="20" max="20" width="19" bestFit="1" customWidth="1"/>
    <col min="22" max="22" width="11" bestFit="1" customWidth="1"/>
  </cols>
  <sheetData>
    <row r="1" spans="1:25" ht="18.5">
      <c r="A1" s="28"/>
      <c r="D1" s="44" t="s">
        <v>324</v>
      </c>
      <c r="E1" s="27"/>
      <c r="F1" s="27"/>
      <c r="G1" s="27"/>
      <c r="H1" s="27"/>
      <c r="I1" s="27"/>
      <c r="J1" s="27"/>
      <c r="K1" s="27"/>
      <c r="L1" s="27"/>
      <c r="M1" s="44" t="s">
        <v>325</v>
      </c>
      <c r="N1" s="27"/>
      <c r="O1" s="27"/>
      <c r="P1" s="27"/>
      <c r="Q1" s="27"/>
      <c r="R1" s="27"/>
      <c r="S1" s="27"/>
      <c r="T1" s="26"/>
      <c r="U1" s="26"/>
      <c r="V1" s="51" t="s">
        <v>326</v>
      </c>
      <c r="W1" s="51" t="s">
        <v>327</v>
      </c>
      <c r="X1" s="26"/>
      <c r="Y1" s="26"/>
    </row>
    <row r="2" spans="1:25" ht="18.5">
      <c r="A2" s="1" t="s">
        <v>328</v>
      </c>
      <c r="D2" s="30" t="s">
        <v>329</v>
      </c>
      <c r="E2" s="50"/>
      <c r="F2" s="50"/>
      <c r="G2" s="50"/>
      <c r="H2" s="50"/>
      <c r="I2" s="27"/>
      <c r="J2" s="27"/>
      <c r="K2" s="27"/>
      <c r="L2" s="27"/>
      <c r="M2" s="30" t="s">
        <v>330</v>
      </c>
      <c r="N2" s="31"/>
      <c r="O2" s="31"/>
      <c r="P2" s="31"/>
      <c r="Q2" s="31"/>
      <c r="R2" s="31"/>
      <c r="S2" s="31"/>
      <c r="T2" s="51" t="s">
        <v>331</v>
      </c>
      <c r="U2" s="26"/>
      <c r="V2" s="62" t="s">
        <v>332</v>
      </c>
      <c r="W2" s="62">
        <v>49.5</v>
      </c>
      <c r="X2" s="62">
        <v>21.6</v>
      </c>
      <c r="Y2" s="26"/>
    </row>
    <row r="3" spans="1:25">
      <c r="A3" t="s">
        <v>333</v>
      </c>
      <c r="D3" s="50"/>
      <c r="E3" s="50"/>
      <c r="F3" s="50"/>
      <c r="G3" s="50"/>
      <c r="H3" s="64" t="s">
        <v>334</v>
      </c>
      <c r="I3" s="27"/>
      <c r="J3" s="64" t="s">
        <v>326</v>
      </c>
      <c r="K3" s="64" t="s">
        <v>327</v>
      </c>
      <c r="L3" s="27"/>
      <c r="M3" s="30" t="s">
        <v>335</v>
      </c>
      <c r="N3" s="50"/>
      <c r="O3" s="50"/>
      <c r="P3" s="50"/>
      <c r="Q3" s="50"/>
      <c r="R3" s="50"/>
      <c r="S3" s="50"/>
      <c r="T3" s="44" t="s">
        <v>336</v>
      </c>
      <c r="U3" s="27"/>
      <c r="V3" s="44" t="s">
        <v>337</v>
      </c>
      <c r="W3" s="44">
        <v>34.58</v>
      </c>
      <c r="X3" s="44">
        <v>21.6</v>
      </c>
    </row>
    <row r="4" spans="1:25">
      <c r="A4" s="38" t="s">
        <v>338</v>
      </c>
      <c r="B4" s="40"/>
      <c r="D4" s="44" t="s">
        <v>339</v>
      </c>
      <c r="E4" s="44">
        <v>8.68</v>
      </c>
      <c r="F4" s="44">
        <v>22.3</v>
      </c>
      <c r="G4" s="63">
        <v>44669</v>
      </c>
      <c r="H4" s="44" t="s">
        <v>340</v>
      </c>
      <c r="I4" s="27"/>
      <c r="J4" s="44">
        <v>9.18</v>
      </c>
      <c r="K4" s="44">
        <v>9.1</v>
      </c>
      <c r="L4" s="44">
        <v>22.1</v>
      </c>
      <c r="M4" s="44" t="s">
        <v>339</v>
      </c>
      <c r="N4" s="44">
        <v>43.4</v>
      </c>
      <c r="O4" s="44">
        <v>22.4</v>
      </c>
      <c r="P4" s="63">
        <v>44669</v>
      </c>
      <c r="Q4" s="44" t="s">
        <v>340</v>
      </c>
      <c r="R4" s="27"/>
      <c r="S4" s="27"/>
      <c r="T4" s="27"/>
      <c r="U4" s="27"/>
      <c r="V4" s="44" t="s">
        <v>341</v>
      </c>
      <c r="W4" s="44">
        <v>1445</v>
      </c>
      <c r="X4" s="44">
        <v>21.7</v>
      </c>
    </row>
    <row r="5" spans="1:25">
      <c r="A5" t="s">
        <v>342</v>
      </c>
      <c r="C5">
        <v>250</v>
      </c>
      <c r="D5" s="44" t="s">
        <v>343</v>
      </c>
      <c r="E5" s="44">
        <v>8.67</v>
      </c>
      <c r="F5" s="44">
        <v>22.4</v>
      </c>
      <c r="G5" s="44" t="s">
        <v>344</v>
      </c>
      <c r="H5" s="44"/>
      <c r="I5" s="27"/>
      <c r="J5" s="27"/>
      <c r="K5" s="27"/>
      <c r="L5" s="27"/>
      <c r="M5" s="44" t="s">
        <v>343</v>
      </c>
      <c r="N5" s="44">
        <v>43.43</v>
      </c>
      <c r="O5" s="44">
        <v>22.3</v>
      </c>
      <c r="P5" s="44" t="s">
        <v>344</v>
      </c>
      <c r="Q5" s="44"/>
      <c r="R5" s="27"/>
      <c r="S5" s="27"/>
      <c r="U5" s="27"/>
    </row>
    <row r="6" spans="1:25" ht="15.5">
      <c r="A6" s="2" t="s">
        <v>345</v>
      </c>
      <c r="D6" s="44" t="s">
        <v>346</v>
      </c>
      <c r="E6" s="44">
        <v>8.68</v>
      </c>
      <c r="F6" s="44">
        <v>22.4</v>
      </c>
      <c r="G6" s="27"/>
      <c r="H6" s="27"/>
      <c r="I6" s="27"/>
      <c r="J6" s="27"/>
      <c r="K6" s="27"/>
      <c r="L6" s="27"/>
      <c r="M6" s="44" t="s">
        <v>346</v>
      </c>
      <c r="N6" s="44">
        <v>43.42</v>
      </c>
      <c r="O6" s="44">
        <v>22.4</v>
      </c>
      <c r="P6" s="27"/>
      <c r="Q6" s="27"/>
      <c r="R6" s="27"/>
      <c r="S6" s="27"/>
      <c r="T6" s="27"/>
      <c r="U6" s="27"/>
    </row>
    <row r="7" spans="1:25" ht="15.5">
      <c r="A7" s="52" t="s">
        <v>347</v>
      </c>
      <c r="B7" s="38">
        <v>23</v>
      </c>
      <c r="C7" s="38" t="s">
        <v>348</v>
      </c>
      <c r="D7" s="44"/>
      <c r="E7" s="27"/>
      <c r="F7" s="27"/>
      <c r="G7" s="27"/>
      <c r="H7" s="27"/>
      <c r="I7" s="27"/>
      <c r="J7" s="27"/>
      <c r="K7" s="27"/>
      <c r="L7" s="27"/>
      <c r="M7" s="27"/>
      <c r="N7" s="27"/>
      <c r="O7" s="27"/>
      <c r="P7" s="27"/>
      <c r="Q7" s="27"/>
      <c r="R7" s="27"/>
      <c r="S7" s="27"/>
      <c r="T7" s="27"/>
      <c r="U7" s="27"/>
    </row>
    <row r="8" spans="1:25">
      <c r="B8" s="530" t="s">
        <v>349</v>
      </c>
      <c r="C8" s="64" t="s">
        <v>350</v>
      </c>
      <c r="E8" s="532" t="s">
        <v>351</v>
      </c>
    </row>
    <row r="9" spans="1:25" ht="39.65" customHeight="1">
      <c r="A9" s="38" t="s">
        <v>352</v>
      </c>
      <c r="B9" s="531"/>
      <c r="C9" s="39" t="s">
        <v>353</v>
      </c>
      <c r="D9" s="3" t="s">
        <v>354</v>
      </c>
      <c r="E9" s="533"/>
      <c r="F9" s="43" t="s">
        <v>355</v>
      </c>
      <c r="G9" s="4"/>
    </row>
    <row r="10" spans="1:25" s="8" customFormat="1" ht="15.5">
      <c r="A10" s="5" t="s">
        <v>356</v>
      </c>
      <c r="B10" s="37">
        <v>40</v>
      </c>
      <c r="C10" s="34">
        <f>((B10*1.04)-AVERAGE(H34:H36))*B7</f>
        <v>165.21666666666675</v>
      </c>
      <c r="D10" s="6">
        <f>C10/B7</f>
        <v>7.1833333333333371</v>
      </c>
      <c r="E10" s="7">
        <f>((C10/B7)+AVERAGE(H34:H36))/4-(((C10/B7)+AVERAGE(H34:H36))/4)*10/245</f>
        <v>9.9755102040816332</v>
      </c>
      <c r="F10" s="7">
        <f>E10*4.1</f>
        <v>40.899591836734693</v>
      </c>
      <c r="G10" s="2"/>
    </row>
    <row r="11" spans="1:25" s="8" customFormat="1" ht="15.5">
      <c r="A11" s="74" t="s">
        <v>357</v>
      </c>
      <c r="B11" s="74">
        <v>2</v>
      </c>
      <c r="C11" s="75">
        <f>(B11/100*4+B11)*B7</f>
        <v>47.84</v>
      </c>
      <c r="D11" s="76">
        <f>C11/B7</f>
        <v>2.08</v>
      </c>
      <c r="E11" s="77">
        <f>(((C11)/B7)*0.25)-(((C11)/B7)*0.25)*(10/245)</f>
        <v>0.49877551020408167</v>
      </c>
      <c r="F11" s="77">
        <f>E11*4.1</f>
        <v>2.0449795918367348</v>
      </c>
      <c r="G11" s="78" t="s">
        <v>358</v>
      </c>
      <c r="H11" s="78"/>
    </row>
    <row r="12" spans="1:25" s="8" customFormat="1" ht="15.5">
      <c r="A12" s="73" t="s">
        <v>359</v>
      </c>
      <c r="B12" s="73">
        <v>1.6</v>
      </c>
      <c r="C12" s="79">
        <f>(B12/100*4+B12)*B7</f>
        <v>38.272000000000006</v>
      </c>
      <c r="D12" s="80">
        <f>C12/B7</f>
        <v>1.6640000000000001</v>
      </c>
      <c r="E12" s="81">
        <f>(((C12)/B7)*0.25)-(((C12)/B7)*0.25)*(10/245)</f>
        <v>0.39902040816326534</v>
      </c>
      <c r="F12" s="81">
        <f>E12*4.1</f>
        <v>1.6359836734693878</v>
      </c>
      <c r="G12" s="2"/>
    </row>
    <row r="13" spans="1:25" s="8" customFormat="1" ht="15.5">
      <c r="A13" s="9" t="s">
        <v>360</v>
      </c>
      <c r="B13" s="9">
        <v>0.22</v>
      </c>
      <c r="C13" s="35">
        <f>(B13/100*4+B13)*B7</f>
        <v>5.2624000000000004</v>
      </c>
      <c r="D13" s="10">
        <f>C13/B7</f>
        <v>0.22880000000000003</v>
      </c>
      <c r="E13" s="42">
        <f>(((C13)/B7)*0.25)-(((C13)/B7)*0.25)*(10/245)</f>
        <v>5.4865306122448984E-2</v>
      </c>
      <c r="F13" s="42">
        <f>E13*4.1</f>
        <v>0.22494775510204082</v>
      </c>
      <c r="G13" s="2"/>
      <c r="I13" s="52"/>
      <c r="J13" s="52"/>
      <c r="K13" s="52"/>
      <c r="L13" s="52"/>
      <c r="M13" s="52"/>
    </row>
    <row r="14" spans="1:25" s="8" customFormat="1" ht="15.5">
      <c r="A14" s="9" t="s">
        <v>361</v>
      </c>
      <c r="B14" s="9">
        <v>3</v>
      </c>
      <c r="C14" s="36">
        <v>0</v>
      </c>
      <c r="D14" s="10">
        <f>C14/B7</f>
        <v>0</v>
      </c>
      <c r="E14" s="42">
        <f>0.73</f>
        <v>0.73</v>
      </c>
      <c r="F14" s="42">
        <f>E14*4.1</f>
        <v>2.9929999999999999</v>
      </c>
      <c r="G14" s="2"/>
      <c r="I14" s="52"/>
      <c r="J14" s="52"/>
      <c r="K14" s="52" t="s">
        <v>362</v>
      </c>
      <c r="L14" s="52"/>
      <c r="M14" s="52"/>
    </row>
    <row r="15" spans="1:25" s="8" customFormat="1" ht="15.5">
      <c r="A15" s="9" t="s">
        <v>363</v>
      </c>
      <c r="B15" s="11" t="s">
        <v>364</v>
      </c>
      <c r="C15" s="35">
        <v>0</v>
      </c>
      <c r="D15" s="10"/>
      <c r="E15" s="42">
        <v>0</v>
      </c>
      <c r="F15" s="42"/>
      <c r="G15" s="2"/>
      <c r="I15" s="52" t="s">
        <v>365</v>
      </c>
      <c r="J15" s="52"/>
      <c r="K15" s="52">
        <v>381.37</v>
      </c>
      <c r="L15" s="52" t="s">
        <v>366</v>
      </c>
      <c r="M15" s="52"/>
    </row>
    <row r="16" spans="1:25" s="8" customFormat="1" ht="15.5">
      <c r="A16" s="12"/>
      <c r="B16" s="12"/>
      <c r="C16" s="32"/>
      <c r="D16" s="13"/>
      <c r="E16" s="14"/>
      <c r="F16" s="15"/>
      <c r="G16" s="2"/>
      <c r="I16" s="52" t="s">
        <v>367</v>
      </c>
      <c r="J16" s="70" t="s">
        <v>368</v>
      </c>
      <c r="K16" s="52">
        <f>1/(381.37/2)</f>
        <v>5.2442509898523743E-3</v>
      </c>
      <c r="L16" s="52" t="s">
        <v>369</v>
      </c>
      <c r="M16" s="52"/>
    </row>
    <row r="17" spans="1:19" s="8" customFormat="1" ht="15.5">
      <c r="A17" s="2" t="s">
        <v>370</v>
      </c>
      <c r="B17" s="2"/>
      <c r="C17" s="16">
        <f>3/4</f>
        <v>0.75</v>
      </c>
      <c r="D17" s="16"/>
      <c r="E17" s="2" t="s">
        <v>371</v>
      </c>
      <c r="I17" s="52"/>
      <c r="J17" s="52"/>
      <c r="K17" s="52"/>
      <c r="L17" s="52"/>
      <c r="M17" s="52"/>
    </row>
    <row r="18" spans="1:19" s="8" customFormat="1" ht="15.5">
      <c r="A18" s="522" t="s">
        <v>372</v>
      </c>
      <c r="B18" s="522">
        <f>10*21*3</f>
        <v>630</v>
      </c>
      <c r="C18" s="522">
        <f>B18*(7.3/100)</f>
        <v>45.989999999999995</v>
      </c>
      <c r="D18" s="522" t="s">
        <v>373</v>
      </c>
      <c r="E18" s="2"/>
      <c r="I18" s="52" t="s">
        <v>374</v>
      </c>
      <c r="J18" s="52"/>
      <c r="K18" s="52">
        <v>305.5</v>
      </c>
      <c r="L18" s="52" t="s">
        <v>366</v>
      </c>
      <c r="M18" s="52"/>
    </row>
    <row r="19" spans="1:19" s="8" customFormat="1" ht="15.5">
      <c r="A19" s="522" t="s">
        <v>375</v>
      </c>
      <c r="B19" s="522">
        <f>0.25*3*21</f>
        <v>15.75</v>
      </c>
      <c r="C19" s="522" t="s">
        <v>376</v>
      </c>
      <c r="D19" s="522"/>
      <c r="E19" s="2"/>
      <c r="I19" s="52">
        <f>K16</f>
        <v>5.2442509898523743E-3</v>
      </c>
      <c r="J19" s="52" t="s">
        <v>377</v>
      </c>
      <c r="K19" s="52">
        <f>K18*I19</f>
        <v>1.6021186773999003</v>
      </c>
      <c r="L19" s="52" t="s">
        <v>373</v>
      </c>
    </row>
    <row r="20" spans="1:19" s="8" customFormat="1" ht="18.5">
      <c r="H20" s="25"/>
    </row>
    <row r="21" spans="1:19" s="8" customFormat="1" ht="15.5">
      <c r="H21"/>
    </row>
    <row r="22" spans="1:19" s="8" customFormat="1" ht="15.5">
      <c r="A22" s="33" t="s">
        <v>378</v>
      </c>
      <c r="B22" s="17"/>
      <c r="C22" s="18"/>
      <c r="H22"/>
    </row>
    <row r="23" spans="1:19" s="8" customFormat="1" ht="15.5">
      <c r="A23" s="9" t="s">
        <v>379</v>
      </c>
      <c r="B23" s="52" t="s">
        <v>380</v>
      </c>
      <c r="C23" s="19"/>
      <c r="H23"/>
    </row>
    <row r="24" spans="1:19" s="8" customFormat="1" ht="15.5">
      <c r="A24" s="61"/>
      <c r="B24" s="41" t="s">
        <v>381</v>
      </c>
      <c r="C24" s="20" t="s">
        <v>382</v>
      </c>
    </row>
    <row r="25" spans="1:19" s="8" customFormat="1" ht="15.5">
      <c r="A25" s="21" t="s">
        <v>383</v>
      </c>
      <c r="B25" s="66">
        <f>101.68+63.6</f>
        <v>165.28</v>
      </c>
      <c r="C25" s="65" t="s">
        <v>384</v>
      </c>
      <c r="D25" s="72"/>
      <c r="E25" s="22"/>
    </row>
    <row r="26" spans="1:19" s="8" customFormat="1" ht="15.5">
      <c r="A26" s="82" t="s">
        <v>357</v>
      </c>
      <c r="B26" s="82"/>
      <c r="C26" s="83" t="s">
        <v>385</v>
      </c>
      <c r="D26" s="84" t="s">
        <v>386</v>
      </c>
      <c r="E26" s="85"/>
      <c r="F26" s="23"/>
      <c r="G26" s="23"/>
    </row>
    <row r="27" spans="1:19" s="8" customFormat="1" ht="15.5">
      <c r="A27" s="9" t="s">
        <v>359</v>
      </c>
      <c r="B27" s="68">
        <v>38.46</v>
      </c>
      <c r="C27" s="67" t="s">
        <v>387</v>
      </c>
      <c r="D27" s="71"/>
      <c r="E27" s="23"/>
      <c r="F27" s="23"/>
      <c r="G27" s="23"/>
    </row>
    <row r="28" spans="1:19" s="8" customFormat="1" ht="15.5">
      <c r="A28" s="24" t="s">
        <v>360</v>
      </c>
      <c r="B28" s="24">
        <v>5.31</v>
      </c>
      <c r="C28" s="69" t="s">
        <v>388</v>
      </c>
      <c r="D28" s="23"/>
      <c r="E28" s="23"/>
      <c r="F28" s="23"/>
      <c r="G28" s="23"/>
    </row>
    <row r="29" spans="1:19" s="8" customFormat="1" ht="15.5">
      <c r="C29" s="23"/>
      <c r="D29" s="23"/>
      <c r="E29" s="23"/>
      <c r="F29" s="23"/>
      <c r="G29" s="23"/>
    </row>
    <row r="30" spans="1:19" s="26" customFormat="1" ht="18.5">
      <c r="A30" s="51" t="s">
        <v>389</v>
      </c>
      <c r="F30" s="25"/>
      <c r="G30" s="51" t="s">
        <v>390</v>
      </c>
      <c r="Q30" s="51" t="s">
        <v>326</v>
      </c>
      <c r="R30" s="51" t="s">
        <v>327</v>
      </c>
    </row>
    <row r="31" spans="1:19" s="26" customFormat="1" ht="18.5">
      <c r="A31" s="51" t="s">
        <v>391</v>
      </c>
      <c r="F31" s="25"/>
      <c r="G31" s="30" t="s">
        <v>392</v>
      </c>
      <c r="H31" s="31"/>
      <c r="I31" s="31"/>
      <c r="J31" s="31"/>
      <c r="K31" s="31"/>
      <c r="L31" s="31"/>
      <c r="M31" s="31"/>
      <c r="N31" s="51"/>
      <c r="O31" s="51" t="s">
        <v>331</v>
      </c>
      <c r="P31" s="51"/>
      <c r="Q31" s="62" t="s">
        <v>332</v>
      </c>
      <c r="R31" s="62">
        <v>49.1</v>
      </c>
      <c r="S31" s="62">
        <v>21.7</v>
      </c>
    </row>
    <row r="32" spans="1:19" ht="15.5">
      <c r="A32" s="29" t="s">
        <v>393</v>
      </c>
      <c r="B32" s="27"/>
      <c r="C32" s="27"/>
      <c r="D32" s="27"/>
      <c r="E32" s="27"/>
      <c r="G32" s="30" t="s">
        <v>335</v>
      </c>
      <c r="H32" s="50"/>
      <c r="I32" s="50"/>
      <c r="J32" s="50"/>
      <c r="K32" s="50"/>
      <c r="L32" s="50"/>
      <c r="M32" s="50"/>
      <c r="N32" s="44"/>
      <c r="O32" s="44" t="s">
        <v>394</v>
      </c>
      <c r="P32" s="44"/>
      <c r="Q32" s="44" t="s">
        <v>337</v>
      </c>
      <c r="R32" s="44">
        <v>34.46</v>
      </c>
      <c r="S32" s="44">
        <v>21.7</v>
      </c>
    </row>
    <row r="33" spans="1:19">
      <c r="A33" s="27" t="s">
        <v>395</v>
      </c>
      <c r="B33" s="27" t="s">
        <v>396</v>
      </c>
      <c r="C33" s="27" t="s">
        <v>397</v>
      </c>
      <c r="D33" s="27" t="s">
        <v>398</v>
      </c>
      <c r="E33" s="27" t="s">
        <v>399</v>
      </c>
      <c r="F33" s="27" t="s">
        <v>400</v>
      </c>
      <c r="G33" s="30" t="s">
        <v>401</v>
      </c>
      <c r="H33" s="50"/>
      <c r="I33" s="50"/>
      <c r="J33" s="50"/>
      <c r="K33" s="50"/>
      <c r="L33" s="50"/>
      <c r="M33" s="50"/>
      <c r="N33" s="44"/>
      <c r="O33" s="44"/>
      <c r="P33" s="44"/>
      <c r="Q33" s="44" t="s">
        <v>341</v>
      </c>
      <c r="R33" s="44">
        <v>14.33</v>
      </c>
      <c r="S33" s="44">
        <v>21.7</v>
      </c>
    </row>
    <row r="34" spans="1:19">
      <c r="A34" s="27" t="s">
        <v>402</v>
      </c>
      <c r="B34" s="27">
        <v>8.86</v>
      </c>
      <c r="C34" s="27">
        <v>0.79</v>
      </c>
      <c r="D34" s="27">
        <v>2.1</v>
      </c>
      <c r="E34" s="27">
        <v>0.15</v>
      </c>
      <c r="F34" s="27">
        <v>0.14199999999999999</v>
      </c>
      <c r="G34" s="44" t="s">
        <v>339</v>
      </c>
      <c r="H34" s="44">
        <v>34.479999999999997</v>
      </c>
      <c r="I34" s="44">
        <v>9.6</v>
      </c>
      <c r="J34" s="63">
        <v>44658</v>
      </c>
      <c r="K34" s="44" t="s">
        <v>340</v>
      </c>
      <c r="L34" s="27"/>
      <c r="M34" s="27"/>
      <c r="N34" s="44"/>
      <c r="O34" s="44"/>
      <c r="P34" s="44"/>
      <c r="Q34" s="44"/>
      <c r="R34" s="44"/>
      <c r="S34" s="44"/>
    </row>
    <row r="35" spans="1:19">
      <c r="A35" s="27"/>
      <c r="B35" s="27"/>
      <c r="C35" s="27"/>
      <c r="D35" s="27"/>
      <c r="E35" s="27"/>
      <c r="F35" s="27"/>
      <c r="G35" s="44" t="s">
        <v>343</v>
      </c>
      <c r="H35" s="44">
        <v>34.409999999999997</v>
      </c>
      <c r="I35" s="44">
        <v>9.6</v>
      </c>
      <c r="J35" s="27"/>
      <c r="K35" s="27"/>
      <c r="L35" s="27"/>
      <c r="M35" s="27"/>
      <c r="N35" s="27"/>
    </row>
    <row r="36" spans="1:19">
      <c r="F36" s="27"/>
      <c r="G36" s="44" t="s">
        <v>346</v>
      </c>
      <c r="H36" s="44">
        <v>34.36</v>
      </c>
      <c r="I36" s="44">
        <v>9.6999999999999993</v>
      </c>
      <c r="J36" s="27"/>
      <c r="K36" s="27"/>
      <c r="L36" s="27"/>
      <c r="M36" s="27"/>
      <c r="N36" s="27"/>
    </row>
    <row r="37" spans="1:19">
      <c r="F37" s="27"/>
      <c r="G37" s="27"/>
      <c r="H37" s="27"/>
      <c r="I37" s="27"/>
      <c r="J37" s="27"/>
      <c r="K37" s="27"/>
      <c r="L37" s="27"/>
      <c r="M37" s="27"/>
      <c r="N37" s="27"/>
    </row>
    <row r="38" spans="1:19">
      <c r="F38" s="27"/>
      <c r="G38" s="30" t="s">
        <v>403</v>
      </c>
      <c r="H38" s="50"/>
      <c r="I38" s="50"/>
      <c r="J38" s="50"/>
      <c r="K38" s="50"/>
      <c r="L38" s="50"/>
      <c r="M38" s="50"/>
      <c r="N38" s="50"/>
    </row>
    <row r="39" spans="1:19">
      <c r="F39" s="27"/>
      <c r="G39" s="30" t="s">
        <v>404</v>
      </c>
      <c r="H39" s="50"/>
      <c r="I39" s="50"/>
      <c r="J39" s="50"/>
      <c r="K39" s="50"/>
      <c r="L39" s="50"/>
      <c r="M39" s="50"/>
      <c r="N39" s="50"/>
      <c r="O39" s="38" t="s">
        <v>334</v>
      </c>
      <c r="Q39" s="38" t="s">
        <v>326</v>
      </c>
      <c r="R39" s="38" t="s">
        <v>327</v>
      </c>
    </row>
    <row r="40" spans="1:19">
      <c r="F40" s="27"/>
      <c r="G40" s="44" t="s">
        <v>339</v>
      </c>
      <c r="H40" s="44">
        <v>8.24</v>
      </c>
      <c r="I40" s="44">
        <v>10.199999999999999</v>
      </c>
      <c r="J40" s="63">
        <v>44658</v>
      </c>
      <c r="K40" s="44" t="s">
        <v>340</v>
      </c>
      <c r="L40" s="27"/>
      <c r="M40" s="27"/>
      <c r="N40" s="27"/>
      <c r="Q40">
        <v>9.18</v>
      </c>
      <c r="R40">
        <v>9.09</v>
      </c>
      <c r="S40" t="s">
        <v>405</v>
      </c>
    </row>
    <row r="41" spans="1:19">
      <c r="F41" s="27"/>
      <c r="G41" s="44" t="s">
        <v>343</v>
      </c>
      <c r="H41" s="44">
        <v>8.2200000000000006</v>
      </c>
      <c r="I41" s="44">
        <v>9.9</v>
      </c>
      <c r="J41" s="27"/>
      <c r="K41" s="27"/>
      <c r="L41" s="27"/>
      <c r="M41" s="27"/>
      <c r="N41" s="27"/>
    </row>
    <row r="42" spans="1:19">
      <c r="F42" s="27"/>
      <c r="G42" s="44" t="s">
        <v>346</v>
      </c>
      <c r="H42" s="44">
        <v>8.27</v>
      </c>
      <c r="I42" s="44">
        <v>9.9</v>
      </c>
      <c r="J42" s="27"/>
      <c r="K42" s="27"/>
      <c r="L42" s="27"/>
      <c r="M42" s="27"/>
      <c r="N42" s="27"/>
    </row>
  </sheetData>
  <mergeCells count="2">
    <mergeCell ref="B8:B9"/>
    <mergeCell ref="E8:E9"/>
  </mergeCells>
  <pageMargins left="0.70866141732282995" right="0.70866141732282995" top="0.74803149606299002" bottom="0.74803149606299002" header="0.31496062992126" footer="0.31496062992126"/>
  <pageSetup paperSize="9" scale="30" orientation="landscape"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AD2EE-CC42-43C3-B36F-8B1D388C0065}">
  <sheetPr>
    <pageSetUpPr fitToPage="1"/>
  </sheetPr>
  <dimension ref="A1:X1169"/>
  <sheetViews>
    <sheetView topLeftCell="A25" zoomScale="110" zoomScaleNormal="110" workbookViewId="0">
      <selection activeCell="B36" sqref="B36"/>
    </sheetView>
  </sheetViews>
  <sheetFormatPr defaultColWidth="8.7265625" defaultRowHeight="14.5"/>
  <cols>
    <col min="1" max="1" width="17.1796875" style="44" customWidth="1"/>
    <col min="2" max="2" width="23.1796875" style="44" customWidth="1"/>
    <col min="3" max="3" width="8.7265625" style="44"/>
    <col min="4" max="4" width="25.453125" style="44" customWidth="1"/>
    <col min="5" max="16384" width="8.7265625" style="44"/>
  </cols>
  <sheetData>
    <row r="1" spans="1:13">
      <c r="A1" s="44" t="s">
        <v>406</v>
      </c>
      <c r="B1" s="44" t="s">
        <v>33</v>
      </c>
    </row>
    <row r="2" spans="1:13" ht="15.5">
      <c r="A2" s="2">
        <v>1000</v>
      </c>
      <c r="B2" s="2" t="s">
        <v>407</v>
      </c>
      <c r="C2" s="2"/>
      <c r="D2" s="2"/>
      <c r="E2" s="2"/>
      <c r="F2" s="2"/>
      <c r="G2" s="2"/>
      <c r="H2" s="44" t="s">
        <v>408</v>
      </c>
      <c r="I2" s="2"/>
      <c r="J2" s="2" t="s">
        <v>409</v>
      </c>
      <c r="K2" s="2"/>
      <c r="L2" s="2"/>
      <c r="M2" s="2"/>
    </row>
    <row r="3" spans="1:13" ht="15.5">
      <c r="A3" s="2">
        <v>2000</v>
      </c>
      <c r="B3" s="2" t="s">
        <v>410</v>
      </c>
      <c r="C3" s="2"/>
      <c r="D3" s="2"/>
      <c r="E3" s="2"/>
      <c r="F3" s="2"/>
      <c r="G3" s="2"/>
      <c r="H3" s="44" t="s">
        <v>408</v>
      </c>
      <c r="I3" s="2"/>
      <c r="J3" s="2" t="s">
        <v>411</v>
      </c>
      <c r="K3" s="2"/>
      <c r="L3" s="2"/>
      <c r="M3" s="52"/>
    </row>
    <row r="4" spans="1:13" ht="15.5">
      <c r="A4" s="2">
        <v>3800</v>
      </c>
      <c r="B4" s="2" t="s">
        <v>412</v>
      </c>
      <c r="C4" s="2"/>
      <c r="D4" s="2"/>
      <c r="E4" s="2"/>
      <c r="F4" s="2"/>
      <c r="G4" s="2"/>
      <c r="H4" s="2" t="s">
        <v>413</v>
      </c>
      <c r="I4" s="2"/>
      <c r="J4" s="2" t="s">
        <v>414</v>
      </c>
      <c r="K4" s="2"/>
      <c r="L4" s="2"/>
      <c r="M4" s="2"/>
    </row>
    <row r="5" spans="1:13">
      <c r="J5" s="101" t="s">
        <v>415</v>
      </c>
    </row>
    <row r="6" spans="1:13">
      <c r="J6" s="101" t="s">
        <v>416</v>
      </c>
    </row>
    <row r="8" spans="1:13" ht="15.5">
      <c r="A8" s="2" t="s">
        <v>417</v>
      </c>
      <c r="B8" s="2" t="s">
        <v>418</v>
      </c>
      <c r="C8" s="2"/>
      <c r="D8" s="2"/>
      <c r="E8" s="2"/>
      <c r="F8" s="2"/>
      <c r="G8" s="2"/>
      <c r="H8" s="2"/>
      <c r="I8" s="2"/>
      <c r="J8" s="2"/>
      <c r="K8" s="2"/>
      <c r="L8" s="2"/>
      <c r="M8" s="2"/>
    </row>
    <row r="9" spans="1:13" ht="15.5">
      <c r="A9" s="2"/>
      <c r="B9" s="2"/>
      <c r="C9" s="2"/>
      <c r="D9" s="2"/>
      <c r="E9" s="2"/>
      <c r="F9" s="2"/>
      <c r="G9" s="2"/>
      <c r="H9" s="2"/>
      <c r="I9" s="2"/>
      <c r="J9" s="2"/>
      <c r="K9" s="2"/>
      <c r="L9" s="2"/>
      <c r="M9" s="2"/>
    </row>
    <row r="10" spans="1:13" ht="15.5">
      <c r="A10" s="2"/>
      <c r="B10" s="2"/>
      <c r="C10" s="2"/>
      <c r="D10" s="2"/>
      <c r="E10" s="2"/>
      <c r="F10" s="2"/>
      <c r="G10" s="2"/>
      <c r="H10" s="2"/>
      <c r="I10" s="2"/>
      <c r="J10" s="2"/>
      <c r="K10" s="2"/>
      <c r="L10" s="2"/>
      <c r="M10" s="2"/>
    </row>
    <row r="11" spans="1:13" ht="15.5">
      <c r="A11" s="2"/>
      <c r="B11" s="2"/>
      <c r="C11" s="2"/>
      <c r="D11" s="2"/>
      <c r="E11" s="2"/>
      <c r="F11" s="2"/>
      <c r="G11" s="2"/>
      <c r="H11" s="2"/>
      <c r="I11" s="2"/>
      <c r="J11" s="2"/>
      <c r="K11" s="2"/>
      <c r="L11" s="2"/>
      <c r="M11" s="2"/>
    </row>
    <row r="12" spans="1:13" ht="15.5">
      <c r="A12" s="53" t="s">
        <v>419</v>
      </c>
      <c r="B12" s="53" t="s">
        <v>420</v>
      </c>
      <c r="C12" s="53" t="s">
        <v>421</v>
      </c>
      <c r="D12" s="53"/>
      <c r="E12" s="2"/>
      <c r="F12" s="2"/>
      <c r="G12" s="2"/>
      <c r="H12" s="2"/>
      <c r="I12" s="2"/>
      <c r="J12" s="2"/>
      <c r="K12" s="2"/>
      <c r="L12" s="2"/>
      <c r="M12" s="2"/>
    </row>
    <row r="13" spans="1:13" ht="15.5">
      <c r="A13" s="53" t="s">
        <v>422</v>
      </c>
      <c r="B13" s="53" t="s">
        <v>423</v>
      </c>
      <c r="C13" s="53"/>
      <c r="D13" s="53"/>
      <c r="E13" s="2"/>
      <c r="F13" s="2"/>
      <c r="G13" s="2"/>
      <c r="H13" s="2"/>
      <c r="I13" s="2"/>
      <c r="J13" s="2"/>
      <c r="K13" s="2"/>
      <c r="L13" s="2"/>
      <c r="M13" s="2"/>
    </row>
    <row r="14" spans="1:13" ht="15.5">
      <c r="A14" s="53"/>
      <c r="B14" s="86"/>
      <c r="C14" s="86"/>
      <c r="D14" s="86"/>
      <c r="E14" s="2"/>
      <c r="F14" s="2"/>
      <c r="G14" s="2"/>
      <c r="H14" s="2"/>
      <c r="I14" s="2"/>
      <c r="J14" s="2"/>
      <c r="K14" s="2"/>
      <c r="L14" s="2"/>
      <c r="M14" s="2"/>
    </row>
    <row r="15" spans="1:13" ht="15.5">
      <c r="A15" s="87" t="s">
        <v>424</v>
      </c>
      <c r="B15" s="88" t="s">
        <v>425</v>
      </c>
      <c r="C15" s="89"/>
      <c r="D15" s="89"/>
      <c r="E15" s="2"/>
      <c r="F15" s="1" t="s">
        <v>419</v>
      </c>
      <c r="G15" s="1" t="s">
        <v>426</v>
      </c>
      <c r="H15" s="53"/>
      <c r="I15" s="53"/>
      <c r="J15" s="2"/>
      <c r="K15" s="2"/>
      <c r="L15" s="1"/>
      <c r="M15" s="90"/>
    </row>
    <row r="16" spans="1:13" ht="15.5">
      <c r="A16" s="91" t="s">
        <v>427</v>
      </c>
      <c r="B16" s="92">
        <v>44691</v>
      </c>
      <c r="C16" s="87">
        <v>5</v>
      </c>
      <c r="D16" s="87" t="s">
        <v>428</v>
      </c>
      <c r="E16" s="2"/>
      <c r="F16" s="1">
        <v>1</v>
      </c>
      <c r="G16" s="93">
        <f>B17</f>
        <v>44696</v>
      </c>
      <c r="H16" s="53">
        <f>C17</f>
        <v>17</v>
      </c>
      <c r="I16" s="53" t="s">
        <v>429</v>
      </c>
      <c r="J16" s="2"/>
      <c r="K16" s="2"/>
      <c r="L16" s="53"/>
      <c r="M16" s="94"/>
    </row>
    <row r="17" spans="1:13" ht="15.5">
      <c r="A17" s="91">
        <v>1</v>
      </c>
      <c r="B17" s="95">
        <f>B16+C16</f>
        <v>44696</v>
      </c>
      <c r="C17" s="91">
        <v>17</v>
      </c>
      <c r="D17" s="91" t="s">
        <v>429</v>
      </c>
      <c r="E17" s="2"/>
      <c r="F17" s="1">
        <v>2</v>
      </c>
      <c r="G17" s="93">
        <f t="shared" ref="G17:H36" si="0">B18</f>
        <v>44713</v>
      </c>
      <c r="H17" s="53">
        <f t="shared" si="0"/>
        <v>17</v>
      </c>
      <c r="I17" s="93"/>
      <c r="J17" s="2"/>
      <c r="K17" s="2"/>
      <c r="L17" s="53"/>
      <c r="M17" s="96"/>
    </row>
    <row r="18" spans="1:13" ht="15.5">
      <c r="A18" s="91">
        <v>2</v>
      </c>
      <c r="B18" s="95">
        <f>B17+C17</f>
        <v>44713</v>
      </c>
      <c r="C18" s="91">
        <f>C17</f>
        <v>17</v>
      </c>
      <c r="D18" s="91"/>
      <c r="E18" s="2"/>
      <c r="F18" s="1">
        <v>3</v>
      </c>
      <c r="G18" s="93">
        <f t="shared" si="0"/>
        <v>44730</v>
      </c>
      <c r="H18" s="53">
        <f t="shared" si="0"/>
        <v>17</v>
      </c>
      <c r="I18" s="93"/>
      <c r="J18" s="2"/>
      <c r="K18" s="2"/>
      <c r="L18" s="53"/>
      <c r="M18" s="96"/>
    </row>
    <row r="19" spans="1:13" ht="15.5">
      <c r="A19" s="91">
        <v>3</v>
      </c>
      <c r="B19" s="95">
        <f t="shared" ref="B19:B36" si="1">B18+C18</f>
        <v>44730</v>
      </c>
      <c r="C19" s="91">
        <f t="shared" ref="C19:C37" si="2">C18</f>
        <v>17</v>
      </c>
      <c r="D19" s="91"/>
      <c r="E19" s="2"/>
      <c r="F19" s="1">
        <v>4</v>
      </c>
      <c r="G19" s="93">
        <f t="shared" si="0"/>
        <v>44747</v>
      </c>
      <c r="H19" s="53">
        <f t="shared" si="0"/>
        <v>17</v>
      </c>
      <c r="I19" s="93"/>
      <c r="J19" s="2"/>
      <c r="K19" s="2"/>
      <c r="L19" s="53"/>
      <c r="M19" s="96"/>
    </row>
    <row r="20" spans="1:13" ht="15.5">
      <c r="A20" s="91">
        <v>4</v>
      </c>
      <c r="B20" s="95">
        <f t="shared" si="1"/>
        <v>44747</v>
      </c>
      <c r="C20" s="91">
        <f t="shared" si="2"/>
        <v>17</v>
      </c>
      <c r="D20" s="91"/>
      <c r="E20" s="2"/>
      <c r="F20" s="1">
        <v>5</v>
      </c>
      <c r="G20" s="93">
        <f t="shared" si="0"/>
        <v>44764</v>
      </c>
      <c r="H20" s="53">
        <f t="shared" si="0"/>
        <v>17</v>
      </c>
      <c r="I20" s="93"/>
      <c r="J20" s="2"/>
      <c r="K20" s="2"/>
      <c r="L20" s="53"/>
      <c r="M20" s="96"/>
    </row>
    <row r="21" spans="1:13" ht="15.5">
      <c r="A21" s="91">
        <v>5</v>
      </c>
      <c r="B21" s="95">
        <f t="shared" si="1"/>
        <v>44764</v>
      </c>
      <c r="C21" s="91">
        <f t="shared" si="2"/>
        <v>17</v>
      </c>
      <c r="D21" s="91"/>
      <c r="E21" s="2"/>
      <c r="F21" s="1">
        <v>6</v>
      </c>
      <c r="G21" s="93">
        <f t="shared" si="0"/>
        <v>44781</v>
      </c>
      <c r="H21" s="53">
        <f t="shared" si="0"/>
        <v>17</v>
      </c>
      <c r="I21" s="93"/>
      <c r="J21" s="2"/>
      <c r="K21" s="2"/>
      <c r="L21" s="53"/>
      <c r="M21" s="96"/>
    </row>
    <row r="22" spans="1:13" ht="15.5">
      <c r="A22" s="91">
        <v>6</v>
      </c>
      <c r="B22" s="95">
        <f t="shared" si="1"/>
        <v>44781</v>
      </c>
      <c r="C22" s="91">
        <f t="shared" si="2"/>
        <v>17</v>
      </c>
      <c r="D22" s="91"/>
      <c r="E22" s="2"/>
      <c r="F22" s="1">
        <v>7</v>
      </c>
      <c r="G22" s="93">
        <f t="shared" si="0"/>
        <v>44798</v>
      </c>
      <c r="H22" s="53">
        <f t="shared" si="0"/>
        <v>17</v>
      </c>
      <c r="I22" s="93"/>
      <c r="J22" s="2"/>
      <c r="K22" s="2"/>
      <c r="L22" s="53"/>
      <c r="M22" s="96"/>
    </row>
    <row r="23" spans="1:13" ht="15.5">
      <c r="A23" s="91">
        <v>7</v>
      </c>
      <c r="B23" s="95">
        <f t="shared" si="1"/>
        <v>44798</v>
      </c>
      <c r="C23" s="91">
        <f t="shared" si="2"/>
        <v>17</v>
      </c>
      <c r="D23" s="91"/>
      <c r="E23" s="2"/>
      <c r="F23" s="1">
        <v>8</v>
      </c>
      <c r="G23" s="93">
        <f t="shared" si="0"/>
        <v>44815</v>
      </c>
      <c r="H23" s="53">
        <f t="shared" si="0"/>
        <v>17</v>
      </c>
      <c r="I23" s="93"/>
      <c r="J23" s="2"/>
      <c r="K23" s="2"/>
      <c r="L23" s="53"/>
      <c r="M23" s="96"/>
    </row>
    <row r="24" spans="1:13" ht="15.5">
      <c r="A24" s="91">
        <v>8</v>
      </c>
      <c r="B24" s="95">
        <f>B23+C23</f>
        <v>44815</v>
      </c>
      <c r="C24" s="91">
        <f t="shared" si="2"/>
        <v>17</v>
      </c>
      <c r="D24" s="91"/>
      <c r="E24" s="2"/>
      <c r="F24" s="1">
        <v>9</v>
      </c>
      <c r="G24" s="93">
        <f t="shared" si="0"/>
        <v>44832</v>
      </c>
      <c r="H24" s="53">
        <f t="shared" si="0"/>
        <v>17</v>
      </c>
      <c r="I24" s="93"/>
      <c r="J24" s="2"/>
      <c r="K24" s="2"/>
      <c r="L24" s="53"/>
      <c r="M24" s="96"/>
    </row>
    <row r="25" spans="1:13" ht="15.5">
      <c r="A25" s="91">
        <v>9</v>
      </c>
      <c r="B25" s="95">
        <f t="shared" si="1"/>
        <v>44832</v>
      </c>
      <c r="C25" s="91">
        <f t="shared" si="2"/>
        <v>17</v>
      </c>
      <c r="D25" s="91"/>
      <c r="E25" s="2"/>
      <c r="F25" s="1">
        <v>10</v>
      </c>
      <c r="G25" s="93">
        <f t="shared" si="0"/>
        <v>44849</v>
      </c>
      <c r="H25" s="53">
        <f t="shared" si="0"/>
        <v>17</v>
      </c>
      <c r="I25" s="93"/>
      <c r="J25" s="2"/>
      <c r="K25" s="2"/>
      <c r="L25" s="53"/>
      <c r="M25" s="96"/>
    </row>
    <row r="26" spans="1:13" ht="15.5">
      <c r="A26" s="91">
        <v>10</v>
      </c>
      <c r="B26" s="95">
        <f t="shared" si="1"/>
        <v>44849</v>
      </c>
      <c r="C26" s="91">
        <f t="shared" si="2"/>
        <v>17</v>
      </c>
      <c r="D26" s="91"/>
      <c r="E26" s="2"/>
      <c r="F26" s="1">
        <v>11</v>
      </c>
      <c r="G26" s="93">
        <f t="shared" si="0"/>
        <v>44866</v>
      </c>
      <c r="H26" s="53">
        <f t="shared" si="0"/>
        <v>17</v>
      </c>
      <c r="I26" s="93"/>
      <c r="J26" s="2"/>
      <c r="K26" s="2"/>
      <c r="L26" s="53"/>
      <c r="M26" s="96"/>
    </row>
    <row r="27" spans="1:13" ht="15.5">
      <c r="A27" s="91">
        <v>11</v>
      </c>
      <c r="B27" s="95">
        <f t="shared" si="1"/>
        <v>44866</v>
      </c>
      <c r="C27" s="91">
        <f t="shared" si="2"/>
        <v>17</v>
      </c>
      <c r="D27" s="91"/>
      <c r="E27" s="2"/>
      <c r="F27" s="1">
        <v>12</v>
      </c>
      <c r="G27" s="93">
        <f t="shared" si="0"/>
        <v>44883</v>
      </c>
      <c r="H27" s="53">
        <f t="shared" si="0"/>
        <v>17</v>
      </c>
      <c r="I27" s="93"/>
      <c r="J27" s="2"/>
      <c r="K27" s="2"/>
      <c r="L27" s="53"/>
      <c r="M27" s="96"/>
    </row>
    <row r="28" spans="1:13" ht="15.5">
      <c r="A28" s="91">
        <v>12</v>
      </c>
      <c r="B28" s="95">
        <f t="shared" si="1"/>
        <v>44883</v>
      </c>
      <c r="C28" s="91">
        <f t="shared" si="2"/>
        <v>17</v>
      </c>
      <c r="D28" s="91"/>
      <c r="E28" s="2"/>
      <c r="F28" s="1">
        <v>13</v>
      </c>
      <c r="G28" s="93">
        <f t="shared" si="0"/>
        <v>44900</v>
      </c>
      <c r="H28" s="53">
        <f t="shared" si="0"/>
        <v>17</v>
      </c>
      <c r="I28" s="93"/>
      <c r="J28" s="2"/>
      <c r="K28" s="2"/>
      <c r="L28" s="53"/>
      <c r="M28" s="96"/>
    </row>
    <row r="29" spans="1:13" ht="15.5">
      <c r="A29" s="91">
        <v>13</v>
      </c>
      <c r="B29" s="95">
        <f t="shared" si="1"/>
        <v>44900</v>
      </c>
      <c r="C29" s="91">
        <f t="shared" si="2"/>
        <v>17</v>
      </c>
      <c r="D29" s="91"/>
      <c r="E29" s="2"/>
      <c r="F29" s="1">
        <v>14</v>
      </c>
      <c r="G29" s="93">
        <f t="shared" si="0"/>
        <v>44917</v>
      </c>
      <c r="H29" s="53">
        <f t="shared" si="0"/>
        <v>17</v>
      </c>
      <c r="I29" s="93"/>
      <c r="J29" s="2"/>
      <c r="K29" s="2"/>
      <c r="L29" s="53"/>
      <c r="M29" s="96"/>
    </row>
    <row r="30" spans="1:13" ht="15.5">
      <c r="A30" s="91">
        <v>14</v>
      </c>
      <c r="B30" s="95">
        <f t="shared" si="1"/>
        <v>44917</v>
      </c>
      <c r="C30" s="91">
        <f t="shared" si="2"/>
        <v>17</v>
      </c>
      <c r="D30" s="91"/>
      <c r="E30" s="2"/>
      <c r="F30" s="1">
        <v>15</v>
      </c>
      <c r="G30" s="93">
        <f t="shared" si="0"/>
        <v>44934</v>
      </c>
      <c r="H30" s="53">
        <f t="shared" si="0"/>
        <v>17</v>
      </c>
      <c r="I30" s="93"/>
      <c r="J30" s="2"/>
      <c r="K30" s="2"/>
      <c r="L30" s="53"/>
      <c r="M30" s="96"/>
    </row>
    <row r="31" spans="1:13" ht="15.5">
      <c r="A31" s="91">
        <v>15</v>
      </c>
      <c r="B31" s="95">
        <f t="shared" si="1"/>
        <v>44934</v>
      </c>
      <c r="C31" s="91">
        <f t="shared" si="2"/>
        <v>17</v>
      </c>
      <c r="D31" s="91"/>
      <c r="E31" s="2"/>
      <c r="F31" s="1">
        <v>16</v>
      </c>
      <c r="G31" s="93">
        <f t="shared" si="0"/>
        <v>44951</v>
      </c>
      <c r="H31" s="53">
        <f t="shared" si="0"/>
        <v>17</v>
      </c>
      <c r="I31" s="93"/>
      <c r="J31" s="2"/>
      <c r="K31" s="2"/>
      <c r="L31" s="53"/>
      <c r="M31" s="96"/>
    </row>
    <row r="32" spans="1:13" ht="15.5">
      <c r="A32" s="91">
        <v>16</v>
      </c>
      <c r="B32" s="95">
        <f t="shared" si="1"/>
        <v>44951</v>
      </c>
      <c r="C32" s="91">
        <f t="shared" si="2"/>
        <v>17</v>
      </c>
      <c r="D32" s="91"/>
      <c r="E32" s="2"/>
      <c r="F32" s="1">
        <v>17</v>
      </c>
      <c r="G32" s="93">
        <f t="shared" si="0"/>
        <v>44968</v>
      </c>
      <c r="H32" s="53">
        <f t="shared" si="0"/>
        <v>17</v>
      </c>
      <c r="I32" s="93"/>
      <c r="J32" s="2"/>
      <c r="K32" s="2"/>
      <c r="L32" s="53"/>
      <c r="M32" s="96"/>
    </row>
    <row r="33" spans="1:16" ht="15.5">
      <c r="A33" s="91">
        <v>17</v>
      </c>
      <c r="B33" s="95">
        <f t="shared" si="1"/>
        <v>44968</v>
      </c>
      <c r="C33" s="91">
        <f t="shared" si="2"/>
        <v>17</v>
      </c>
      <c r="D33" s="91"/>
      <c r="E33" s="2"/>
      <c r="F33" s="1">
        <v>18</v>
      </c>
      <c r="G33" s="93">
        <f t="shared" si="0"/>
        <v>44985</v>
      </c>
      <c r="H33" s="53">
        <f t="shared" si="0"/>
        <v>17</v>
      </c>
      <c r="I33" s="93"/>
      <c r="J33" s="2"/>
      <c r="K33" s="2"/>
      <c r="L33" s="53"/>
      <c r="M33" s="96"/>
    </row>
    <row r="34" spans="1:16" ht="15.5">
      <c r="A34" s="91">
        <v>18</v>
      </c>
      <c r="B34" s="95">
        <f t="shared" si="1"/>
        <v>44985</v>
      </c>
      <c r="C34" s="91">
        <f t="shared" si="2"/>
        <v>17</v>
      </c>
      <c r="D34" s="91"/>
      <c r="E34" s="2"/>
      <c r="F34" s="1">
        <v>19</v>
      </c>
      <c r="G34" s="93">
        <f t="shared" si="0"/>
        <v>45002</v>
      </c>
      <c r="H34" s="53">
        <f t="shared" si="0"/>
        <v>17</v>
      </c>
      <c r="I34" s="93"/>
      <c r="J34" s="2"/>
      <c r="K34" s="2"/>
      <c r="L34" s="53"/>
      <c r="M34" s="96"/>
    </row>
    <row r="35" spans="1:16" ht="15.5">
      <c r="A35" s="91">
        <v>19</v>
      </c>
      <c r="B35" s="95">
        <f t="shared" si="1"/>
        <v>45002</v>
      </c>
      <c r="C35" s="91">
        <f t="shared" si="2"/>
        <v>17</v>
      </c>
      <c r="D35" s="91"/>
      <c r="E35" s="2"/>
      <c r="F35" s="1">
        <v>20</v>
      </c>
      <c r="G35" s="93">
        <f t="shared" si="0"/>
        <v>45019</v>
      </c>
      <c r="H35" s="53">
        <f t="shared" si="0"/>
        <v>17</v>
      </c>
      <c r="I35" s="93"/>
      <c r="J35" s="2"/>
      <c r="K35" s="2"/>
      <c r="L35" s="53"/>
      <c r="M35" s="96"/>
    </row>
    <row r="36" spans="1:16">
      <c r="A36" s="91">
        <v>20</v>
      </c>
      <c r="B36" s="95">
        <f t="shared" si="1"/>
        <v>45019</v>
      </c>
      <c r="C36" s="91">
        <f t="shared" si="2"/>
        <v>17</v>
      </c>
      <c r="D36" s="91"/>
      <c r="F36" s="1">
        <v>21</v>
      </c>
      <c r="G36" s="93">
        <f t="shared" si="0"/>
        <v>45036</v>
      </c>
      <c r="H36" s="53">
        <f t="shared" si="0"/>
        <v>17</v>
      </c>
      <c r="I36" s="53"/>
      <c r="L36" s="53"/>
      <c r="M36" s="96"/>
    </row>
    <row r="37" spans="1:16">
      <c r="A37" s="91">
        <v>21</v>
      </c>
      <c r="B37" s="95">
        <f>B36+C36</f>
        <v>45036</v>
      </c>
      <c r="C37" s="91">
        <f t="shared" si="2"/>
        <v>17</v>
      </c>
      <c r="D37" s="91"/>
      <c r="F37" s="1" t="s">
        <v>430</v>
      </c>
      <c r="G37" s="93">
        <f>G36+H36</f>
        <v>45053</v>
      </c>
      <c r="H37" s="53"/>
      <c r="I37" s="53" t="s">
        <v>431</v>
      </c>
      <c r="L37" s="53"/>
      <c r="M37" s="96"/>
    </row>
    <row r="38" spans="1:16">
      <c r="A38" s="91" t="s">
        <v>430</v>
      </c>
      <c r="B38" s="95">
        <f>B37+C37</f>
        <v>45053</v>
      </c>
      <c r="C38" s="91"/>
      <c r="D38" s="91" t="s">
        <v>431</v>
      </c>
      <c r="F38" s="53"/>
      <c r="G38" s="93"/>
      <c r="H38" s="53"/>
      <c r="I38" s="53"/>
      <c r="L38" s="53"/>
      <c r="M38" s="96"/>
    </row>
    <row r="39" spans="1:16">
      <c r="A39" s="91" t="s">
        <v>432</v>
      </c>
      <c r="B39" s="95">
        <v>45061</v>
      </c>
      <c r="C39" s="97">
        <f>B39-B38</f>
        <v>8</v>
      </c>
      <c r="D39" s="91" t="s">
        <v>433</v>
      </c>
      <c r="L39" s="53"/>
      <c r="M39" s="96"/>
    </row>
    <row r="40" spans="1:16">
      <c r="A40" s="91"/>
      <c r="B40" s="98"/>
      <c r="C40" s="97"/>
      <c r="D40" s="97"/>
      <c r="L40" s="53"/>
      <c r="M40" s="96"/>
    </row>
    <row r="41" spans="1:16">
      <c r="A41" s="91" t="s">
        <v>434</v>
      </c>
      <c r="B41" s="91">
        <f>SUM(C17:C37)</f>
        <v>357</v>
      </c>
      <c r="C41" s="91"/>
      <c r="D41" s="99"/>
      <c r="L41" s="53"/>
      <c r="M41" s="100"/>
    </row>
    <row r="42" spans="1:16">
      <c r="A42" s="91" t="s">
        <v>435</v>
      </c>
      <c r="B42" s="91"/>
      <c r="C42" s="91"/>
      <c r="D42" s="99"/>
      <c r="L42" s="53"/>
      <c r="M42" s="53"/>
    </row>
    <row r="43" spans="1:16">
      <c r="A43" s="91"/>
      <c r="B43" s="91"/>
      <c r="C43" s="91"/>
      <c r="D43" s="99"/>
      <c r="L43" s="53"/>
      <c r="M43" s="53"/>
    </row>
    <row r="44" spans="1:16">
      <c r="L44" s="53"/>
      <c r="M44" s="53"/>
    </row>
    <row r="45" spans="1:16">
      <c r="A45" s="44" t="s">
        <v>436</v>
      </c>
      <c r="F45" s="44" t="s">
        <v>437</v>
      </c>
      <c r="P45" s="44" t="s">
        <v>438</v>
      </c>
    </row>
    <row r="48" spans="1:16">
      <c r="A48" s="44" t="s">
        <v>439</v>
      </c>
      <c r="F48" s="44" t="s">
        <v>440</v>
      </c>
      <c r="P48" s="44" t="s">
        <v>441</v>
      </c>
    </row>
    <row r="49" spans="1:24">
      <c r="A49" s="44" t="s">
        <v>442</v>
      </c>
      <c r="F49" s="44" t="s">
        <v>443</v>
      </c>
      <c r="P49" s="44" t="s">
        <v>444</v>
      </c>
    </row>
    <row r="50" spans="1:24">
      <c r="A50" s="44" t="s">
        <v>445</v>
      </c>
      <c r="F50" s="44" t="s">
        <v>446</v>
      </c>
      <c r="P50" s="44" t="s">
        <v>447</v>
      </c>
    </row>
    <row r="51" spans="1:24">
      <c r="A51" s="44" t="s">
        <v>448</v>
      </c>
      <c r="F51" s="44" t="s">
        <v>449</v>
      </c>
      <c r="P51" s="44" t="s">
        <v>450</v>
      </c>
    </row>
    <row r="52" spans="1:24">
      <c r="A52" s="44" t="s">
        <v>451</v>
      </c>
      <c r="F52" s="44" t="s">
        <v>452</v>
      </c>
      <c r="P52" s="44" t="s">
        <v>453</v>
      </c>
    </row>
    <row r="53" spans="1:24">
      <c r="A53" s="44" t="s">
        <v>454</v>
      </c>
      <c r="F53" s="44" t="s">
        <v>455</v>
      </c>
      <c r="P53" s="44" t="s">
        <v>456</v>
      </c>
    </row>
    <row r="54" spans="1:24">
      <c r="A54" s="44" t="s">
        <v>457</v>
      </c>
      <c r="B54" s="44" t="s">
        <v>458</v>
      </c>
      <c r="F54" s="44" t="s">
        <v>459</v>
      </c>
      <c r="G54" s="44" t="s">
        <v>458</v>
      </c>
      <c r="P54" s="44" t="s">
        <v>460</v>
      </c>
    </row>
    <row r="55" spans="1:24">
      <c r="A55" s="44" t="s">
        <v>461</v>
      </c>
      <c r="B55" s="44" t="s">
        <v>462</v>
      </c>
      <c r="F55" s="44" t="s">
        <v>463</v>
      </c>
      <c r="G55" s="44" t="s">
        <v>462</v>
      </c>
      <c r="P55" s="44" t="s">
        <v>464</v>
      </c>
    </row>
    <row r="56" spans="1:24">
      <c r="A56" s="44" t="s">
        <v>465</v>
      </c>
      <c r="B56" s="44" t="s">
        <v>466</v>
      </c>
      <c r="F56" s="44" t="s">
        <v>467</v>
      </c>
      <c r="G56" s="44" t="s">
        <v>466</v>
      </c>
      <c r="P56" s="44" t="s">
        <v>468</v>
      </c>
    </row>
    <row r="57" spans="1:24">
      <c r="A57" s="44" t="s">
        <v>469</v>
      </c>
      <c r="B57" s="44" t="s">
        <v>470</v>
      </c>
      <c r="F57" s="44" t="s">
        <v>471</v>
      </c>
      <c r="G57" s="44" t="s">
        <v>472</v>
      </c>
      <c r="P57" s="44" t="s">
        <v>473</v>
      </c>
    </row>
    <row r="58" spans="1:24">
      <c r="A58" s="44" t="s">
        <v>474</v>
      </c>
      <c r="F58" s="44" t="s">
        <v>475</v>
      </c>
      <c r="P58" s="44" t="s">
        <v>476</v>
      </c>
    </row>
    <row r="59" spans="1:24">
      <c r="A59" s="44" t="s">
        <v>477</v>
      </c>
      <c r="B59" s="44" t="s">
        <v>478</v>
      </c>
      <c r="F59" s="44" t="s">
        <v>479</v>
      </c>
      <c r="G59" s="44" t="s">
        <v>478</v>
      </c>
      <c r="P59" s="44" t="s">
        <v>480</v>
      </c>
    </row>
    <row r="60" spans="1:24">
      <c r="A60" s="44" t="s">
        <v>481</v>
      </c>
      <c r="B60" s="44" t="s">
        <v>482</v>
      </c>
      <c r="F60" s="44" t="s">
        <v>483</v>
      </c>
      <c r="G60" s="44" t="s">
        <v>482</v>
      </c>
      <c r="P60" s="44" t="s">
        <v>484</v>
      </c>
    </row>
    <row r="61" spans="1:24">
      <c r="A61" s="44" t="s">
        <v>485</v>
      </c>
      <c r="B61" s="44" t="s">
        <v>486</v>
      </c>
      <c r="F61" s="44" t="s">
        <v>487</v>
      </c>
      <c r="G61" s="44" t="s">
        <v>486</v>
      </c>
      <c r="P61" s="44" t="s">
        <v>488</v>
      </c>
      <c r="X61" s="30" t="s">
        <v>489</v>
      </c>
    </row>
    <row r="62" spans="1:24">
      <c r="A62" s="44" t="s">
        <v>490</v>
      </c>
      <c r="B62" s="44" t="s">
        <v>491</v>
      </c>
      <c r="D62" s="30" t="s">
        <v>492</v>
      </c>
      <c r="F62" s="44" t="s">
        <v>493</v>
      </c>
      <c r="G62" s="44" t="s">
        <v>494</v>
      </c>
      <c r="L62" s="30" t="s">
        <v>495</v>
      </c>
      <c r="P62" s="44" t="s">
        <v>496</v>
      </c>
    </row>
    <row r="63" spans="1:24">
      <c r="A63" s="44" t="s">
        <v>497</v>
      </c>
      <c r="F63" s="44" t="s">
        <v>498</v>
      </c>
      <c r="P63" s="44" t="s">
        <v>499</v>
      </c>
    </row>
    <row r="64" spans="1:24">
      <c r="A64" s="44" t="s">
        <v>500</v>
      </c>
      <c r="B64" s="44" t="s">
        <v>501</v>
      </c>
      <c r="F64" s="44" t="s">
        <v>502</v>
      </c>
      <c r="G64" s="44" t="s">
        <v>501</v>
      </c>
      <c r="P64" s="44" t="s">
        <v>503</v>
      </c>
    </row>
    <row r="65" spans="1:16">
      <c r="A65" s="44" t="s">
        <v>504</v>
      </c>
      <c r="B65" s="44" t="s">
        <v>505</v>
      </c>
      <c r="F65" s="44" t="s">
        <v>506</v>
      </c>
      <c r="G65" s="44" t="s">
        <v>505</v>
      </c>
      <c r="P65" s="44" t="s">
        <v>507</v>
      </c>
    </row>
    <row r="66" spans="1:16">
      <c r="A66" s="44" t="s">
        <v>508</v>
      </c>
      <c r="B66" s="44" t="s">
        <v>509</v>
      </c>
      <c r="F66" s="44" t="s">
        <v>510</v>
      </c>
      <c r="G66" s="44" t="s">
        <v>509</v>
      </c>
      <c r="P66" s="44" t="s">
        <v>511</v>
      </c>
    </row>
    <row r="67" spans="1:16">
      <c r="A67" s="44" t="s">
        <v>512</v>
      </c>
      <c r="B67" s="44" t="s">
        <v>513</v>
      </c>
      <c r="F67" s="44" t="s">
        <v>514</v>
      </c>
      <c r="G67" s="44" t="s">
        <v>513</v>
      </c>
      <c r="P67" s="44" t="s">
        <v>515</v>
      </c>
    </row>
    <row r="68" spans="1:16">
      <c r="A68" s="44" t="s">
        <v>516</v>
      </c>
      <c r="F68" s="44" t="s">
        <v>517</v>
      </c>
      <c r="P68" s="44" t="s">
        <v>518</v>
      </c>
    </row>
    <row r="69" spans="1:16">
      <c r="A69" s="44" t="s">
        <v>519</v>
      </c>
      <c r="B69" s="44" t="s">
        <v>520</v>
      </c>
      <c r="F69" s="44" t="s">
        <v>521</v>
      </c>
      <c r="G69" s="44" t="s">
        <v>520</v>
      </c>
      <c r="P69" s="44" t="s">
        <v>522</v>
      </c>
    </row>
    <row r="70" spans="1:16">
      <c r="A70" s="44" t="s">
        <v>523</v>
      </c>
      <c r="F70" s="44" t="s">
        <v>524</v>
      </c>
      <c r="P70" s="44" t="s">
        <v>525</v>
      </c>
    </row>
    <row r="71" spans="1:16">
      <c r="A71" s="44" t="s">
        <v>526</v>
      </c>
      <c r="F71" s="44" t="s">
        <v>527</v>
      </c>
      <c r="P71" s="44" t="s">
        <v>528</v>
      </c>
    </row>
    <row r="72" spans="1:16">
      <c r="A72" s="44" t="s">
        <v>529</v>
      </c>
      <c r="F72" s="44" t="s">
        <v>530</v>
      </c>
      <c r="P72" s="44" t="s">
        <v>531</v>
      </c>
    </row>
    <row r="73" spans="1:16">
      <c r="A73" s="44" t="s">
        <v>532</v>
      </c>
      <c r="F73" s="44" t="s">
        <v>533</v>
      </c>
      <c r="P73" s="44" t="s">
        <v>534</v>
      </c>
    </row>
    <row r="74" spans="1:16">
      <c r="A74" s="44" t="s">
        <v>535</v>
      </c>
      <c r="F74" s="44" t="s">
        <v>536</v>
      </c>
      <c r="P74" s="44" t="s">
        <v>537</v>
      </c>
    </row>
    <row r="75" spans="1:16">
      <c r="A75" s="44" t="s">
        <v>538</v>
      </c>
      <c r="F75" s="44" t="s">
        <v>539</v>
      </c>
      <c r="P75" s="44" t="s">
        <v>540</v>
      </c>
    </row>
    <row r="76" spans="1:16">
      <c r="A76" s="44" t="s">
        <v>541</v>
      </c>
      <c r="F76" s="44" t="s">
        <v>542</v>
      </c>
      <c r="P76" s="44" t="s">
        <v>543</v>
      </c>
    </row>
    <row r="77" spans="1:16">
      <c r="A77" s="44" t="s">
        <v>544</v>
      </c>
      <c r="F77" s="44" t="s">
        <v>545</v>
      </c>
      <c r="P77" s="44" t="s">
        <v>546</v>
      </c>
    </row>
    <row r="78" spans="1:16">
      <c r="A78" s="44" t="s">
        <v>547</v>
      </c>
      <c r="F78" s="44" t="s">
        <v>548</v>
      </c>
      <c r="P78" s="44" t="s">
        <v>549</v>
      </c>
    </row>
    <row r="79" spans="1:16">
      <c r="A79" s="44" t="s">
        <v>550</v>
      </c>
      <c r="F79" s="44" t="s">
        <v>551</v>
      </c>
      <c r="P79" s="44" t="s">
        <v>552</v>
      </c>
    </row>
    <row r="80" spans="1:16">
      <c r="A80" s="44" t="s">
        <v>553</v>
      </c>
      <c r="F80" s="44" t="s">
        <v>551</v>
      </c>
      <c r="P80" s="44" t="s">
        <v>554</v>
      </c>
    </row>
    <row r="81" spans="1:16">
      <c r="A81" s="44" t="s">
        <v>555</v>
      </c>
      <c r="F81" s="44" t="s">
        <v>556</v>
      </c>
      <c r="P81" s="44" t="s">
        <v>557</v>
      </c>
    </row>
    <row r="82" spans="1:16">
      <c r="A82" s="44" t="s">
        <v>558</v>
      </c>
      <c r="F82" s="44" t="s">
        <v>559</v>
      </c>
      <c r="P82" s="44" t="s">
        <v>560</v>
      </c>
    </row>
    <row r="83" spans="1:16">
      <c r="A83" s="44" t="s">
        <v>558</v>
      </c>
      <c r="F83" s="44" t="s">
        <v>561</v>
      </c>
      <c r="P83" s="44" t="s">
        <v>562</v>
      </c>
    </row>
    <row r="84" spans="1:16">
      <c r="A84" s="44" t="s">
        <v>563</v>
      </c>
      <c r="F84" s="44" t="s">
        <v>564</v>
      </c>
      <c r="P84" s="44" t="s">
        <v>565</v>
      </c>
    </row>
    <row r="85" spans="1:16">
      <c r="A85" s="44" t="s">
        <v>566</v>
      </c>
      <c r="F85" s="44" t="s">
        <v>567</v>
      </c>
      <c r="P85" s="44" t="s">
        <v>568</v>
      </c>
    </row>
    <row r="86" spans="1:16">
      <c r="A86" s="44" t="s">
        <v>569</v>
      </c>
      <c r="F86" s="44" t="s">
        <v>570</v>
      </c>
      <c r="P86" s="44" t="s">
        <v>571</v>
      </c>
    </row>
    <row r="87" spans="1:16">
      <c r="A87" s="44" t="s">
        <v>572</v>
      </c>
      <c r="F87" s="44" t="s">
        <v>573</v>
      </c>
      <c r="P87" s="44" t="s">
        <v>571</v>
      </c>
    </row>
    <row r="88" spans="1:16">
      <c r="A88" s="44" t="s">
        <v>574</v>
      </c>
      <c r="F88" s="44" t="s">
        <v>575</v>
      </c>
      <c r="P88" s="44" t="s">
        <v>576</v>
      </c>
    </row>
    <row r="89" spans="1:16">
      <c r="A89" s="44" t="s">
        <v>577</v>
      </c>
      <c r="F89" s="44" t="s">
        <v>578</v>
      </c>
      <c r="P89" s="44" t="s">
        <v>579</v>
      </c>
    </row>
    <row r="90" spans="1:16">
      <c r="A90" s="44" t="s">
        <v>577</v>
      </c>
      <c r="F90" s="44" t="s">
        <v>580</v>
      </c>
      <c r="P90" s="44" t="s">
        <v>581</v>
      </c>
    </row>
    <row r="91" spans="1:16">
      <c r="A91" s="44" t="s">
        <v>582</v>
      </c>
      <c r="F91" s="44" t="s">
        <v>583</v>
      </c>
      <c r="G91" s="44" t="s">
        <v>458</v>
      </c>
      <c r="P91" s="44" t="s">
        <v>584</v>
      </c>
    </row>
    <row r="92" spans="1:16">
      <c r="A92" s="44" t="s">
        <v>585</v>
      </c>
      <c r="F92" s="44" t="s">
        <v>586</v>
      </c>
      <c r="G92" s="44" t="s">
        <v>462</v>
      </c>
      <c r="P92" s="44" t="s">
        <v>587</v>
      </c>
    </row>
    <row r="93" spans="1:16">
      <c r="A93" s="44" t="s">
        <v>588</v>
      </c>
      <c r="F93" s="44" t="s">
        <v>589</v>
      </c>
      <c r="G93" s="44" t="s">
        <v>466</v>
      </c>
      <c r="P93" s="44" t="s">
        <v>590</v>
      </c>
    </row>
    <row r="94" spans="1:16">
      <c r="A94" s="44" t="s">
        <v>591</v>
      </c>
      <c r="B94" s="44" t="s">
        <v>458</v>
      </c>
      <c r="F94" s="44" t="s">
        <v>592</v>
      </c>
      <c r="G94" s="44" t="s">
        <v>472</v>
      </c>
      <c r="P94" s="44" t="s">
        <v>590</v>
      </c>
    </row>
    <row r="95" spans="1:16">
      <c r="A95" s="44" t="s">
        <v>593</v>
      </c>
      <c r="B95" s="44" t="s">
        <v>462</v>
      </c>
      <c r="F95" s="44" t="s">
        <v>594</v>
      </c>
      <c r="P95" s="44" t="s">
        <v>595</v>
      </c>
    </row>
    <row r="96" spans="1:16">
      <c r="A96" s="44" t="s">
        <v>596</v>
      </c>
      <c r="B96" s="44" t="s">
        <v>466</v>
      </c>
      <c r="F96" s="44" t="s">
        <v>597</v>
      </c>
      <c r="G96" s="44" t="s">
        <v>478</v>
      </c>
      <c r="P96" s="44" t="s">
        <v>598</v>
      </c>
    </row>
    <row r="97" spans="1:16">
      <c r="A97" s="44" t="s">
        <v>599</v>
      </c>
      <c r="B97" s="44" t="s">
        <v>470</v>
      </c>
      <c r="F97" s="44" t="s">
        <v>600</v>
      </c>
      <c r="G97" s="44" t="s">
        <v>482</v>
      </c>
      <c r="P97" s="44" t="s">
        <v>601</v>
      </c>
    </row>
    <row r="98" spans="1:16">
      <c r="A98" s="44" t="s">
        <v>602</v>
      </c>
      <c r="F98" s="44" t="s">
        <v>603</v>
      </c>
      <c r="G98" s="44" t="s">
        <v>486</v>
      </c>
      <c r="P98" s="44" t="s">
        <v>604</v>
      </c>
    </row>
    <row r="99" spans="1:16">
      <c r="A99" s="44" t="s">
        <v>605</v>
      </c>
      <c r="B99" s="44" t="s">
        <v>478</v>
      </c>
      <c r="F99" s="44" t="s">
        <v>606</v>
      </c>
      <c r="G99" s="44" t="s">
        <v>607</v>
      </c>
      <c r="P99" s="44" t="s">
        <v>608</v>
      </c>
    </row>
    <row r="100" spans="1:16">
      <c r="A100" s="44" t="s">
        <v>609</v>
      </c>
      <c r="B100" s="44" t="s">
        <v>482</v>
      </c>
      <c r="F100" s="44" t="s">
        <v>610</v>
      </c>
      <c r="P100" s="44" t="s">
        <v>611</v>
      </c>
    </row>
    <row r="101" spans="1:16">
      <c r="A101" s="44" t="s">
        <v>612</v>
      </c>
      <c r="B101" s="44" t="s">
        <v>486</v>
      </c>
      <c r="F101" s="44" t="s">
        <v>613</v>
      </c>
      <c r="G101" s="44" t="s">
        <v>501</v>
      </c>
      <c r="P101" s="44" t="s">
        <v>614</v>
      </c>
    </row>
    <row r="102" spans="1:16">
      <c r="A102" s="44" t="s">
        <v>615</v>
      </c>
      <c r="B102" s="44" t="s">
        <v>616</v>
      </c>
      <c r="F102" s="44" t="s">
        <v>617</v>
      </c>
      <c r="G102" s="44" t="s">
        <v>505</v>
      </c>
      <c r="P102" s="44" t="s">
        <v>618</v>
      </c>
    </row>
    <row r="103" spans="1:16">
      <c r="A103" s="44" t="s">
        <v>619</v>
      </c>
      <c r="F103" s="44" t="s">
        <v>620</v>
      </c>
      <c r="G103" s="44" t="s">
        <v>509</v>
      </c>
      <c r="P103" s="44" t="s">
        <v>621</v>
      </c>
    </row>
    <row r="104" spans="1:16">
      <c r="A104" s="44" t="s">
        <v>622</v>
      </c>
      <c r="B104" s="44" t="s">
        <v>501</v>
      </c>
      <c r="F104" s="44" t="s">
        <v>623</v>
      </c>
      <c r="G104" s="44" t="s">
        <v>513</v>
      </c>
      <c r="P104" s="44" t="s">
        <v>624</v>
      </c>
    </row>
    <row r="105" spans="1:16">
      <c r="A105" s="44" t="s">
        <v>625</v>
      </c>
      <c r="B105" s="44" t="s">
        <v>505</v>
      </c>
      <c r="F105" s="44" t="s">
        <v>626</v>
      </c>
      <c r="P105" s="44" t="s">
        <v>627</v>
      </c>
    </row>
    <row r="106" spans="1:16">
      <c r="A106" s="44" t="s">
        <v>628</v>
      </c>
      <c r="B106" s="44" t="s">
        <v>509</v>
      </c>
      <c r="F106" s="44" t="s">
        <v>629</v>
      </c>
      <c r="G106" s="44" t="s">
        <v>630</v>
      </c>
      <c r="P106" s="44" t="s">
        <v>631</v>
      </c>
    </row>
    <row r="107" spans="1:16">
      <c r="A107" s="44" t="s">
        <v>632</v>
      </c>
      <c r="B107" s="44" t="s">
        <v>513</v>
      </c>
      <c r="F107" s="44" t="s">
        <v>633</v>
      </c>
      <c r="P107" s="44" t="s">
        <v>634</v>
      </c>
    </row>
    <row r="108" spans="1:16">
      <c r="A108" s="44" t="s">
        <v>635</v>
      </c>
      <c r="F108" s="44" t="s">
        <v>636</v>
      </c>
      <c r="G108" s="44" t="s">
        <v>637</v>
      </c>
      <c r="P108" s="44" t="s">
        <v>638</v>
      </c>
    </row>
    <row r="109" spans="1:16">
      <c r="A109" s="44" t="s">
        <v>639</v>
      </c>
      <c r="B109" s="44" t="s">
        <v>630</v>
      </c>
      <c r="F109" s="44" t="s">
        <v>640</v>
      </c>
      <c r="G109" s="44" t="s">
        <v>641</v>
      </c>
      <c r="P109" s="44" t="s">
        <v>642</v>
      </c>
    </row>
    <row r="110" spans="1:16">
      <c r="A110" s="44" t="s">
        <v>643</v>
      </c>
      <c r="F110" s="44" t="s">
        <v>644</v>
      </c>
      <c r="G110" s="44" t="s">
        <v>645</v>
      </c>
      <c r="P110" s="44" t="s">
        <v>646</v>
      </c>
    </row>
    <row r="111" spans="1:16">
      <c r="A111" s="44" t="s">
        <v>647</v>
      </c>
      <c r="B111" s="44" t="s">
        <v>637</v>
      </c>
      <c r="F111" s="44" t="s">
        <v>648</v>
      </c>
      <c r="G111" s="44" t="s">
        <v>649</v>
      </c>
      <c r="P111" s="44" t="s">
        <v>650</v>
      </c>
    </row>
    <row r="112" spans="1:16">
      <c r="A112" s="44" t="s">
        <v>651</v>
      </c>
      <c r="B112" s="44" t="s">
        <v>641</v>
      </c>
      <c r="F112" s="44" t="s">
        <v>652</v>
      </c>
      <c r="P112" s="44" t="s">
        <v>653</v>
      </c>
    </row>
    <row r="113" spans="1:16">
      <c r="A113" s="44" t="s">
        <v>654</v>
      </c>
      <c r="B113" s="44" t="s">
        <v>645</v>
      </c>
      <c r="F113" s="44" t="s">
        <v>655</v>
      </c>
      <c r="G113" s="44" t="s">
        <v>656</v>
      </c>
      <c r="P113" s="44" t="s">
        <v>657</v>
      </c>
    </row>
    <row r="114" spans="1:16">
      <c r="A114" s="44" t="s">
        <v>658</v>
      </c>
      <c r="B114" s="44" t="s">
        <v>659</v>
      </c>
      <c r="F114" s="44" t="s">
        <v>660</v>
      </c>
      <c r="G114" s="44" t="s">
        <v>661</v>
      </c>
      <c r="P114" s="44" t="s">
        <v>662</v>
      </c>
    </row>
    <row r="115" spans="1:16">
      <c r="A115" s="44" t="s">
        <v>663</v>
      </c>
      <c r="F115" s="44" t="s">
        <v>664</v>
      </c>
      <c r="G115" s="44" t="s">
        <v>665</v>
      </c>
      <c r="P115" s="44" t="s">
        <v>666</v>
      </c>
    </row>
    <row r="116" spans="1:16">
      <c r="A116" s="44" t="s">
        <v>667</v>
      </c>
      <c r="B116" s="44" t="s">
        <v>656</v>
      </c>
      <c r="F116" s="44" t="s">
        <v>668</v>
      </c>
      <c r="G116" s="44" t="s">
        <v>669</v>
      </c>
      <c r="P116" s="44" t="s">
        <v>670</v>
      </c>
    </row>
    <row r="117" spans="1:16">
      <c r="A117" s="44" t="s">
        <v>671</v>
      </c>
      <c r="B117" s="44" t="s">
        <v>661</v>
      </c>
      <c r="F117" s="44" t="s">
        <v>672</v>
      </c>
      <c r="G117" s="44" t="s">
        <v>673</v>
      </c>
      <c r="P117" s="44" t="s">
        <v>674</v>
      </c>
    </row>
    <row r="118" spans="1:16">
      <c r="A118" s="44" t="s">
        <v>675</v>
      </c>
      <c r="B118" s="44" t="s">
        <v>665</v>
      </c>
      <c r="F118" s="44" t="s">
        <v>676</v>
      </c>
      <c r="P118" s="44" t="s">
        <v>677</v>
      </c>
    </row>
    <row r="119" spans="1:16">
      <c r="A119" s="44" t="s">
        <v>678</v>
      </c>
      <c r="B119" s="44" t="s">
        <v>669</v>
      </c>
      <c r="F119" s="44" t="s">
        <v>679</v>
      </c>
      <c r="G119" s="44" t="s">
        <v>680</v>
      </c>
      <c r="P119" s="44" t="s">
        <v>681</v>
      </c>
    </row>
    <row r="120" spans="1:16">
      <c r="A120" s="44" t="s">
        <v>682</v>
      </c>
      <c r="B120" s="44" t="s">
        <v>673</v>
      </c>
      <c r="F120" s="44" t="s">
        <v>683</v>
      </c>
      <c r="P120" s="44" t="s">
        <v>684</v>
      </c>
    </row>
    <row r="121" spans="1:16">
      <c r="A121" s="44" t="s">
        <v>685</v>
      </c>
      <c r="F121" s="44" t="s">
        <v>686</v>
      </c>
      <c r="P121" s="44" t="s">
        <v>687</v>
      </c>
    </row>
    <row r="122" spans="1:16">
      <c r="A122" s="44" t="s">
        <v>688</v>
      </c>
      <c r="B122" s="44" t="s">
        <v>680</v>
      </c>
      <c r="F122" s="44" t="s">
        <v>689</v>
      </c>
      <c r="P122" s="44" t="s">
        <v>690</v>
      </c>
    </row>
    <row r="123" spans="1:16">
      <c r="A123" s="44" t="s">
        <v>691</v>
      </c>
      <c r="F123" s="44" t="s">
        <v>692</v>
      </c>
      <c r="P123" s="44" t="s">
        <v>693</v>
      </c>
    </row>
    <row r="124" spans="1:16">
      <c r="A124" s="44" t="s">
        <v>694</v>
      </c>
      <c r="F124" s="44" t="s">
        <v>695</v>
      </c>
      <c r="P124" s="44" t="s">
        <v>696</v>
      </c>
    </row>
    <row r="125" spans="1:16">
      <c r="A125" s="44" t="s">
        <v>697</v>
      </c>
      <c r="F125" s="44" t="s">
        <v>698</v>
      </c>
      <c r="P125" s="44" t="s">
        <v>699</v>
      </c>
    </row>
    <row r="126" spans="1:16">
      <c r="A126" s="44" t="s">
        <v>700</v>
      </c>
      <c r="F126" s="44" t="s">
        <v>701</v>
      </c>
      <c r="P126" s="44" t="s">
        <v>702</v>
      </c>
    </row>
    <row r="127" spans="1:16">
      <c r="A127" s="44" t="s">
        <v>703</v>
      </c>
      <c r="F127" s="44" t="s">
        <v>704</v>
      </c>
      <c r="P127" s="44" t="s">
        <v>705</v>
      </c>
    </row>
    <row r="128" spans="1:16">
      <c r="A128" s="44" t="s">
        <v>706</v>
      </c>
      <c r="F128" s="44" t="s">
        <v>707</v>
      </c>
      <c r="P128" s="44" t="s">
        <v>708</v>
      </c>
    </row>
    <row r="129" spans="1:16">
      <c r="A129" s="44" t="s">
        <v>709</v>
      </c>
      <c r="F129" s="44" t="s">
        <v>710</v>
      </c>
      <c r="G129" s="44" t="s">
        <v>711</v>
      </c>
      <c r="P129" s="44" t="s">
        <v>712</v>
      </c>
    </row>
    <row r="130" spans="1:16">
      <c r="A130" s="44" t="s">
        <v>713</v>
      </c>
      <c r="F130" s="44" t="s">
        <v>714</v>
      </c>
      <c r="P130" s="44" t="s">
        <v>715</v>
      </c>
    </row>
    <row r="131" spans="1:16">
      <c r="A131" s="44" t="s">
        <v>716</v>
      </c>
      <c r="F131" s="44" t="s">
        <v>717</v>
      </c>
      <c r="P131" s="44" t="s">
        <v>718</v>
      </c>
    </row>
    <row r="132" spans="1:16">
      <c r="A132" s="44" t="s">
        <v>719</v>
      </c>
      <c r="B132" s="44" t="s">
        <v>711</v>
      </c>
      <c r="F132" s="44" t="s">
        <v>720</v>
      </c>
      <c r="P132" s="44" t="s">
        <v>721</v>
      </c>
    </row>
    <row r="133" spans="1:16">
      <c r="A133" s="44" t="s">
        <v>722</v>
      </c>
      <c r="F133" s="44" t="s">
        <v>723</v>
      </c>
      <c r="P133" s="44" t="s">
        <v>724</v>
      </c>
    </row>
    <row r="134" spans="1:16">
      <c r="A134" s="44" t="s">
        <v>725</v>
      </c>
      <c r="F134" s="44" t="s">
        <v>726</v>
      </c>
      <c r="P134" s="44" t="s">
        <v>727</v>
      </c>
    </row>
    <row r="135" spans="1:16">
      <c r="A135" s="44" t="s">
        <v>728</v>
      </c>
      <c r="F135" s="44" t="s">
        <v>729</v>
      </c>
      <c r="P135" s="44" t="s">
        <v>730</v>
      </c>
    </row>
    <row r="136" spans="1:16">
      <c r="A136" s="44" t="s">
        <v>731</v>
      </c>
      <c r="F136" s="44" t="s">
        <v>732</v>
      </c>
      <c r="P136" s="44" t="s">
        <v>733</v>
      </c>
    </row>
    <row r="137" spans="1:16">
      <c r="A137" s="44" t="s">
        <v>734</v>
      </c>
      <c r="F137" s="44" t="s">
        <v>735</v>
      </c>
      <c r="P137" s="44" t="s">
        <v>736</v>
      </c>
    </row>
    <row r="138" spans="1:16">
      <c r="A138" s="44" t="s">
        <v>737</v>
      </c>
      <c r="F138" s="44" t="s">
        <v>738</v>
      </c>
      <c r="P138" s="44" t="s">
        <v>739</v>
      </c>
    </row>
    <row r="139" spans="1:16">
      <c r="A139" s="44" t="s">
        <v>740</v>
      </c>
      <c r="F139" s="44" t="s">
        <v>741</v>
      </c>
      <c r="P139" s="44" t="s">
        <v>742</v>
      </c>
    </row>
    <row r="140" spans="1:16">
      <c r="A140" s="44" t="s">
        <v>743</v>
      </c>
      <c r="F140" s="44" t="s">
        <v>744</v>
      </c>
      <c r="P140" s="44" t="s">
        <v>745</v>
      </c>
    </row>
    <row r="141" spans="1:16">
      <c r="A141" s="44" t="s">
        <v>746</v>
      </c>
      <c r="F141" s="44" t="s">
        <v>747</v>
      </c>
      <c r="P141" s="44" t="s">
        <v>748</v>
      </c>
    </row>
    <row r="142" spans="1:16">
      <c r="A142" s="44" t="s">
        <v>749</v>
      </c>
      <c r="F142" s="44" t="s">
        <v>750</v>
      </c>
      <c r="P142" s="44" t="s">
        <v>751</v>
      </c>
    </row>
    <row r="143" spans="1:16">
      <c r="A143" s="44" t="s">
        <v>752</v>
      </c>
      <c r="F143" s="44" t="s">
        <v>753</v>
      </c>
      <c r="P143" s="44" t="s">
        <v>754</v>
      </c>
    </row>
    <row r="144" spans="1:16">
      <c r="A144" s="44" t="s">
        <v>755</v>
      </c>
      <c r="F144" s="44" t="s">
        <v>756</v>
      </c>
      <c r="P144" s="44" t="s">
        <v>757</v>
      </c>
    </row>
    <row r="145" spans="1:16">
      <c r="A145" s="44" t="s">
        <v>758</v>
      </c>
      <c r="F145" s="44" t="s">
        <v>759</v>
      </c>
      <c r="P145" s="44" t="s">
        <v>760</v>
      </c>
    </row>
    <row r="146" spans="1:16">
      <c r="A146" s="44" t="s">
        <v>761</v>
      </c>
      <c r="F146" s="44" t="s">
        <v>762</v>
      </c>
      <c r="P146" s="44" t="s">
        <v>763</v>
      </c>
    </row>
    <row r="147" spans="1:16">
      <c r="A147" s="44" t="s">
        <v>764</v>
      </c>
      <c r="F147" s="44" t="s">
        <v>765</v>
      </c>
      <c r="P147" s="44" t="s">
        <v>766</v>
      </c>
    </row>
    <row r="148" spans="1:16">
      <c r="A148" s="44" t="s">
        <v>767</v>
      </c>
      <c r="F148" s="44" t="s">
        <v>768</v>
      </c>
      <c r="P148" s="44" t="s">
        <v>769</v>
      </c>
    </row>
    <row r="149" spans="1:16">
      <c r="A149" s="44" t="s">
        <v>770</v>
      </c>
      <c r="F149" s="44" t="s">
        <v>771</v>
      </c>
      <c r="P149" s="44" t="s">
        <v>772</v>
      </c>
    </row>
    <row r="150" spans="1:16">
      <c r="A150" s="44" t="s">
        <v>773</v>
      </c>
      <c r="F150" s="44" t="s">
        <v>774</v>
      </c>
      <c r="P150" s="44" t="s">
        <v>775</v>
      </c>
    </row>
    <row r="151" spans="1:16">
      <c r="A151" s="44" t="s">
        <v>776</v>
      </c>
      <c r="F151" s="44" t="s">
        <v>777</v>
      </c>
      <c r="P151" s="44" t="s">
        <v>778</v>
      </c>
    </row>
    <row r="152" spans="1:16">
      <c r="A152" s="44" t="s">
        <v>779</v>
      </c>
      <c r="F152" s="44" t="s">
        <v>780</v>
      </c>
      <c r="P152" s="44" t="s">
        <v>781</v>
      </c>
    </row>
    <row r="153" spans="1:16">
      <c r="A153" s="44" t="s">
        <v>782</v>
      </c>
      <c r="F153" s="44" t="s">
        <v>783</v>
      </c>
      <c r="P153" s="44" t="s">
        <v>784</v>
      </c>
    </row>
    <row r="154" spans="1:16">
      <c r="A154" s="44" t="s">
        <v>785</v>
      </c>
      <c r="F154" s="44" t="s">
        <v>786</v>
      </c>
      <c r="P154" s="44" t="s">
        <v>787</v>
      </c>
    </row>
    <row r="155" spans="1:16">
      <c r="A155" s="44" t="s">
        <v>788</v>
      </c>
      <c r="F155" s="44" t="s">
        <v>789</v>
      </c>
      <c r="P155" s="44" t="s">
        <v>790</v>
      </c>
    </row>
    <row r="156" spans="1:16">
      <c r="A156" s="44" t="s">
        <v>791</v>
      </c>
      <c r="F156" s="44" t="s">
        <v>792</v>
      </c>
      <c r="P156" s="44" t="s">
        <v>793</v>
      </c>
    </row>
    <row r="157" spans="1:16">
      <c r="A157" s="44" t="s">
        <v>794</v>
      </c>
      <c r="F157" s="44" t="s">
        <v>795</v>
      </c>
      <c r="P157" s="44" t="s">
        <v>796</v>
      </c>
    </row>
    <row r="158" spans="1:16">
      <c r="A158" s="44" t="s">
        <v>797</v>
      </c>
      <c r="F158" s="44" t="s">
        <v>798</v>
      </c>
      <c r="P158" s="44" t="s">
        <v>799</v>
      </c>
    </row>
    <row r="159" spans="1:16">
      <c r="A159" s="44" t="s">
        <v>800</v>
      </c>
      <c r="F159" s="44" t="s">
        <v>801</v>
      </c>
      <c r="P159" s="44" t="s">
        <v>802</v>
      </c>
    </row>
    <row r="160" spans="1:16">
      <c r="A160" s="44" t="s">
        <v>803</v>
      </c>
      <c r="F160" s="44" t="s">
        <v>804</v>
      </c>
      <c r="P160" s="44" t="s">
        <v>805</v>
      </c>
    </row>
    <row r="161" spans="1:16">
      <c r="A161" s="44" t="s">
        <v>806</v>
      </c>
      <c r="F161" s="44" t="s">
        <v>807</v>
      </c>
      <c r="P161" s="44" t="s">
        <v>808</v>
      </c>
    </row>
    <row r="162" spans="1:16">
      <c r="A162" s="44" t="s">
        <v>809</v>
      </c>
      <c r="F162" s="44" t="s">
        <v>810</v>
      </c>
      <c r="P162" s="44" t="s">
        <v>811</v>
      </c>
    </row>
    <row r="163" spans="1:16">
      <c r="A163" s="44" t="s">
        <v>812</v>
      </c>
      <c r="F163" s="44" t="s">
        <v>813</v>
      </c>
      <c r="P163" s="44" t="s">
        <v>814</v>
      </c>
    </row>
    <row r="164" spans="1:16">
      <c r="A164" s="44" t="s">
        <v>815</v>
      </c>
      <c r="F164" s="44" t="s">
        <v>816</v>
      </c>
      <c r="P164" s="44" t="s">
        <v>817</v>
      </c>
    </row>
    <row r="165" spans="1:16">
      <c r="A165" s="44" t="s">
        <v>818</v>
      </c>
      <c r="F165" s="44" t="s">
        <v>819</v>
      </c>
      <c r="P165" s="44" t="s">
        <v>820</v>
      </c>
    </row>
    <row r="166" spans="1:16">
      <c r="A166" s="44" t="s">
        <v>821</v>
      </c>
      <c r="F166" s="44" t="s">
        <v>822</v>
      </c>
      <c r="P166" s="44" t="s">
        <v>823</v>
      </c>
    </row>
    <row r="167" spans="1:16">
      <c r="A167" s="44" t="s">
        <v>824</v>
      </c>
      <c r="F167" s="44" t="s">
        <v>825</v>
      </c>
      <c r="P167" s="44" t="s">
        <v>826</v>
      </c>
    </row>
    <row r="168" spans="1:16">
      <c r="A168" s="44" t="s">
        <v>827</v>
      </c>
      <c r="F168" s="44" t="s">
        <v>828</v>
      </c>
      <c r="P168" s="44" t="s">
        <v>829</v>
      </c>
    </row>
    <row r="169" spans="1:16">
      <c r="A169" s="44" t="s">
        <v>830</v>
      </c>
      <c r="F169" s="44" t="s">
        <v>828</v>
      </c>
      <c r="P169" s="44" t="s">
        <v>831</v>
      </c>
    </row>
    <row r="170" spans="1:16">
      <c r="A170" s="44" t="s">
        <v>832</v>
      </c>
      <c r="F170" s="44" t="s">
        <v>833</v>
      </c>
      <c r="P170" s="44" t="s">
        <v>834</v>
      </c>
    </row>
    <row r="171" spans="1:16">
      <c r="A171" s="44" t="s">
        <v>835</v>
      </c>
      <c r="F171" s="44" t="s">
        <v>836</v>
      </c>
      <c r="P171" s="44" t="s">
        <v>837</v>
      </c>
    </row>
    <row r="172" spans="1:16">
      <c r="A172" s="44" t="s">
        <v>835</v>
      </c>
      <c r="F172" s="44" t="s">
        <v>838</v>
      </c>
      <c r="P172" s="44" t="s">
        <v>839</v>
      </c>
    </row>
    <row r="173" spans="1:16">
      <c r="A173" s="44" t="s">
        <v>840</v>
      </c>
      <c r="F173" s="44" t="s">
        <v>841</v>
      </c>
      <c r="P173" s="44" t="s">
        <v>842</v>
      </c>
    </row>
    <row r="174" spans="1:16">
      <c r="A174" s="44" t="s">
        <v>843</v>
      </c>
      <c r="F174" s="44" t="s">
        <v>844</v>
      </c>
      <c r="P174" s="44" t="s">
        <v>845</v>
      </c>
    </row>
    <row r="175" spans="1:16">
      <c r="A175" s="44" t="s">
        <v>846</v>
      </c>
      <c r="F175" s="44" t="s">
        <v>847</v>
      </c>
      <c r="P175" s="44" t="s">
        <v>848</v>
      </c>
    </row>
    <row r="176" spans="1:16">
      <c r="A176" s="44" t="s">
        <v>849</v>
      </c>
      <c r="F176" s="44" t="s">
        <v>850</v>
      </c>
      <c r="P176" s="44" t="s">
        <v>851</v>
      </c>
    </row>
    <row r="177" spans="1:16">
      <c r="A177" s="44" t="s">
        <v>852</v>
      </c>
      <c r="F177" s="44" t="s">
        <v>853</v>
      </c>
      <c r="P177" s="44" t="s">
        <v>848</v>
      </c>
    </row>
    <row r="178" spans="1:16">
      <c r="A178" s="44" t="s">
        <v>854</v>
      </c>
      <c r="F178" s="44" t="s">
        <v>855</v>
      </c>
      <c r="P178" s="44" t="s">
        <v>856</v>
      </c>
    </row>
    <row r="179" spans="1:16">
      <c r="A179" s="44" t="s">
        <v>857</v>
      </c>
      <c r="F179" s="44" t="s">
        <v>858</v>
      </c>
      <c r="P179" s="44" t="s">
        <v>859</v>
      </c>
    </row>
    <row r="180" spans="1:16">
      <c r="A180" s="44" t="s">
        <v>860</v>
      </c>
      <c r="F180" s="44" t="s">
        <v>861</v>
      </c>
      <c r="P180" s="44" t="s">
        <v>862</v>
      </c>
    </row>
    <row r="181" spans="1:16">
      <c r="A181" s="44" t="s">
        <v>863</v>
      </c>
      <c r="F181" s="44" t="s">
        <v>864</v>
      </c>
      <c r="P181" s="44" t="s">
        <v>865</v>
      </c>
    </row>
    <row r="182" spans="1:16">
      <c r="A182" s="44" t="s">
        <v>866</v>
      </c>
      <c r="F182" s="44" t="s">
        <v>867</v>
      </c>
      <c r="P182" s="44" t="s">
        <v>868</v>
      </c>
    </row>
    <row r="183" spans="1:16">
      <c r="A183" s="44" t="s">
        <v>869</v>
      </c>
      <c r="F183" s="44" t="s">
        <v>870</v>
      </c>
      <c r="P183" s="44" t="s">
        <v>871</v>
      </c>
    </row>
    <row r="184" spans="1:16">
      <c r="A184" s="44" t="s">
        <v>872</v>
      </c>
      <c r="F184" s="44" t="s">
        <v>873</v>
      </c>
      <c r="P184" s="44" t="s">
        <v>874</v>
      </c>
    </row>
    <row r="185" spans="1:16">
      <c r="A185" s="44" t="s">
        <v>875</v>
      </c>
      <c r="F185" s="44" t="s">
        <v>876</v>
      </c>
      <c r="P185" s="44" t="s">
        <v>877</v>
      </c>
    </row>
    <row r="186" spans="1:16">
      <c r="A186" s="44" t="s">
        <v>878</v>
      </c>
      <c r="F186" s="44" t="s">
        <v>879</v>
      </c>
      <c r="P186" s="44" t="s">
        <v>880</v>
      </c>
    </row>
    <row r="187" spans="1:16">
      <c r="A187" s="44" t="s">
        <v>881</v>
      </c>
      <c r="F187" s="44" t="s">
        <v>882</v>
      </c>
      <c r="P187" s="44" t="s">
        <v>883</v>
      </c>
    </row>
    <row r="188" spans="1:16">
      <c r="A188" s="44" t="s">
        <v>884</v>
      </c>
      <c r="F188" s="44" t="s">
        <v>885</v>
      </c>
      <c r="P188" s="44" t="s">
        <v>886</v>
      </c>
    </row>
    <row r="189" spans="1:16">
      <c r="A189" s="44" t="s">
        <v>887</v>
      </c>
      <c r="F189" s="44" t="s">
        <v>888</v>
      </c>
      <c r="P189" s="44" t="s">
        <v>889</v>
      </c>
    </row>
    <row r="190" spans="1:16">
      <c r="A190" s="44" t="s">
        <v>890</v>
      </c>
      <c r="F190" s="44" t="s">
        <v>891</v>
      </c>
      <c r="P190" s="44" t="s">
        <v>892</v>
      </c>
    </row>
    <row r="191" spans="1:16">
      <c r="A191" s="44" t="s">
        <v>893</v>
      </c>
      <c r="F191" s="44" t="s">
        <v>894</v>
      </c>
      <c r="P191" s="44" t="s">
        <v>895</v>
      </c>
    </row>
    <row r="192" spans="1:16">
      <c r="A192" s="44" t="s">
        <v>896</v>
      </c>
      <c r="F192" s="44" t="s">
        <v>897</v>
      </c>
      <c r="P192" s="44" t="s">
        <v>898</v>
      </c>
    </row>
    <row r="193" spans="1:16">
      <c r="A193" s="44" t="s">
        <v>899</v>
      </c>
      <c r="F193" s="44" t="s">
        <v>900</v>
      </c>
      <c r="P193" s="44" t="s">
        <v>901</v>
      </c>
    </row>
    <row r="194" spans="1:16">
      <c r="A194" s="44" t="s">
        <v>902</v>
      </c>
      <c r="F194" s="44" t="s">
        <v>903</v>
      </c>
      <c r="P194" s="44" t="s">
        <v>904</v>
      </c>
    </row>
    <row r="195" spans="1:16">
      <c r="A195" s="44" t="s">
        <v>905</v>
      </c>
      <c r="F195" s="44" t="s">
        <v>906</v>
      </c>
      <c r="P195" s="44" t="s">
        <v>907</v>
      </c>
    </row>
    <row r="196" spans="1:16">
      <c r="A196" s="44" t="s">
        <v>908</v>
      </c>
      <c r="F196" s="44" t="s">
        <v>909</v>
      </c>
      <c r="P196" s="44" t="s">
        <v>910</v>
      </c>
    </row>
    <row r="197" spans="1:16">
      <c r="A197" s="44" t="s">
        <v>911</v>
      </c>
      <c r="F197" s="44" t="s">
        <v>912</v>
      </c>
      <c r="P197" s="44" t="s">
        <v>913</v>
      </c>
    </row>
    <row r="198" spans="1:16">
      <c r="A198" s="44" t="s">
        <v>914</v>
      </c>
      <c r="F198" s="44" t="s">
        <v>915</v>
      </c>
      <c r="P198" s="44" t="s">
        <v>916</v>
      </c>
    </row>
    <row r="199" spans="1:16">
      <c r="A199" s="44" t="s">
        <v>917</v>
      </c>
      <c r="F199" s="44" t="s">
        <v>918</v>
      </c>
      <c r="P199" s="44" t="s">
        <v>919</v>
      </c>
    </row>
    <row r="200" spans="1:16">
      <c r="A200" s="44" t="s">
        <v>920</v>
      </c>
      <c r="F200" s="44" t="s">
        <v>921</v>
      </c>
      <c r="P200" s="44" t="s">
        <v>922</v>
      </c>
    </row>
    <row r="201" spans="1:16">
      <c r="A201" s="44" t="s">
        <v>923</v>
      </c>
      <c r="F201" s="44" t="s">
        <v>924</v>
      </c>
      <c r="P201" s="44" t="s">
        <v>925</v>
      </c>
    </row>
    <row r="202" spans="1:16">
      <c r="A202" s="44" t="s">
        <v>926</v>
      </c>
      <c r="F202" s="44" t="s">
        <v>927</v>
      </c>
      <c r="P202" s="44" t="s">
        <v>928</v>
      </c>
    </row>
    <row r="203" spans="1:16">
      <c r="A203" s="44" t="s">
        <v>929</v>
      </c>
      <c r="F203" s="44" t="s">
        <v>930</v>
      </c>
      <c r="P203" s="44" t="s">
        <v>931</v>
      </c>
    </row>
    <row r="204" spans="1:16">
      <c r="A204" s="44" t="s">
        <v>932</v>
      </c>
      <c r="F204" s="44" t="s">
        <v>933</v>
      </c>
      <c r="P204" s="44" t="s">
        <v>934</v>
      </c>
    </row>
    <row r="205" spans="1:16">
      <c r="A205" s="44" t="s">
        <v>935</v>
      </c>
      <c r="F205" s="44" t="s">
        <v>936</v>
      </c>
      <c r="P205" s="44" t="s">
        <v>937</v>
      </c>
    </row>
    <row r="206" spans="1:16">
      <c r="A206" s="44" t="s">
        <v>938</v>
      </c>
      <c r="F206" s="44" t="s">
        <v>939</v>
      </c>
      <c r="P206" s="44" t="s">
        <v>940</v>
      </c>
    </row>
    <row r="207" spans="1:16">
      <c r="A207" s="44" t="s">
        <v>941</v>
      </c>
      <c r="F207" s="44" t="s">
        <v>942</v>
      </c>
      <c r="P207" s="44" t="s">
        <v>943</v>
      </c>
    </row>
    <row r="208" spans="1:16">
      <c r="A208" s="44" t="s">
        <v>944</v>
      </c>
      <c r="F208" s="44" t="s">
        <v>945</v>
      </c>
      <c r="P208" s="44" t="s">
        <v>946</v>
      </c>
    </row>
    <row r="209" spans="1:16">
      <c r="A209" s="44" t="s">
        <v>947</v>
      </c>
      <c r="F209" s="44" t="s">
        <v>948</v>
      </c>
      <c r="P209" s="44" t="s">
        <v>949</v>
      </c>
    </row>
    <row r="210" spans="1:16">
      <c r="A210" s="44" t="s">
        <v>950</v>
      </c>
      <c r="F210" s="44" t="s">
        <v>951</v>
      </c>
      <c r="P210" s="44" t="s">
        <v>952</v>
      </c>
    </row>
    <row r="211" spans="1:16">
      <c r="A211" s="44" t="s">
        <v>953</v>
      </c>
      <c r="F211" s="44" t="s">
        <v>954</v>
      </c>
      <c r="P211" s="44" t="s">
        <v>955</v>
      </c>
    </row>
    <row r="212" spans="1:16">
      <c r="A212" s="44" t="s">
        <v>956</v>
      </c>
      <c r="F212" s="44" t="s">
        <v>957</v>
      </c>
      <c r="P212" s="44" t="s">
        <v>958</v>
      </c>
    </row>
    <row r="213" spans="1:16">
      <c r="A213" s="44" t="s">
        <v>959</v>
      </c>
      <c r="F213" s="44" t="s">
        <v>960</v>
      </c>
      <c r="P213" s="44" t="s">
        <v>961</v>
      </c>
    </row>
    <row r="214" spans="1:16">
      <c r="A214" s="44" t="s">
        <v>962</v>
      </c>
      <c r="F214" s="44" t="s">
        <v>963</v>
      </c>
      <c r="P214" s="44" t="s">
        <v>964</v>
      </c>
    </row>
    <row r="215" spans="1:16">
      <c r="A215" s="44" t="s">
        <v>965</v>
      </c>
      <c r="F215" s="44" t="s">
        <v>966</v>
      </c>
      <c r="P215" s="44" t="s">
        <v>967</v>
      </c>
    </row>
    <row r="216" spans="1:16">
      <c r="A216" s="44" t="s">
        <v>968</v>
      </c>
      <c r="F216" s="44" t="s">
        <v>969</v>
      </c>
      <c r="P216" s="44" t="s">
        <v>970</v>
      </c>
    </row>
    <row r="217" spans="1:16">
      <c r="A217" s="44" t="s">
        <v>971</v>
      </c>
      <c r="F217" s="44" t="s">
        <v>972</v>
      </c>
      <c r="P217" s="44" t="s">
        <v>973</v>
      </c>
    </row>
    <row r="218" spans="1:16">
      <c r="A218" s="44" t="s">
        <v>974</v>
      </c>
      <c r="F218" s="44" t="s">
        <v>975</v>
      </c>
      <c r="P218" s="44" t="s">
        <v>976</v>
      </c>
    </row>
    <row r="219" spans="1:16">
      <c r="A219" s="44" t="s">
        <v>977</v>
      </c>
      <c r="F219" s="44" t="s">
        <v>978</v>
      </c>
      <c r="P219" s="44" t="s">
        <v>979</v>
      </c>
    </row>
    <row r="220" spans="1:16">
      <c r="A220" s="44" t="s">
        <v>980</v>
      </c>
      <c r="F220" s="44" t="s">
        <v>981</v>
      </c>
      <c r="P220" s="44" t="s">
        <v>982</v>
      </c>
    </row>
    <row r="221" spans="1:16">
      <c r="A221" s="44" t="s">
        <v>983</v>
      </c>
      <c r="F221" s="44" t="s">
        <v>984</v>
      </c>
      <c r="P221" s="44" t="s">
        <v>985</v>
      </c>
    </row>
    <row r="222" spans="1:16">
      <c r="A222" s="44" t="s">
        <v>986</v>
      </c>
      <c r="F222" s="44" t="s">
        <v>987</v>
      </c>
      <c r="P222" s="44" t="s">
        <v>988</v>
      </c>
    </row>
    <row r="223" spans="1:16">
      <c r="A223" s="44" t="s">
        <v>989</v>
      </c>
      <c r="F223" s="44" t="s">
        <v>990</v>
      </c>
      <c r="P223" s="44" t="s">
        <v>991</v>
      </c>
    </row>
    <row r="224" spans="1:16">
      <c r="A224" s="44" t="s">
        <v>992</v>
      </c>
      <c r="F224" s="44" t="s">
        <v>993</v>
      </c>
      <c r="P224" s="44" t="s">
        <v>994</v>
      </c>
    </row>
    <row r="225" spans="1:16">
      <c r="A225" s="44" t="s">
        <v>995</v>
      </c>
      <c r="F225" s="44" t="s">
        <v>996</v>
      </c>
      <c r="P225" s="44" t="s">
        <v>997</v>
      </c>
    </row>
    <row r="226" spans="1:16">
      <c r="A226" s="44" t="s">
        <v>998</v>
      </c>
      <c r="F226" s="44" t="s">
        <v>999</v>
      </c>
      <c r="P226" s="44" t="s">
        <v>1000</v>
      </c>
    </row>
    <row r="227" spans="1:16">
      <c r="A227" s="44" t="s">
        <v>1001</v>
      </c>
      <c r="F227" s="44" t="s">
        <v>1002</v>
      </c>
      <c r="P227" s="44" t="s">
        <v>1003</v>
      </c>
    </row>
    <row r="228" spans="1:16">
      <c r="A228" s="44" t="s">
        <v>1004</v>
      </c>
      <c r="F228" s="44" t="s">
        <v>1005</v>
      </c>
      <c r="P228" s="44" t="s">
        <v>1006</v>
      </c>
    </row>
    <row r="229" spans="1:16">
      <c r="A229" s="44" t="s">
        <v>1007</v>
      </c>
      <c r="F229" s="44" t="s">
        <v>1008</v>
      </c>
      <c r="P229" s="44" t="s">
        <v>1009</v>
      </c>
    </row>
    <row r="230" spans="1:16">
      <c r="A230" s="44" t="s">
        <v>1010</v>
      </c>
      <c r="F230" s="44" t="s">
        <v>1011</v>
      </c>
      <c r="P230" s="44" t="s">
        <v>1012</v>
      </c>
    </row>
    <row r="231" spans="1:16">
      <c r="A231" s="44" t="s">
        <v>1013</v>
      </c>
      <c r="F231" s="44" t="s">
        <v>1014</v>
      </c>
      <c r="P231" s="44" t="s">
        <v>1015</v>
      </c>
    </row>
    <row r="232" spans="1:16">
      <c r="A232" s="44" t="s">
        <v>1016</v>
      </c>
      <c r="F232" s="44" t="s">
        <v>1017</v>
      </c>
      <c r="P232" s="44" t="s">
        <v>1012</v>
      </c>
    </row>
    <row r="233" spans="1:16">
      <c r="A233" s="44" t="s">
        <v>1018</v>
      </c>
      <c r="F233" s="44" t="s">
        <v>1019</v>
      </c>
      <c r="P233" s="44" t="s">
        <v>1020</v>
      </c>
    </row>
    <row r="234" spans="1:16">
      <c r="A234" s="44" t="s">
        <v>1021</v>
      </c>
      <c r="F234" s="44" t="s">
        <v>1022</v>
      </c>
      <c r="P234" s="44" t="s">
        <v>1023</v>
      </c>
    </row>
    <row r="235" spans="1:16">
      <c r="A235" s="44" t="s">
        <v>1024</v>
      </c>
      <c r="F235" s="44" t="s">
        <v>1025</v>
      </c>
      <c r="P235" s="44" t="s">
        <v>1026</v>
      </c>
    </row>
    <row r="236" spans="1:16">
      <c r="A236" s="44" t="s">
        <v>1027</v>
      </c>
      <c r="F236" s="44" t="s">
        <v>1028</v>
      </c>
      <c r="P236" s="44" t="s">
        <v>1029</v>
      </c>
    </row>
    <row r="237" spans="1:16">
      <c r="A237" s="44" t="s">
        <v>1030</v>
      </c>
      <c r="F237" s="44" t="s">
        <v>1031</v>
      </c>
      <c r="P237" s="44" t="s">
        <v>1032</v>
      </c>
    </row>
    <row r="238" spans="1:16">
      <c r="A238" s="44" t="s">
        <v>1033</v>
      </c>
      <c r="F238" s="44" t="s">
        <v>1034</v>
      </c>
      <c r="P238" s="44" t="s">
        <v>1035</v>
      </c>
    </row>
    <row r="239" spans="1:16">
      <c r="A239" s="44" t="s">
        <v>1036</v>
      </c>
      <c r="F239" s="44" t="s">
        <v>1037</v>
      </c>
      <c r="P239" s="44" t="s">
        <v>1038</v>
      </c>
    </row>
    <row r="240" spans="1:16">
      <c r="A240" s="44" t="s">
        <v>1039</v>
      </c>
      <c r="F240" s="44" t="s">
        <v>1040</v>
      </c>
      <c r="P240" s="44" t="s">
        <v>1041</v>
      </c>
    </row>
    <row r="241" spans="1:16">
      <c r="A241" s="44" t="s">
        <v>1042</v>
      </c>
      <c r="F241" s="44" t="s">
        <v>1043</v>
      </c>
      <c r="P241" s="44" t="s">
        <v>1044</v>
      </c>
    </row>
    <row r="242" spans="1:16">
      <c r="A242" s="44" t="s">
        <v>1045</v>
      </c>
      <c r="F242" s="44" t="s">
        <v>1046</v>
      </c>
      <c r="P242" s="44" t="s">
        <v>1047</v>
      </c>
    </row>
    <row r="243" spans="1:16">
      <c r="A243" s="44" t="s">
        <v>1048</v>
      </c>
      <c r="F243" s="44" t="s">
        <v>1049</v>
      </c>
      <c r="P243" s="44" t="s">
        <v>1050</v>
      </c>
    </row>
    <row r="244" spans="1:16">
      <c r="A244" s="44" t="s">
        <v>1051</v>
      </c>
      <c r="F244" s="44" t="s">
        <v>1052</v>
      </c>
      <c r="P244" s="44" t="s">
        <v>1053</v>
      </c>
    </row>
    <row r="245" spans="1:16">
      <c r="A245" s="44" t="s">
        <v>1054</v>
      </c>
      <c r="F245" s="44" t="s">
        <v>1055</v>
      </c>
      <c r="P245" s="44" t="s">
        <v>1056</v>
      </c>
    </row>
    <row r="246" spans="1:16">
      <c r="A246" s="44" t="s">
        <v>1057</v>
      </c>
      <c r="F246" s="44" t="s">
        <v>1058</v>
      </c>
      <c r="P246" s="44" t="s">
        <v>1059</v>
      </c>
    </row>
    <row r="247" spans="1:16">
      <c r="A247" s="44" t="s">
        <v>1060</v>
      </c>
      <c r="F247" s="44" t="s">
        <v>1061</v>
      </c>
      <c r="P247" s="44" t="s">
        <v>1062</v>
      </c>
    </row>
    <row r="248" spans="1:16">
      <c r="A248" s="44" t="s">
        <v>1063</v>
      </c>
      <c r="F248" s="44" t="s">
        <v>1064</v>
      </c>
      <c r="P248" s="44" t="s">
        <v>1065</v>
      </c>
    </row>
    <row r="249" spans="1:16">
      <c r="A249" s="44" t="s">
        <v>1066</v>
      </c>
      <c r="F249" s="44" t="s">
        <v>1067</v>
      </c>
      <c r="P249" s="44" t="s">
        <v>1068</v>
      </c>
    </row>
    <row r="250" spans="1:16">
      <c r="A250" s="44" t="s">
        <v>1069</v>
      </c>
      <c r="F250" s="44" t="s">
        <v>1070</v>
      </c>
      <c r="P250" s="44" t="s">
        <v>1071</v>
      </c>
    </row>
    <row r="251" spans="1:16">
      <c r="A251" s="44" t="s">
        <v>1072</v>
      </c>
      <c r="F251" s="44" t="s">
        <v>1073</v>
      </c>
      <c r="P251" s="44" t="s">
        <v>1074</v>
      </c>
    </row>
    <row r="252" spans="1:16">
      <c r="A252" s="44" t="s">
        <v>1075</v>
      </c>
      <c r="F252" s="44" t="s">
        <v>1076</v>
      </c>
      <c r="P252" s="44" t="s">
        <v>1077</v>
      </c>
    </row>
    <row r="253" spans="1:16">
      <c r="A253" s="44" t="s">
        <v>1078</v>
      </c>
      <c r="F253" s="44" t="s">
        <v>1079</v>
      </c>
      <c r="P253" s="44" t="s">
        <v>1080</v>
      </c>
    </row>
    <row r="254" spans="1:16">
      <c r="A254" s="44" t="s">
        <v>1081</v>
      </c>
      <c r="F254" s="44" t="s">
        <v>1082</v>
      </c>
      <c r="P254" s="44" t="s">
        <v>1083</v>
      </c>
    </row>
    <row r="255" spans="1:16">
      <c r="A255" s="44" t="s">
        <v>1084</v>
      </c>
      <c r="F255" s="44" t="s">
        <v>1085</v>
      </c>
      <c r="P255" s="44" t="s">
        <v>1086</v>
      </c>
    </row>
    <row r="256" spans="1:16">
      <c r="A256" s="44" t="s">
        <v>1087</v>
      </c>
      <c r="F256" s="44" t="s">
        <v>1088</v>
      </c>
      <c r="P256" s="44" t="s">
        <v>1089</v>
      </c>
    </row>
    <row r="257" spans="1:16">
      <c r="A257" s="44" t="s">
        <v>1090</v>
      </c>
      <c r="F257" s="44" t="s">
        <v>1091</v>
      </c>
      <c r="P257" s="44" t="s">
        <v>1092</v>
      </c>
    </row>
    <row r="258" spans="1:16">
      <c r="A258" s="44" t="s">
        <v>1093</v>
      </c>
      <c r="F258" s="44" t="s">
        <v>1094</v>
      </c>
      <c r="P258" s="44" t="s">
        <v>1095</v>
      </c>
    </row>
    <row r="259" spans="1:16">
      <c r="A259" s="44" t="s">
        <v>1096</v>
      </c>
      <c r="F259" s="44" t="s">
        <v>1097</v>
      </c>
      <c r="P259" s="44" t="s">
        <v>1098</v>
      </c>
    </row>
    <row r="260" spans="1:16">
      <c r="A260" s="44" t="s">
        <v>1099</v>
      </c>
      <c r="F260" s="44" t="s">
        <v>1100</v>
      </c>
      <c r="P260" s="44" t="s">
        <v>1101</v>
      </c>
    </row>
    <row r="261" spans="1:16">
      <c r="A261" s="44" t="s">
        <v>1102</v>
      </c>
      <c r="F261" s="44" t="s">
        <v>1103</v>
      </c>
      <c r="P261" s="44" t="s">
        <v>1104</v>
      </c>
    </row>
    <row r="262" spans="1:16">
      <c r="A262" s="44" t="s">
        <v>1105</v>
      </c>
      <c r="F262" s="44" t="s">
        <v>1106</v>
      </c>
      <c r="P262" s="44" t="s">
        <v>1107</v>
      </c>
    </row>
    <row r="263" spans="1:16">
      <c r="A263" s="44" t="s">
        <v>1108</v>
      </c>
      <c r="F263" s="44" t="s">
        <v>1109</v>
      </c>
      <c r="P263" s="44" t="s">
        <v>1110</v>
      </c>
    </row>
    <row r="264" spans="1:16">
      <c r="A264" s="44" t="s">
        <v>1111</v>
      </c>
      <c r="F264" s="44" t="s">
        <v>1112</v>
      </c>
      <c r="P264" s="44" t="s">
        <v>1113</v>
      </c>
    </row>
    <row r="265" spans="1:16">
      <c r="A265" s="44" t="s">
        <v>1114</v>
      </c>
      <c r="F265" s="44" t="s">
        <v>1115</v>
      </c>
      <c r="P265" s="44" t="s">
        <v>1116</v>
      </c>
    </row>
    <row r="266" spans="1:16">
      <c r="A266" s="44" t="s">
        <v>1117</v>
      </c>
      <c r="F266" s="44" t="s">
        <v>1118</v>
      </c>
      <c r="P266" s="44" t="s">
        <v>1119</v>
      </c>
    </row>
    <row r="267" spans="1:16">
      <c r="A267" s="44" t="s">
        <v>1120</v>
      </c>
      <c r="F267" s="44" t="s">
        <v>1121</v>
      </c>
      <c r="P267" s="44" t="s">
        <v>1122</v>
      </c>
    </row>
    <row r="268" spans="1:16">
      <c r="A268" s="44" t="s">
        <v>1123</v>
      </c>
      <c r="F268" s="44" t="s">
        <v>1124</v>
      </c>
      <c r="P268" s="44" t="s">
        <v>1125</v>
      </c>
    </row>
    <row r="269" spans="1:16">
      <c r="A269" s="44" t="s">
        <v>1126</v>
      </c>
      <c r="F269" s="44" t="s">
        <v>1127</v>
      </c>
      <c r="P269" s="44" t="s">
        <v>1128</v>
      </c>
    </row>
    <row r="270" spans="1:16">
      <c r="A270" s="44" t="s">
        <v>1129</v>
      </c>
      <c r="F270" s="44" t="s">
        <v>1130</v>
      </c>
      <c r="P270" s="44" t="s">
        <v>1131</v>
      </c>
    </row>
    <row r="271" spans="1:16">
      <c r="A271" s="44" t="s">
        <v>1132</v>
      </c>
      <c r="F271" s="44" t="s">
        <v>1133</v>
      </c>
      <c r="P271" s="44" t="s">
        <v>1134</v>
      </c>
    </row>
    <row r="272" spans="1:16">
      <c r="A272" s="44" t="s">
        <v>1135</v>
      </c>
      <c r="F272" s="44" t="s">
        <v>1136</v>
      </c>
      <c r="P272" s="44" t="s">
        <v>1137</v>
      </c>
    </row>
    <row r="273" spans="1:16">
      <c r="A273" s="44" t="s">
        <v>1138</v>
      </c>
      <c r="F273" s="44" t="s">
        <v>1139</v>
      </c>
      <c r="P273" s="44" t="s">
        <v>1140</v>
      </c>
    </row>
    <row r="274" spans="1:16">
      <c r="A274" s="44" t="s">
        <v>1141</v>
      </c>
      <c r="F274" s="44" t="s">
        <v>1142</v>
      </c>
      <c r="P274" s="44" t="s">
        <v>1143</v>
      </c>
    </row>
    <row r="275" spans="1:16">
      <c r="A275" s="44" t="s">
        <v>1144</v>
      </c>
      <c r="F275" s="44" t="s">
        <v>1145</v>
      </c>
      <c r="P275" s="44" t="s">
        <v>1146</v>
      </c>
    </row>
    <row r="276" spans="1:16">
      <c r="A276" s="44" t="s">
        <v>1147</v>
      </c>
      <c r="F276" s="44" t="s">
        <v>1148</v>
      </c>
      <c r="P276" s="44" t="s">
        <v>1149</v>
      </c>
    </row>
    <row r="277" spans="1:16">
      <c r="A277" s="44" t="s">
        <v>1150</v>
      </c>
      <c r="F277" s="44" t="s">
        <v>1151</v>
      </c>
      <c r="P277" s="44" t="s">
        <v>1152</v>
      </c>
    </row>
    <row r="278" spans="1:16">
      <c r="A278" s="44" t="s">
        <v>1153</v>
      </c>
      <c r="F278" s="44" t="s">
        <v>1154</v>
      </c>
      <c r="P278" s="44" t="s">
        <v>1155</v>
      </c>
    </row>
    <row r="279" spans="1:16">
      <c r="A279" s="44" t="s">
        <v>1156</v>
      </c>
      <c r="F279" s="44" t="s">
        <v>1157</v>
      </c>
      <c r="P279" s="44" t="s">
        <v>1158</v>
      </c>
    </row>
    <row r="280" spans="1:16">
      <c r="A280" s="44" t="s">
        <v>1159</v>
      </c>
      <c r="F280" s="44" t="s">
        <v>1160</v>
      </c>
      <c r="P280" s="44" t="s">
        <v>1161</v>
      </c>
    </row>
    <row r="281" spans="1:16">
      <c r="A281" s="44" t="s">
        <v>1162</v>
      </c>
      <c r="F281" s="44" t="s">
        <v>1163</v>
      </c>
      <c r="P281" s="44" t="s">
        <v>1164</v>
      </c>
    </row>
    <row r="282" spans="1:16">
      <c r="A282" s="44" t="s">
        <v>1165</v>
      </c>
      <c r="F282" s="44" t="s">
        <v>1166</v>
      </c>
      <c r="P282" s="44" t="s">
        <v>1167</v>
      </c>
    </row>
    <row r="283" spans="1:16">
      <c r="A283" s="44" t="s">
        <v>1168</v>
      </c>
      <c r="F283" s="44" t="s">
        <v>1169</v>
      </c>
      <c r="P283" s="44" t="s">
        <v>1170</v>
      </c>
    </row>
    <row r="284" spans="1:16">
      <c r="A284" s="44" t="s">
        <v>1171</v>
      </c>
      <c r="F284" s="44" t="s">
        <v>1172</v>
      </c>
      <c r="P284" s="44" t="s">
        <v>1173</v>
      </c>
    </row>
    <row r="285" spans="1:16">
      <c r="A285" s="44" t="s">
        <v>1174</v>
      </c>
      <c r="F285" s="44" t="s">
        <v>1175</v>
      </c>
      <c r="P285" s="44" t="s">
        <v>1176</v>
      </c>
    </row>
    <row r="286" spans="1:16">
      <c r="A286" s="44" t="s">
        <v>1177</v>
      </c>
      <c r="F286" s="44" t="s">
        <v>1178</v>
      </c>
      <c r="P286" s="44" t="s">
        <v>1179</v>
      </c>
    </row>
    <row r="287" spans="1:16">
      <c r="A287" s="44" t="s">
        <v>1180</v>
      </c>
      <c r="F287" s="44" t="s">
        <v>1181</v>
      </c>
      <c r="P287" s="44" t="s">
        <v>1176</v>
      </c>
    </row>
    <row r="288" spans="1:16">
      <c r="A288" s="44" t="s">
        <v>1182</v>
      </c>
      <c r="F288" s="44" t="s">
        <v>1183</v>
      </c>
      <c r="P288" s="44" t="s">
        <v>1184</v>
      </c>
    </row>
    <row r="289" spans="1:16">
      <c r="A289" s="44" t="s">
        <v>1185</v>
      </c>
      <c r="F289" s="44" t="s">
        <v>1186</v>
      </c>
      <c r="P289" s="44" t="s">
        <v>1187</v>
      </c>
    </row>
    <row r="290" spans="1:16">
      <c r="A290" s="44" t="s">
        <v>1188</v>
      </c>
      <c r="F290" s="44" t="s">
        <v>1189</v>
      </c>
      <c r="P290" s="44" t="s">
        <v>1190</v>
      </c>
    </row>
    <row r="291" spans="1:16">
      <c r="A291" s="44" t="s">
        <v>1191</v>
      </c>
      <c r="F291" s="44" t="s">
        <v>1192</v>
      </c>
      <c r="P291" s="44" t="s">
        <v>1193</v>
      </c>
    </row>
    <row r="292" spans="1:16">
      <c r="A292" s="44" t="s">
        <v>1194</v>
      </c>
      <c r="F292" s="44" t="s">
        <v>1195</v>
      </c>
      <c r="P292" s="44" t="s">
        <v>1196</v>
      </c>
    </row>
    <row r="293" spans="1:16">
      <c r="A293" s="44" t="s">
        <v>1197</v>
      </c>
      <c r="F293" s="44" t="s">
        <v>1198</v>
      </c>
      <c r="P293" s="44" t="s">
        <v>1199</v>
      </c>
    </row>
    <row r="294" spans="1:16">
      <c r="A294" s="44" t="s">
        <v>1200</v>
      </c>
      <c r="F294" s="44" t="s">
        <v>1201</v>
      </c>
      <c r="P294" s="44" t="s">
        <v>1202</v>
      </c>
    </row>
    <row r="295" spans="1:16">
      <c r="A295" s="44" t="s">
        <v>1203</v>
      </c>
      <c r="F295" s="44" t="s">
        <v>1204</v>
      </c>
      <c r="P295" s="44" t="s">
        <v>1205</v>
      </c>
    </row>
    <row r="296" spans="1:16">
      <c r="A296" s="44" t="s">
        <v>1206</v>
      </c>
      <c r="F296" s="44" t="s">
        <v>1207</v>
      </c>
      <c r="P296" s="44" t="s">
        <v>1208</v>
      </c>
    </row>
    <row r="297" spans="1:16">
      <c r="A297" s="44" t="s">
        <v>1209</v>
      </c>
      <c r="F297" s="44" t="s">
        <v>1210</v>
      </c>
      <c r="P297" s="44" t="s">
        <v>1211</v>
      </c>
    </row>
    <row r="298" spans="1:16">
      <c r="A298" s="44" t="s">
        <v>1212</v>
      </c>
      <c r="F298" s="44" t="s">
        <v>1213</v>
      </c>
      <c r="P298" s="44" t="s">
        <v>1214</v>
      </c>
    </row>
    <row r="299" spans="1:16">
      <c r="A299" s="44" t="s">
        <v>1215</v>
      </c>
      <c r="F299" s="44" t="s">
        <v>1216</v>
      </c>
      <c r="P299" s="44" t="s">
        <v>1217</v>
      </c>
    </row>
    <row r="300" spans="1:16">
      <c r="A300" s="44" t="s">
        <v>1218</v>
      </c>
      <c r="F300" s="44" t="s">
        <v>1219</v>
      </c>
      <c r="P300" s="44" t="s">
        <v>1220</v>
      </c>
    </row>
    <row r="301" spans="1:16">
      <c r="A301" s="44" t="s">
        <v>1221</v>
      </c>
      <c r="F301" s="44" t="s">
        <v>1222</v>
      </c>
      <c r="P301" s="44" t="s">
        <v>1223</v>
      </c>
    </row>
    <row r="302" spans="1:16">
      <c r="A302" s="44" t="s">
        <v>1224</v>
      </c>
      <c r="F302" s="44" t="s">
        <v>1225</v>
      </c>
      <c r="P302" s="44" t="s">
        <v>1226</v>
      </c>
    </row>
    <row r="303" spans="1:16">
      <c r="A303" s="44" t="s">
        <v>1227</v>
      </c>
      <c r="F303" s="44" t="s">
        <v>1228</v>
      </c>
      <c r="P303" s="44" t="s">
        <v>1229</v>
      </c>
    </row>
    <row r="304" spans="1:16">
      <c r="A304" s="44" t="s">
        <v>1230</v>
      </c>
      <c r="F304" s="44" t="s">
        <v>1231</v>
      </c>
      <c r="P304" s="44" t="s">
        <v>1232</v>
      </c>
    </row>
    <row r="305" spans="1:16">
      <c r="A305" s="44" t="s">
        <v>1233</v>
      </c>
      <c r="F305" s="44" t="s">
        <v>1234</v>
      </c>
      <c r="P305" s="44" t="s">
        <v>1235</v>
      </c>
    </row>
    <row r="306" spans="1:16">
      <c r="A306" s="44" t="s">
        <v>1236</v>
      </c>
      <c r="F306" s="44" t="s">
        <v>1237</v>
      </c>
      <c r="P306" s="44" t="s">
        <v>1238</v>
      </c>
    </row>
    <row r="307" spans="1:16">
      <c r="A307" s="44" t="s">
        <v>1239</v>
      </c>
      <c r="F307" s="44" t="s">
        <v>1240</v>
      </c>
      <c r="P307" s="44" t="s">
        <v>1241</v>
      </c>
    </row>
    <row r="308" spans="1:16">
      <c r="A308" s="44" t="s">
        <v>1242</v>
      </c>
      <c r="F308" s="44" t="s">
        <v>1243</v>
      </c>
      <c r="P308" s="44" t="s">
        <v>1244</v>
      </c>
    </row>
    <row r="309" spans="1:16">
      <c r="A309" s="44" t="s">
        <v>1245</v>
      </c>
      <c r="F309" s="44" t="s">
        <v>1246</v>
      </c>
      <c r="P309" s="44" t="s">
        <v>1247</v>
      </c>
    </row>
    <row r="310" spans="1:16">
      <c r="A310" s="44" t="s">
        <v>1248</v>
      </c>
      <c r="F310" s="44" t="s">
        <v>1249</v>
      </c>
      <c r="P310" s="44" t="s">
        <v>1250</v>
      </c>
    </row>
    <row r="311" spans="1:16">
      <c r="A311" s="44" t="s">
        <v>1251</v>
      </c>
      <c r="F311" s="44" t="s">
        <v>1252</v>
      </c>
      <c r="P311" s="44" t="s">
        <v>1253</v>
      </c>
    </row>
    <row r="312" spans="1:16">
      <c r="A312" s="44" t="s">
        <v>1254</v>
      </c>
      <c r="F312" s="44" t="s">
        <v>1255</v>
      </c>
      <c r="P312" s="44" t="s">
        <v>1256</v>
      </c>
    </row>
    <row r="313" spans="1:16">
      <c r="A313" s="44" t="s">
        <v>1257</v>
      </c>
      <c r="F313" s="44" t="s">
        <v>1258</v>
      </c>
      <c r="P313" s="44" t="s">
        <v>1259</v>
      </c>
    </row>
    <row r="314" spans="1:16">
      <c r="A314" s="44" t="s">
        <v>1260</v>
      </c>
      <c r="F314" s="44" t="s">
        <v>1261</v>
      </c>
      <c r="P314" s="44" t="s">
        <v>1262</v>
      </c>
    </row>
    <row r="315" spans="1:16">
      <c r="A315" s="44" t="s">
        <v>1263</v>
      </c>
      <c r="F315" s="44" t="s">
        <v>1264</v>
      </c>
      <c r="P315" s="44" t="s">
        <v>1265</v>
      </c>
    </row>
    <row r="316" spans="1:16">
      <c r="A316" s="44" t="s">
        <v>1266</v>
      </c>
      <c r="F316" s="44" t="s">
        <v>1267</v>
      </c>
      <c r="P316" s="44" t="s">
        <v>1268</v>
      </c>
    </row>
    <row r="317" spans="1:16">
      <c r="A317" s="44" t="s">
        <v>1269</v>
      </c>
      <c r="F317" s="44" t="s">
        <v>1270</v>
      </c>
      <c r="P317" s="44" t="s">
        <v>1271</v>
      </c>
    </row>
    <row r="318" spans="1:16">
      <c r="A318" s="44" t="s">
        <v>1272</v>
      </c>
      <c r="F318" s="44" t="s">
        <v>1273</v>
      </c>
      <c r="P318" s="44" t="s">
        <v>1274</v>
      </c>
    </row>
    <row r="319" spans="1:16">
      <c r="A319" s="44" t="s">
        <v>1275</v>
      </c>
      <c r="F319" s="44" t="s">
        <v>1276</v>
      </c>
      <c r="P319" s="44" t="s">
        <v>1277</v>
      </c>
    </row>
    <row r="320" spans="1:16">
      <c r="A320" s="44" t="s">
        <v>1278</v>
      </c>
      <c r="F320" s="44" t="s">
        <v>1279</v>
      </c>
      <c r="P320" s="44" t="s">
        <v>1280</v>
      </c>
    </row>
    <row r="321" spans="1:16">
      <c r="A321" s="44" t="s">
        <v>1281</v>
      </c>
      <c r="F321" s="44" t="s">
        <v>1282</v>
      </c>
      <c r="P321" s="44" t="s">
        <v>1283</v>
      </c>
    </row>
    <row r="322" spans="1:16">
      <c r="A322" s="44" t="s">
        <v>1284</v>
      </c>
      <c r="F322" s="44" t="s">
        <v>1285</v>
      </c>
      <c r="P322" s="44" t="s">
        <v>1286</v>
      </c>
    </row>
    <row r="323" spans="1:16">
      <c r="A323" s="44" t="s">
        <v>1287</v>
      </c>
      <c r="F323" s="44" t="s">
        <v>1288</v>
      </c>
      <c r="P323" s="44" t="s">
        <v>1289</v>
      </c>
    </row>
    <row r="324" spans="1:16">
      <c r="A324" s="44" t="s">
        <v>1290</v>
      </c>
      <c r="F324" s="44" t="s">
        <v>1291</v>
      </c>
      <c r="P324" s="44" t="s">
        <v>1292</v>
      </c>
    </row>
    <row r="325" spans="1:16">
      <c r="A325" s="44" t="s">
        <v>1293</v>
      </c>
      <c r="F325" s="44" t="s">
        <v>1294</v>
      </c>
      <c r="P325" s="44" t="s">
        <v>1295</v>
      </c>
    </row>
    <row r="326" spans="1:16">
      <c r="A326" s="44" t="s">
        <v>1296</v>
      </c>
      <c r="F326" s="44" t="s">
        <v>1297</v>
      </c>
      <c r="P326" s="44" t="s">
        <v>1298</v>
      </c>
    </row>
    <row r="327" spans="1:16">
      <c r="A327" s="44" t="s">
        <v>1299</v>
      </c>
      <c r="F327" s="44" t="s">
        <v>1300</v>
      </c>
      <c r="P327" s="44" t="s">
        <v>1301</v>
      </c>
    </row>
    <row r="328" spans="1:16">
      <c r="A328" s="44" t="s">
        <v>1302</v>
      </c>
      <c r="F328" s="44" t="s">
        <v>1303</v>
      </c>
      <c r="P328" s="44" t="s">
        <v>1304</v>
      </c>
    </row>
    <row r="329" spans="1:16">
      <c r="A329" s="44" t="s">
        <v>1305</v>
      </c>
      <c r="F329" s="44" t="s">
        <v>1306</v>
      </c>
      <c r="P329" s="44" t="s">
        <v>1307</v>
      </c>
    </row>
    <row r="330" spans="1:16">
      <c r="A330" s="44" t="s">
        <v>1308</v>
      </c>
      <c r="F330" s="44" t="s">
        <v>1309</v>
      </c>
      <c r="P330" s="44" t="s">
        <v>1310</v>
      </c>
    </row>
    <row r="331" spans="1:16">
      <c r="A331" s="44" t="s">
        <v>1311</v>
      </c>
      <c r="F331" s="44" t="s">
        <v>1312</v>
      </c>
      <c r="P331" s="44" t="s">
        <v>1313</v>
      </c>
    </row>
    <row r="332" spans="1:16">
      <c r="A332" s="44" t="s">
        <v>1314</v>
      </c>
      <c r="F332" s="44" t="s">
        <v>1315</v>
      </c>
      <c r="P332" s="44" t="s">
        <v>1316</v>
      </c>
    </row>
    <row r="333" spans="1:16">
      <c r="A333" s="44" t="s">
        <v>1317</v>
      </c>
      <c r="F333" s="44" t="s">
        <v>1318</v>
      </c>
      <c r="P333" s="44" t="s">
        <v>1319</v>
      </c>
    </row>
    <row r="334" spans="1:16">
      <c r="A334" s="44" t="s">
        <v>1320</v>
      </c>
      <c r="F334" s="44" t="s">
        <v>1321</v>
      </c>
      <c r="P334" s="44" t="s">
        <v>1322</v>
      </c>
    </row>
    <row r="335" spans="1:16">
      <c r="A335" s="44" t="s">
        <v>1323</v>
      </c>
      <c r="F335" s="44" t="s">
        <v>1324</v>
      </c>
      <c r="P335" s="44" t="s">
        <v>1325</v>
      </c>
    </row>
    <row r="336" spans="1:16">
      <c r="A336" s="44" t="s">
        <v>1326</v>
      </c>
      <c r="F336" s="44" t="s">
        <v>1327</v>
      </c>
      <c r="P336" s="44" t="s">
        <v>1328</v>
      </c>
    </row>
    <row r="337" spans="1:16">
      <c r="A337" s="44" t="s">
        <v>1329</v>
      </c>
      <c r="F337" s="44" t="s">
        <v>1330</v>
      </c>
      <c r="P337" s="44" t="s">
        <v>1331</v>
      </c>
    </row>
    <row r="338" spans="1:16">
      <c r="A338" s="44" t="s">
        <v>1332</v>
      </c>
      <c r="F338" s="44" t="s">
        <v>1333</v>
      </c>
      <c r="P338" s="44" t="s">
        <v>1334</v>
      </c>
    </row>
    <row r="339" spans="1:16">
      <c r="A339" s="44" t="s">
        <v>1335</v>
      </c>
      <c r="F339" s="44" t="s">
        <v>1336</v>
      </c>
      <c r="P339" s="44" t="s">
        <v>1337</v>
      </c>
    </row>
    <row r="340" spans="1:16">
      <c r="A340" s="44" t="s">
        <v>1338</v>
      </c>
      <c r="F340" s="44" t="s">
        <v>1339</v>
      </c>
      <c r="P340" s="44" t="s">
        <v>1340</v>
      </c>
    </row>
    <row r="341" spans="1:16">
      <c r="A341" s="44" t="s">
        <v>1341</v>
      </c>
      <c r="F341" s="44" t="s">
        <v>1342</v>
      </c>
      <c r="P341" s="44" t="s">
        <v>1343</v>
      </c>
    </row>
    <row r="342" spans="1:16">
      <c r="A342" s="44" t="s">
        <v>1344</v>
      </c>
      <c r="F342" s="44" t="s">
        <v>1345</v>
      </c>
      <c r="P342" s="44" t="s">
        <v>1340</v>
      </c>
    </row>
    <row r="343" spans="1:16">
      <c r="A343" s="44" t="s">
        <v>1346</v>
      </c>
      <c r="F343" s="44" t="s">
        <v>1347</v>
      </c>
      <c r="P343" s="44" t="s">
        <v>1348</v>
      </c>
    </row>
    <row r="344" spans="1:16">
      <c r="A344" s="44" t="s">
        <v>1349</v>
      </c>
      <c r="F344" s="44" t="s">
        <v>1350</v>
      </c>
      <c r="P344" s="44" t="s">
        <v>1351</v>
      </c>
    </row>
    <row r="345" spans="1:16">
      <c r="A345" s="44" t="s">
        <v>1352</v>
      </c>
      <c r="F345" s="44" t="s">
        <v>1353</v>
      </c>
      <c r="P345" s="44" t="s">
        <v>1354</v>
      </c>
    </row>
    <row r="346" spans="1:16">
      <c r="A346" s="44" t="s">
        <v>1355</v>
      </c>
      <c r="F346" s="44" t="s">
        <v>1356</v>
      </c>
      <c r="P346" s="44" t="s">
        <v>1357</v>
      </c>
    </row>
    <row r="347" spans="1:16">
      <c r="A347" s="44" t="s">
        <v>1358</v>
      </c>
      <c r="F347" s="44" t="s">
        <v>1359</v>
      </c>
      <c r="P347" s="44" t="s">
        <v>1360</v>
      </c>
    </row>
    <row r="348" spans="1:16">
      <c r="A348" s="44" t="s">
        <v>1361</v>
      </c>
      <c r="F348" s="44" t="s">
        <v>1362</v>
      </c>
      <c r="P348" s="44" t="s">
        <v>1363</v>
      </c>
    </row>
    <row r="349" spans="1:16">
      <c r="A349" s="44" t="s">
        <v>1364</v>
      </c>
      <c r="F349" s="44" t="s">
        <v>1365</v>
      </c>
      <c r="P349" s="44" t="s">
        <v>1366</v>
      </c>
    </row>
    <row r="350" spans="1:16">
      <c r="A350" s="44" t="s">
        <v>1367</v>
      </c>
      <c r="F350" s="44" t="s">
        <v>1368</v>
      </c>
      <c r="P350" s="44" t="s">
        <v>1369</v>
      </c>
    </row>
    <row r="351" spans="1:16">
      <c r="A351" s="44" t="s">
        <v>1370</v>
      </c>
      <c r="F351" s="44" t="s">
        <v>1371</v>
      </c>
      <c r="P351" s="44" t="s">
        <v>1372</v>
      </c>
    </row>
    <row r="352" spans="1:16">
      <c r="A352" s="44" t="s">
        <v>1373</v>
      </c>
      <c r="F352" s="44" t="s">
        <v>1374</v>
      </c>
      <c r="P352" s="44" t="s">
        <v>1375</v>
      </c>
    </row>
    <row r="353" spans="1:16">
      <c r="A353" s="44" t="s">
        <v>1376</v>
      </c>
      <c r="F353" s="44" t="s">
        <v>1377</v>
      </c>
      <c r="P353" s="44" t="s">
        <v>1378</v>
      </c>
    </row>
    <row r="354" spans="1:16">
      <c r="A354" s="44" t="s">
        <v>1379</v>
      </c>
      <c r="F354" s="44" t="s">
        <v>1380</v>
      </c>
      <c r="P354" s="44" t="s">
        <v>1381</v>
      </c>
    </row>
    <row r="355" spans="1:16">
      <c r="A355" s="44" t="s">
        <v>1382</v>
      </c>
      <c r="F355" s="44" t="s">
        <v>1383</v>
      </c>
      <c r="P355" s="44" t="s">
        <v>1384</v>
      </c>
    </row>
    <row r="356" spans="1:16">
      <c r="A356" s="44" t="s">
        <v>1385</v>
      </c>
      <c r="F356" s="44" t="s">
        <v>1386</v>
      </c>
      <c r="P356" s="44" t="s">
        <v>1387</v>
      </c>
    </row>
    <row r="357" spans="1:16">
      <c r="A357" s="44" t="s">
        <v>1388</v>
      </c>
      <c r="F357" s="44" t="s">
        <v>1389</v>
      </c>
      <c r="P357" s="44" t="s">
        <v>1390</v>
      </c>
    </row>
    <row r="358" spans="1:16">
      <c r="A358" s="44" t="s">
        <v>1391</v>
      </c>
      <c r="F358" s="44" t="s">
        <v>1392</v>
      </c>
      <c r="P358" s="44" t="s">
        <v>1393</v>
      </c>
    </row>
    <row r="359" spans="1:16">
      <c r="A359" s="44" t="s">
        <v>1394</v>
      </c>
      <c r="F359" s="44" t="s">
        <v>1395</v>
      </c>
      <c r="P359" s="44" t="s">
        <v>1396</v>
      </c>
    </row>
    <row r="360" spans="1:16">
      <c r="A360" s="44" t="s">
        <v>1397</v>
      </c>
      <c r="F360" s="44" t="s">
        <v>1398</v>
      </c>
      <c r="P360" s="44" t="s">
        <v>1399</v>
      </c>
    </row>
    <row r="361" spans="1:16">
      <c r="A361" s="44" t="s">
        <v>1400</v>
      </c>
      <c r="F361" s="44" t="s">
        <v>1401</v>
      </c>
      <c r="P361" s="44" t="s">
        <v>1402</v>
      </c>
    </row>
    <row r="362" spans="1:16">
      <c r="A362" s="44" t="s">
        <v>1403</v>
      </c>
      <c r="F362" s="44" t="s">
        <v>1404</v>
      </c>
      <c r="P362" s="44" t="s">
        <v>1405</v>
      </c>
    </row>
    <row r="363" spans="1:16">
      <c r="A363" s="44" t="s">
        <v>1406</v>
      </c>
      <c r="F363" s="44" t="s">
        <v>1407</v>
      </c>
      <c r="P363" s="44" t="s">
        <v>1408</v>
      </c>
    </row>
    <row r="364" spans="1:16">
      <c r="A364" s="44" t="s">
        <v>1409</v>
      </c>
      <c r="F364" s="44" t="s">
        <v>1410</v>
      </c>
      <c r="P364" s="44" t="s">
        <v>1411</v>
      </c>
    </row>
    <row r="365" spans="1:16">
      <c r="A365" s="44" t="s">
        <v>1412</v>
      </c>
      <c r="F365" s="44" t="s">
        <v>1413</v>
      </c>
      <c r="P365" s="44" t="s">
        <v>1414</v>
      </c>
    </row>
    <row r="366" spans="1:16">
      <c r="A366" s="44" t="s">
        <v>1415</v>
      </c>
      <c r="F366" s="44" t="s">
        <v>1416</v>
      </c>
      <c r="P366" s="44" t="s">
        <v>1417</v>
      </c>
    </row>
    <row r="367" spans="1:16">
      <c r="A367" s="44" t="s">
        <v>1418</v>
      </c>
      <c r="F367" s="44" t="s">
        <v>1419</v>
      </c>
      <c r="P367" s="44" t="s">
        <v>1420</v>
      </c>
    </row>
    <row r="368" spans="1:16">
      <c r="A368" s="44" t="s">
        <v>1421</v>
      </c>
      <c r="F368" s="44" t="s">
        <v>1422</v>
      </c>
      <c r="P368" s="44" t="s">
        <v>1423</v>
      </c>
    </row>
    <row r="369" spans="1:16">
      <c r="A369" s="44" t="s">
        <v>1424</v>
      </c>
      <c r="F369" s="44" t="s">
        <v>1425</v>
      </c>
      <c r="P369" s="44" t="s">
        <v>1426</v>
      </c>
    </row>
    <row r="370" spans="1:16">
      <c r="A370" s="44" t="s">
        <v>1427</v>
      </c>
      <c r="F370" s="44" t="s">
        <v>1428</v>
      </c>
      <c r="P370" s="44" t="s">
        <v>1429</v>
      </c>
    </row>
    <row r="371" spans="1:16">
      <c r="A371" s="44" t="s">
        <v>1430</v>
      </c>
      <c r="F371" s="44" t="s">
        <v>1431</v>
      </c>
      <c r="P371" s="44" t="s">
        <v>1432</v>
      </c>
    </row>
    <row r="372" spans="1:16">
      <c r="A372" s="44" t="s">
        <v>1433</v>
      </c>
      <c r="F372" s="44" t="s">
        <v>1434</v>
      </c>
      <c r="P372" s="44" t="s">
        <v>1435</v>
      </c>
    </row>
    <row r="373" spans="1:16">
      <c r="A373" s="44" t="s">
        <v>1436</v>
      </c>
      <c r="F373" s="44" t="s">
        <v>1437</v>
      </c>
      <c r="P373" s="44" t="s">
        <v>1438</v>
      </c>
    </row>
    <row r="374" spans="1:16">
      <c r="A374" s="44" t="s">
        <v>1439</v>
      </c>
      <c r="F374" s="44" t="s">
        <v>1440</v>
      </c>
      <c r="P374" s="44" t="s">
        <v>1441</v>
      </c>
    </row>
    <row r="375" spans="1:16">
      <c r="A375" s="44" t="s">
        <v>1442</v>
      </c>
      <c r="F375" s="44" t="s">
        <v>1443</v>
      </c>
      <c r="P375" s="44" t="s">
        <v>1444</v>
      </c>
    </row>
    <row r="376" spans="1:16">
      <c r="A376" s="44" t="s">
        <v>1445</v>
      </c>
      <c r="F376" s="44" t="s">
        <v>1446</v>
      </c>
      <c r="P376" s="44" t="s">
        <v>1447</v>
      </c>
    </row>
    <row r="377" spans="1:16">
      <c r="A377" s="44" t="s">
        <v>1448</v>
      </c>
      <c r="F377" s="44" t="s">
        <v>1449</v>
      </c>
      <c r="P377" s="44" t="s">
        <v>1450</v>
      </c>
    </row>
    <row r="378" spans="1:16">
      <c r="A378" s="44" t="s">
        <v>1451</v>
      </c>
      <c r="F378" s="44" t="s">
        <v>1452</v>
      </c>
      <c r="P378" s="44" t="s">
        <v>1453</v>
      </c>
    </row>
    <row r="379" spans="1:16">
      <c r="A379" s="44" t="s">
        <v>1454</v>
      </c>
      <c r="F379" s="44" t="s">
        <v>1455</v>
      </c>
      <c r="P379" s="44" t="s">
        <v>1456</v>
      </c>
    </row>
    <row r="380" spans="1:16">
      <c r="A380" s="44" t="s">
        <v>1457</v>
      </c>
      <c r="F380" s="44" t="s">
        <v>1458</v>
      </c>
      <c r="P380" s="44" t="s">
        <v>1459</v>
      </c>
    </row>
    <row r="381" spans="1:16">
      <c r="A381" s="44" t="s">
        <v>1460</v>
      </c>
      <c r="F381" s="44" t="s">
        <v>1461</v>
      </c>
      <c r="P381" s="44" t="s">
        <v>1462</v>
      </c>
    </row>
    <row r="382" spans="1:16">
      <c r="A382" s="44" t="s">
        <v>1463</v>
      </c>
      <c r="F382" s="44" t="s">
        <v>1464</v>
      </c>
      <c r="P382" s="44" t="s">
        <v>1465</v>
      </c>
    </row>
    <row r="383" spans="1:16">
      <c r="A383" s="44" t="s">
        <v>1466</v>
      </c>
      <c r="F383" s="44" t="s">
        <v>1467</v>
      </c>
      <c r="P383" s="44" t="s">
        <v>1468</v>
      </c>
    </row>
    <row r="384" spans="1:16">
      <c r="A384" s="44" t="s">
        <v>1469</v>
      </c>
      <c r="F384" s="44" t="s">
        <v>1470</v>
      </c>
      <c r="P384" s="44" t="s">
        <v>1471</v>
      </c>
    </row>
    <row r="385" spans="1:16">
      <c r="A385" s="44" t="s">
        <v>1472</v>
      </c>
      <c r="F385" s="44" t="s">
        <v>1473</v>
      </c>
      <c r="P385" s="44" t="s">
        <v>1474</v>
      </c>
    </row>
    <row r="386" spans="1:16">
      <c r="A386" s="44" t="s">
        <v>1475</v>
      </c>
      <c r="F386" s="44" t="s">
        <v>1476</v>
      </c>
      <c r="P386" s="44" t="s">
        <v>1477</v>
      </c>
    </row>
    <row r="387" spans="1:16">
      <c r="A387" s="44" t="s">
        <v>1478</v>
      </c>
      <c r="F387" s="44" t="s">
        <v>1479</v>
      </c>
      <c r="P387" s="44" t="s">
        <v>1480</v>
      </c>
    </row>
    <row r="388" spans="1:16">
      <c r="A388" s="44" t="s">
        <v>1481</v>
      </c>
      <c r="F388" s="44" t="s">
        <v>1482</v>
      </c>
      <c r="P388" s="44" t="s">
        <v>1483</v>
      </c>
    </row>
    <row r="389" spans="1:16">
      <c r="A389" s="44" t="s">
        <v>1484</v>
      </c>
      <c r="F389" s="44" t="s">
        <v>1485</v>
      </c>
      <c r="P389" s="44" t="s">
        <v>1486</v>
      </c>
    </row>
    <row r="390" spans="1:16">
      <c r="A390" s="44" t="s">
        <v>1487</v>
      </c>
      <c r="F390" s="44" t="s">
        <v>1488</v>
      </c>
      <c r="P390" s="44" t="s">
        <v>1489</v>
      </c>
    </row>
    <row r="391" spans="1:16">
      <c r="A391" s="44" t="s">
        <v>1490</v>
      </c>
      <c r="F391" s="44" t="s">
        <v>1491</v>
      </c>
      <c r="P391" s="44" t="s">
        <v>1492</v>
      </c>
    </row>
    <row r="392" spans="1:16">
      <c r="A392" s="44" t="s">
        <v>1493</v>
      </c>
      <c r="F392" s="44" t="s">
        <v>1494</v>
      </c>
      <c r="P392" s="44" t="s">
        <v>1495</v>
      </c>
    </row>
    <row r="393" spans="1:16">
      <c r="A393" s="44" t="s">
        <v>1496</v>
      </c>
      <c r="F393" s="44" t="s">
        <v>1497</v>
      </c>
      <c r="P393" s="44" t="s">
        <v>1498</v>
      </c>
    </row>
    <row r="394" spans="1:16">
      <c r="A394" s="44" t="s">
        <v>1499</v>
      </c>
      <c r="F394" s="44" t="s">
        <v>1500</v>
      </c>
      <c r="P394" s="44" t="s">
        <v>1501</v>
      </c>
    </row>
    <row r="395" spans="1:16">
      <c r="A395" s="44" t="s">
        <v>1502</v>
      </c>
      <c r="F395" s="44" t="s">
        <v>1503</v>
      </c>
      <c r="P395" s="44" t="s">
        <v>1504</v>
      </c>
    </row>
    <row r="396" spans="1:16">
      <c r="A396" s="44" t="s">
        <v>1505</v>
      </c>
      <c r="F396" s="44" t="s">
        <v>1506</v>
      </c>
      <c r="P396" s="44" t="s">
        <v>1507</v>
      </c>
    </row>
    <row r="397" spans="1:16">
      <c r="A397" s="44" t="s">
        <v>1508</v>
      </c>
      <c r="F397" s="44" t="s">
        <v>1509</v>
      </c>
      <c r="P397" s="44" t="s">
        <v>1510</v>
      </c>
    </row>
    <row r="398" spans="1:16">
      <c r="A398" s="44" t="s">
        <v>1511</v>
      </c>
      <c r="F398" s="44" t="s">
        <v>1512</v>
      </c>
      <c r="P398" s="44" t="s">
        <v>1513</v>
      </c>
    </row>
    <row r="399" spans="1:16">
      <c r="A399" s="44" t="s">
        <v>1514</v>
      </c>
      <c r="F399" s="44" t="s">
        <v>1515</v>
      </c>
      <c r="P399" s="44" t="s">
        <v>1516</v>
      </c>
    </row>
    <row r="400" spans="1:16">
      <c r="A400" s="44" t="s">
        <v>1517</v>
      </c>
      <c r="F400" s="44" t="s">
        <v>1518</v>
      </c>
      <c r="P400" s="44" t="s">
        <v>1519</v>
      </c>
    </row>
    <row r="401" spans="1:16">
      <c r="A401" s="44" t="s">
        <v>1520</v>
      </c>
      <c r="F401" s="44" t="s">
        <v>1521</v>
      </c>
      <c r="P401" s="44" t="s">
        <v>1522</v>
      </c>
    </row>
    <row r="402" spans="1:16">
      <c r="A402" s="44" t="s">
        <v>1523</v>
      </c>
      <c r="F402" s="44" t="s">
        <v>1524</v>
      </c>
      <c r="P402" s="44" t="s">
        <v>1525</v>
      </c>
    </row>
    <row r="403" spans="1:16">
      <c r="A403" s="44" t="s">
        <v>1526</v>
      </c>
      <c r="F403" s="44" t="s">
        <v>1527</v>
      </c>
      <c r="P403" s="44" t="s">
        <v>1528</v>
      </c>
    </row>
    <row r="404" spans="1:16">
      <c r="A404" s="44" t="s">
        <v>1529</v>
      </c>
      <c r="F404" s="44" t="s">
        <v>1530</v>
      </c>
      <c r="P404" s="44" t="s">
        <v>1531</v>
      </c>
    </row>
    <row r="405" spans="1:16">
      <c r="A405" s="44" t="s">
        <v>1532</v>
      </c>
      <c r="F405" s="44" t="s">
        <v>1533</v>
      </c>
      <c r="P405" s="44" t="s">
        <v>1534</v>
      </c>
    </row>
    <row r="406" spans="1:16">
      <c r="A406" s="44" t="s">
        <v>1535</v>
      </c>
      <c r="F406" s="44" t="s">
        <v>1536</v>
      </c>
      <c r="P406" s="44" t="s">
        <v>1537</v>
      </c>
    </row>
    <row r="407" spans="1:16">
      <c r="A407" s="44" t="s">
        <v>1538</v>
      </c>
      <c r="F407" s="44" t="s">
        <v>1539</v>
      </c>
      <c r="P407" s="44" t="s">
        <v>1540</v>
      </c>
    </row>
    <row r="408" spans="1:16">
      <c r="A408" s="44" t="s">
        <v>1541</v>
      </c>
      <c r="F408" s="44" t="s">
        <v>1542</v>
      </c>
      <c r="P408" s="44" t="s">
        <v>1543</v>
      </c>
    </row>
    <row r="409" spans="1:16">
      <c r="A409" s="44" t="s">
        <v>1544</v>
      </c>
      <c r="F409" s="44" t="s">
        <v>1545</v>
      </c>
      <c r="P409" s="44" t="s">
        <v>1546</v>
      </c>
    </row>
    <row r="410" spans="1:16">
      <c r="A410" s="44" t="s">
        <v>1547</v>
      </c>
      <c r="F410" s="44" t="s">
        <v>1548</v>
      </c>
      <c r="P410" s="44" t="s">
        <v>1549</v>
      </c>
    </row>
    <row r="411" spans="1:16">
      <c r="A411" s="44" t="s">
        <v>1550</v>
      </c>
      <c r="F411" s="44" t="s">
        <v>1551</v>
      </c>
      <c r="P411" s="44" t="s">
        <v>1552</v>
      </c>
    </row>
    <row r="412" spans="1:16">
      <c r="A412" s="44" t="s">
        <v>1553</v>
      </c>
      <c r="F412" s="44" t="s">
        <v>1554</v>
      </c>
      <c r="P412" s="44" t="s">
        <v>1555</v>
      </c>
    </row>
    <row r="413" spans="1:16">
      <c r="A413" s="44" t="s">
        <v>1556</v>
      </c>
      <c r="F413" s="44" t="s">
        <v>1557</v>
      </c>
      <c r="P413" s="44" t="s">
        <v>1558</v>
      </c>
    </row>
    <row r="414" spans="1:16">
      <c r="A414" s="44" t="s">
        <v>1559</v>
      </c>
      <c r="F414" s="44" t="s">
        <v>1560</v>
      </c>
      <c r="P414" s="44" t="s">
        <v>1561</v>
      </c>
    </row>
    <row r="415" spans="1:16">
      <c r="A415" s="44" t="s">
        <v>1562</v>
      </c>
      <c r="F415" s="44" t="s">
        <v>1563</v>
      </c>
      <c r="P415" s="44" t="s">
        <v>1564</v>
      </c>
    </row>
    <row r="416" spans="1:16">
      <c r="A416" s="44" t="s">
        <v>1565</v>
      </c>
      <c r="F416" s="44" t="s">
        <v>1566</v>
      </c>
      <c r="P416" s="44" t="s">
        <v>1567</v>
      </c>
    </row>
    <row r="417" spans="1:16">
      <c r="A417" s="44" t="s">
        <v>1568</v>
      </c>
      <c r="F417" s="44" t="s">
        <v>1569</v>
      </c>
      <c r="P417" s="44" t="s">
        <v>1570</v>
      </c>
    </row>
    <row r="418" spans="1:16">
      <c r="A418" s="44" t="s">
        <v>1571</v>
      </c>
      <c r="F418" s="44" t="s">
        <v>1572</v>
      </c>
      <c r="P418" s="44" t="s">
        <v>1573</v>
      </c>
    </row>
    <row r="419" spans="1:16">
      <c r="A419" s="44" t="s">
        <v>1574</v>
      </c>
      <c r="F419" s="44" t="s">
        <v>1575</v>
      </c>
      <c r="P419" s="44" t="s">
        <v>1576</v>
      </c>
    </row>
    <row r="420" spans="1:16">
      <c r="A420" s="44" t="s">
        <v>1577</v>
      </c>
      <c r="F420" s="44" t="s">
        <v>1578</v>
      </c>
      <c r="P420" s="44" t="s">
        <v>1579</v>
      </c>
    </row>
    <row r="421" spans="1:16">
      <c r="A421" s="44" t="s">
        <v>1580</v>
      </c>
      <c r="F421" s="44" t="s">
        <v>1581</v>
      </c>
      <c r="P421" s="44" t="s">
        <v>1582</v>
      </c>
    </row>
    <row r="422" spans="1:16">
      <c r="A422" s="44" t="s">
        <v>1583</v>
      </c>
      <c r="F422" s="44" t="s">
        <v>1584</v>
      </c>
      <c r="P422" s="44" t="s">
        <v>1585</v>
      </c>
    </row>
    <row r="423" spans="1:16">
      <c r="A423" s="44" t="s">
        <v>1586</v>
      </c>
      <c r="F423" s="44" t="s">
        <v>1587</v>
      </c>
      <c r="P423" s="44" t="s">
        <v>1588</v>
      </c>
    </row>
    <row r="424" spans="1:16">
      <c r="A424" s="44" t="s">
        <v>1589</v>
      </c>
      <c r="F424" s="44" t="s">
        <v>1590</v>
      </c>
      <c r="P424" s="44" t="s">
        <v>1591</v>
      </c>
    </row>
    <row r="425" spans="1:16">
      <c r="A425" s="44" t="s">
        <v>1592</v>
      </c>
      <c r="F425" s="44" t="s">
        <v>1593</v>
      </c>
      <c r="P425" s="44" t="s">
        <v>1594</v>
      </c>
    </row>
    <row r="426" spans="1:16">
      <c r="A426" s="44" t="s">
        <v>1595</v>
      </c>
      <c r="F426" s="44" t="s">
        <v>1596</v>
      </c>
      <c r="P426" s="44" t="s">
        <v>1597</v>
      </c>
    </row>
    <row r="427" spans="1:16">
      <c r="A427" s="44" t="s">
        <v>1598</v>
      </c>
      <c r="F427" s="44" t="s">
        <v>1599</v>
      </c>
      <c r="P427" s="44" t="s">
        <v>1600</v>
      </c>
    </row>
    <row r="428" spans="1:16">
      <c r="A428" s="44" t="s">
        <v>1601</v>
      </c>
      <c r="F428" s="44" t="s">
        <v>1602</v>
      </c>
      <c r="P428" s="44" t="s">
        <v>1603</v>
      </c>
    </row>
    <row r="429" spans="1:16">
      <c r="A429" s="44" t="s">
        <v>1604</v>
      </c>
      <c r="F429" s="44" t="s">
        <v>1605</v>
      </c>
      <c r="P429" s="44" t="s">
        <v>1606</v>
      </c>
    </row>
    <row r="430" spans="1:16">
      <c r="A430" s="44" t="s">
        <v>1607</v>
      </c>
      <c r="F430" s="44" t="s">
        <v>1608</v>
      </c>
      <c r="P430" s="44" t="s">
        <v>1609</v>
      </c>
    </row>
    <row r="431" spans="1:16">
      <c r="A431" s="44" t="s">
        <v>1610</v>
      </c>
      <c r="F431" s="44" t="s">
        <v>1611</v>
      </c>
      <c r="P431" s="44" t="s">
        <v>1612</v>
      </c>
    </row>
    <row r="432" spans="1:16">
      <c r="A432" s="44" t="s">
        <v>1613</v>
      </c>
      <c r="F432" s="44" t="s">
        <v>1614</v>
      </c>
      <c r="P432" s="44" t="s">
        <v>1615</v>
      </c>
    </row>
    <row r="433" spans="1:16">
      <c r="A433" s="44" t="s">
        <v>1616</v>
      </c>
      <c r="F433" s="44" t="s">
        <v>1617</v>
      </c>
      <c r="P433" s="44" t="s">
        <v>1618</v>
      </c>
    </row>
    <row r="434" spans="1:16">
      <c r="A434" s="44" t="s">
        <v>1619</v>
      </c>
      <c r="F434" s="44" t="s">
        <v>1620</v>
      </c>
      <c r="P434" s="44" t="s">
        <v>1621</v>
      </c>
    </row>
    <row r="435" spans="1:16">
      <c r="A435" s="44" t="s">
        <v>1622</v>
      </c>
      <c r="F435" s="44" t="s">
        <v>1623</v>
      </c>
      <c r="P435" s="44" t="s">
        <v>1624</v>
      </c>
    </row>
    <row r="436" spans="1:16">
      <c r="A436" s="44" t="s">
        <v>1625</v>
      </c>
      <c r="F436" s="44" t="s">
        <v>1626</v>
      </c>
      <c r="P436" s="44" t="s">
        <v>1627</v>
      </c>
    </row>
    <row r="437" spans="1:16">
      <c r="A437" s="44" t="s">
        <v>1628</v>
      </c>
      <c r="F437" s="44" t="s">
        <v>1629</v>
      </c>
      <c r="P437" s="44" t="s">
        <v>1630</v>
      </c>
    </row>
    <row r="438" spans="1:16">
      <c r="A438" s="44" t="s">
        <v>1631</v>
      </c>
      <c r="F438" s="44" t="s">
        <v>1632</v>
      </c>
      <c r="P438" s="44" t="s">
        <v>1633</v>
      </c>
    </row>
    <row r="439" spans="1:16">
      <c r="A439" s="44" t="s">
        <v>1634</v>
      </c>
      <c r="F439" s="44" t="s">
        <v>1635</v>
      </c>
      <c r="P439" s="44" t="s">
        <v>1636</v>
      </c>
    </row>
    <row r="440" spans="1:16">
      <c r="A440" s="44" t="s">
        <v>1637</v>
      </c>
      <c r="F440" s="44" t="s">
        <v>1638</v>
      </c>
      <c r="P440" s="44" t="s">
        <v>1639</v>
      </c>
    </row>
    <row r="441" spans="1:16">
      <c r="A441" s="44" t="s">
        <v>1640</v>
      </c>
      <c r="F441" s="44" t="s">
        <v>1641</v>
      </c>
      <c r="P441" s="44" t="s">
        <v>1642</v>
      </c>
    </row>
    <row r="442" spans="1:16">
      <c r="A442" s="44" t="s">
        <v>1643</v>
      </c>
      <c r="F442" s="44" t="s">
        <v>1644</v>
      </c>
      <c r="P442" s="44" t="s">
        <v>1645</v>
      </c>
    </row>
    <row r="443" spans="1:16">
      <c r="A443" s="44" t="s">
        <v>1646</v>
      </c>
      <c r="F443" s="44" t="s">
        <v>1647</v>
      </c>
      <c r="P443" s="44" t="s">
        <v>1648</v>
      </c>
    </row>
    <row r="444" spans="1:16">
      <c r="A444" s="44" t="s">
        <v>1649</v>
      </c>
      <c r="F444" s="44" t="s">
        <v>1650</v>
      </c>
      <c r="P444" s="44" t="s">
        <v>1651</v>
      </c>
    </row>
    <row r="445" spans="1:16">
      <c r="A445" s="44" t="s">
        <v>1652</v>
      </c>
      <c r="F445" s="44" t="s">
        <v>1653</v>
      </c>
      <c r="P445" s="44" t="s">
        <v>1651</v>
      </c>
    </row>
    <row r="446" spans="1:16">
      <c r="A446" s="44" t="s">
        <v>1654</v>
      </c>
      <c r="F446" s="44" t="s">
        <v>1655</v>
      </c>
      <c r="P446" s="44" t="s">
        <v>1656</v>
      </c>
    </row>
    <row r="447" spans="1:16">
      <c r="A447" s="44" t="s">
        <v>1657</v>
      </c>
      <c r="F447" s="44" t="s">
        <v>1658</v>
      </c>
      <c r="P447" s="44" t="s">
        <v>1659</v>
      </c>
    </row>
    <row r="448" spans="1:16">
      <c r="A448" s="44" t="s">
        <v>1660</v>
      </c>
      <c r="F448" s="44" t="s">
        <v>1661</v>
      </c>
      <c r="P448" s="44" t="s">
        <v>1662</v>
      </c>
    </row>
    <row r="449" spans="1:16">
      <c r="A449" s="44" t="s">
        <v>1663</v>
      </c>
      <c r="F449" s="44" t="s">
        <v>1664</v>
      </c>
      <c r="P449" s="44" t="s">
        <v>1665</v>
      </c>
    </row>
    <row r="450" spans="1:16">
      <c r="A450" s="44" t="s">
        <v>1666</v>
      </c>
      <c r="F450" s="44" t="s">
        <v>1667</v>
      </c>
      <c r="P450" s="44" t="s">
        <v>1668</v>
      </c>
    </row>
    <row r="451" spans="1:16">
      <c r="A451" s="44" t="s">
        <v>1669</v>
      </c>
      <c r="F451" s="44" t="s">
        <v>1670</v>
      </c>
      <c r="P451" s="44" t="s">
        <v>1671</v>
      </c>
    </row>
    <row r="452" spans="1:16">
      <c r="A452" s="44" t="s">
        <v>1672</v>
      </c>
      <c r="F452" s="44" t="s">
        <v>1673</v>
      </c>
      <c r="P452" s="44" t="s">
        <v>1674</v>
      </c>
    </row>
    <row r="453" spans="1:16">
      <c r="A453" s="44" t="s">
        <v>1675</v>
      </c>
      <c r="F453" s="44" t="s">
        <v>1676</v>
      </c>
      <c r="P453" s="44" t="s">
        <v>1677</v>
      </c>
    </row>
    <row r="454" spans="1:16">
      <c r="A454" s="44" t="s">
        <v>1678</v>
      </c>
      <c r="F454" s="44" t="s">
        <v>1679</v>
      </c>
      <c r="P454" s="44" t="s">
        <v>1680</v>
      </c>
    </row>
    <row r="455" spans="1:16">
      <c r="A455" s="44" t="s">
        <v>1681</v>
      </c>
      <c r="F455" s="44" t="s">
        <v>1682</v>
      </c>
      <c r="P455" s="44" t="s">
        <v>1683</v>
      </c>
    </row>
    <row r="456" spans="1:16">
      <c r="A456" s="44" t="s">
        <v>1684</v>
      </c>
      <c r="F456" s="44" t="s">
        <v>1685</v>
      </c>
      <c r="P456" s="44" t="s">
        <v>1686</v>
      </c>
    </row>
    <row r="457" spans="1:16">
      <c r="A457" s="44" t="s">
        <v>1687</v>
      </c>
      <c r="F457" s="44" t="s">
        <v>1688</v>
      </c>
      <c r="P457" s="44" t="s">
        <v>1689</v>
      </c>
    </row>
    <row r="458" spans="1:16">
      <c r="A458" s="44" t="s">
        <v>1690</v>
      </c>
      <c r="F458" s="44" t="s">
        <v>1691</v>
      </c>
      <c r="P458" s="44" t="s">
        <v>1692</v>
      </c>
    </row>
    <row r="459" spans="1:16">
      <c r="A459" s="44" t="s">
        <v>1693</v>
      </c>
      <c r="F459" s="44" t="s">
        <v>1694</v>
      </c>
      <c r="P459" s="44" t="s">
        <v>1695</v>
      </c>
    </row>
    <row r="460" spans="1:16">
      <c r="A460" s="44" t="s">
        <v>1696</v>
      </c>
      <c r="F460" s="44" t="s">
        <v>1697</v>
      </c>
      <c r="P460" s="44" t="s">
        <v>1698</v>
      </c>
    </row>
    <row r="461" spans="1:16">
      <c r="A461" s="44" t="s">
        <v>1699</v>
      </c>
      <c r="F461" s="44" t="s">
        <v>1700</v>
      </c>
      <c r="P461" s="44" t="s">
        <v>1701</v>
      </c>
    </row>
    <row r="462" spans="1:16">
      <c r="A462" s="44" t="s">
        <v>1702</v>
      </c>
      <c r="F462" s="44" t="s">
        <v>1703</v>
      </c>
      <c r="P462" s="44" t="s">
        <v>1704</v>
      </c>
    </row>
    <row r="463" spans="1:16">
      <c r="A463" s="44" t="s">
        <v>1705</v>
      </c>
      <c r="F463" s="44" t="s">
        <v>1706</v>
      </c>
      <c r="P463" s="44" t="s">
        <v>1707</v>
      </c>
    </row>
    <row r="464" spans="1:16">
      <c r="A464" s="44" t="s">
        <v>1708</v>
      </c>
      <c r="F464" s="44" t="s">
        <v>1709</v>
      </c>
      <c r="P464" s="44" t="s">
        <v>1710</v>
      </c>
    </row>
    <row r="465" spans="1:16">
      <c r="A465" s="44" t="s">
        <v>1711</v>
      </c>
      <c r="F465" s="44" t="s">
        <v>1712</v>
      </c>
      <c r="P465" s="44" t="s">
        <v>1713</v>
      </c>
    </row>
    <row r="466" spans="1:16">
      <c r="A466" s="44" t="s">
        <v>1714</v>
      </c>
      <c r="F466" s="44" t="s">
        <v>1715</v>
      </c>
      <c r="P466" s="44" t="s">
        <v>1716</v>
      </c>
    </row>
    <row r="467" spans="1:16">
      <c r="A467" s="44" t="s">
        <v>1717</v>
      </c>
      <c r="F467" s="44" t="s">
        <v>1718</v>
      </c>
      <c r="P467" s="44" t="s">
        <v>1719</v>
      </c>
    </row>
    <row r="468" spans="1:16">
      <c r="A468" s="44" t="s">
        <v>1720</v>
      </c>
      <c r="F468" s="44" t="s">
        <v>1721</v>
      </c>
      <c r="P468" s="44" t="s">
        <v>1722</v>
      </c>
    </row>
    <row r="469" spans="1:16">
      <c r="A469" s="44" t="s">
        <v>1723</v>
      </c>
      <c r="F469" s="44" t="s">
        <v>1724</v>
      </c>
      <c r="P469" s="44" t="s">
        <v>1725</v>
      </c>
    </row>
    <row r="470" spans="1:16">
      <c r="A470" s="44" t="s">
        <v>1726</v>
      </c>
      <c r="F470" s="44" t="s">
        <v>1727</v>
      </c>
      <c r="P470" s="44" t="s">
        <v>1728</v>
      </c>
    </row>
    <row r="471" spans="1:16">
      <c r="A471" s="44" t="s">
        <v>1729</v>
      </c>
      <c r="F471" s="44" t="s">
        <v>1730</v>
      </c>
      <c r="P471" s="44" t="s">
        <v>1731</v>
      </c>
    </row>
    <row r="472" spans="1:16">
      <c r="A472" s="44" t="s">
        <v>1732</v>
      </c>
      <c r="F472" s="44" t="s">
        <v>1733</v>
      </c>
      <c r="P472" s="44" t="s">
        <v>1734</v>
      </c>
    </row>
    <row r="473" spans="1:16">
      <c r="A473" s="44" t="s">
        <v>1735</v>
      </c>
      <c r="F473" s="44" t="s">
        <v>1736</v>
      </c>
      <c r="P473" s="44" t="s">
        <v>1737</v>
      </c>
    </row>
    <row r="474" spans="1:16">
      <c r="A474" s="44" t="s">
        <v>1738</v>
      </c>
      <c r="F474" s="44" t="s">
        <v>1739</v>
      </c>
      <c r="P474" s="44" t="s">
        <v>1740</v>
      </c>
    </row>
    <row r="475" spans="1:16">
      <c r="A475" s="44" t="s">
        <v>1741</v>
      </c>
      <c r="F475" s="44" t="s">
        <v>1742</v>
      </c>
      <c r="P475" s="44" t="s">
        <v>1743</v>
      </c>
    </row>
    <row r="476" spans="1:16">
      <c r="A476" s="44" t="s">
        <v>1744</v>
      </c>
      <c r="F476" s="44" t="s">
        <v>1745</v>
      </c>
      <c r="P476" s="44" t="s">
        <v>1746</v>
      </c>
    </row>
    <row r="477" spans="1:16">
      <c r="A477" s="44" t="s">
        <v>1747</v>
      </c>
      <c r="F477" s="44" t="s">
        <v>1748</v>
      </c>
      <c r="P477" s="44" t="s">
        <v>1749</v>
      </c>
    </row>
    <row r="478" spans="1:16">
      <c r="A478" s="44" t="s">
        <v>1750</v>
      </c>
      <c r="F478" s="44" t="s">
        <v>1751</v>
      </c>
      <c r="P478" s="44" t="s">
        <v>1752</v>
      </c>
    </row>
    <row r="479" spans="1:16">
      <c r="A479" s="44" t="s">
        <v>1753</v>
      </c>
      <c r="F479" s="44" t="s">
        <v>1754</v>
      </c>
      <c r="P479" s="44" t="s">
        <v>1755</v>
      </c>
    </row>
    <row r="480" spans="1:16">
      <c r="A480" s="44" t="s">
        <v>1756</v>
      </c>
      <c r="F480" s="44" t="s">
        <v>1757</v>
      </c>
      <c r="P480" s="44" t="s">
        <v>1758</v>
      </c>
    </row>
    <row r="481" spans="1:16">
      <c r="A481" s="44" t="s">
        <v>1759</v>
      </c>
      <c r="F481" s="44" t="s">
        <v>1760</v>
      </c>
      <c r="P481" s="44" t="s">
        <v>1761</v>
      </c>
    </row>
    <row r="482" spans="1:16">
      <c r="A482" s="44" t="s">
        <v>1762</v>
      </c>
      <c r="F482" s="44" t="s">
        <v>1763</v>
      </c>
      <c r="P482" s="44" t="s">
        <v>1764</v>
      </c>
    </row>
    <row r="483" spans="1:16">
      <c r="A483" s="44" t="s">
        <v>1765</v>
      </c>
      <c r="F483" s="44" t="s">
        <v>1766</v>
      </c>
      <c r="P483" s="44" t="s">
        <v>1767</v>
      </c>
    </row>
    <row r="484" spans="1:16">
      <c r="A484" s="44" t="s">
        <v>1768</v>
      </c>
      <c r="F484" s="44" t="s">
        <v>1769</v>
      </c>
      <c r="P484" s="44" t="s">
        <v>1770</v>
      </c>
    </row>
    <row r="485" spans="1:16">
      <c r="A485" s="44" t="s">
        <v>1771</v>
      </c>
      <c r="F485" s="44" t="s">
        <v>1772</v>
      </c>
      <c r="P485" s="44" t="s">
        <v>1773</v>
      </c>
    </row>
    <row r="486" spans="1:16">
      <c r="A486" s="44" t="s">
        <v>1774</v>
      </c>
      <c r="F486" s="44" t="s">
        <v>1775</v>
      </c>
      <c r="P486" s="44" t="s">
        <v>1776</v>
      </c>
    </row>
    <row r="487" spans="1:16">
      <c r="A487" s="44" t="s">
        <v>1777</v>
      </c>
      <c r="F487" s="44" t="s">
        <v>1778</v>
      </c>
      <c r="P487" s="44" t="s">
        <v>1779</v>
      </c>
    </row>
    <row r="488" spans="1:16">
      <c r="A488" s="44" t="s">
        <v>1780</v>
      </c>
      <c r="F488" s="44" t="s">
        <v>1781</v>
      </c>
      <c r="P488" s="44" t="s">
        <v>1782</v>
      </c>
    </row>
    <row r="489" spans="1:16">
      <c r="A489" s="44" t="s">
        <v>1783</v>
      </c>
      <c r="F489" s="44" t="s">
        <v>1784</v>
      </c>
      <c r="P489" s="44" t="s">
        <v>1785</v>
      </c>
    </row>
    <row r="490" spans="1:16">
      <c r="A490" s="44" t="s">
        <v>1786</v>
      </c>
      <c r="F490" s="44" t="s">
        <v>1787</v>
      </c>
      <c r="P490" s="44" t="s">
        <v>1788</v>
      </c>
    </row>
    <row r="491" spans="1:16">
      <c r="A491" s="44" t="s">
        <v>1789</v>
      </c>
      <c r="F491" s="44" t="s">
        <v>1790</v>
      </c>
      <c r="P491" s="44" t="s">
        <v>1791</v>
      </c>
    </row>
    <row r="492" spans="1:16">
      <c r="A492" s="44" t="s">
        <v>1792</v>
      </c>
      <c r="F492" s="44" t="s">
        <v>1793</v>
      </c>
      <c r="P492" s="44" t="s">
        <v>1794</v>
      </c>
    </row>
    <row r="493" spans="1:16">
      <c r="A493" s="44" t="s">
        <v>1795</v>
      </c>
      <c r="F493" s="44" t="s">
        <v>1796</v>
      </c>
      <c r="P493" s="44" t="s">
        <v>1797</v>
      </c>
    </row>
    <row r="494" spans="1:16">
      <c r="A494" s="44" t="s">
        <v>1798</v>
      </c>
      <c r="F494" s="44" t="s">
        <v>1799</v>
      </c>
      <c r="P494" s="44" t="s">
        <v>1800</v>
      </c>
    </row>
    <row r="495" spans="1:16">
      <c r="A495" s="44" t="s">
        <v>1801</v>
      </c>
      <c r="F495" s="44" t="s">
        <v>1802</v>
      </c>
      <c r="P495" s="44" t="s">
        <v>1803</v>
      </c>
    </row>
    <row r="496" spans="1:16">
      <c r="A496" s="44" t="s">
        <v>1804</v>
      </c>
      <c r="F496" s="44" t="s">
        <v>1805</v>
      </c>
      <c r="P496" s="44" t="s">
        <v>1806</v>
      </c>
    </row>
    <row r="497" spans="1:16">
      <c r="A497" s="44" t="s">
        <v>1807</v>
      </c>
      <c r="F497" s="44" t="s">
        <v>1808</v>
      </c>
      <c r="P497" s="44" t="s">
        <v>1809</v>
      </c>
    </row>
    <row r="498" spans="1:16">
      <c r="A498" s="44" t="s">
        <v>1810</v>
      </c>
      <c r="F498" s="44" t="s">
        <v>1811</v>
      </c>
      <c r="P498" s="44" t="s">
        <v>1812</v>
      </c>
    </row>
    <row r="499" spans="1:16">
      <c r="A499" s="44" t="s">
        <v>1813</v>
      </c>
      <c r="F499" s="44" t="s">
        <v>1814</v>
      </c>
      <c r="P499" s="44" t="s">
        <v>1815</v>
      </c>
    </row>
    <row r="500" spans="1:16">
      <c r="A500" s="44" t="s">
        <v>1816</v>
      </c>
      <c r="F500" s="44" t="s">
        <v>1817</v>
      </c>
      <c r="P500" s="44" t="s">
        <v>1818</v>
      </c>
    </row>
    <row r="501" spans="1:16">
      <c r="A501" s="44" t="s">
        <v>1819</v>
      </c>
      <c r="F501" s="44" t="s">
        <v>1820</v>
      </c>
      <c r="P501" s="44" t="s">
        <v>1821</v>
      </c>
    </row>
    <row r="502" spans="1:16">
      <c r="A502" s="44" t="s">
        <v>1822</v>
      </c>
      <c r="F502" s="44" t="s">
        <v>1823</v>
      </c>
      <c r="P502" s="44" t="s">
        <v>1824</v>
      </c>
    </row>
    <row r="503" spans="1:16">
      <c r="A503" s="44" t="s">
        <v>1825</v>
      </c>
      <c r="F503" s="44" t="s">
        <v>1826</v>
      </c>
      <c r="P503" s="44" t="s">
        <v>1827</v>
      </c>
    </row>
    <row r="504" spans="1:16">
      <c r="A504" s="44" t="s">
        <v>1828</v>
      </c>
      <c r="F504" s="44" t="s">
        <v>1829</v>
      </c>
      <c r="P504" s="44" t="s">
        <v>1830</v>
      </c>
    </row>
    <row r="505" spans="1:16">
      <c r="A505" s="44" t="s">
        <v>1831</v>
      </c>
      <c r="F505" s="44" t="s">
        <v>1832</v>
      </c>
      <c r="P505" s="44" t="s">
        <v>1833</v>
      </c>
    </row>
    <row r="506" spans="1:16">
      <c r="A506" s="44" t="s">
        <v>1834</v>
      </c>
      <c r="F506" s="44" t="s">
        <v>1835</v>
      </c>
      <c r="P506" s="44" t="s">
        <v>1836</v>
      </c>
    </row>
    <row r="507" spans="1:16">
      <c r="A507" s="44" t="s">
        <v>1837</v>
      </c>
      <c r="F507" s="44" t="s">
        <v>1838</v>
      </c>
      <c r="P507" s="44" t="s">
        <v>1839</v>
      </c>
    </row>
    <row r="508" spans="1:16">
      <c r="A508" s="44" t="s">
        <v>1840</v>
      </c>
      <c r="F508" s="44" t="s">
        <v>1841</v>
      </c>
      <c r="P508" s="44" t="s">
        <v>1842</v>
      </c>
    </row>
    <row r="509" spans="1:16">
      <c r="A509" s="44" t="s">
        <v>1843</v>
      </c>
      <c r="F509" s="44" t="s">
        <v>1844</v>
      </c>
      <c r="P509" s="44" t="s">
        <v>1845</v>
      </c>
    </row>
    <row r="510" spans="1:16">
      <c r="A510" s="44" t="s">
        <v>1846</v>
      </c>
      <c r="F510" s="44" t="s">
        <v>1847</v>
      </c>
      <c r="P510" s="44" t="s">
        <v>1848</v>
      </c>
    </row>
    <row r="511" spans="1:16">
      <c r="A511" s="44" t="s">
        <v>1849</v>
      </c>
      <c r="F511" s="44" t="s">
        <v>1850</v>
      </c>
      <c r="P511" s="44" t="s">
        <v>1851</v>
      </c>
    </row>
    <row r="512" spans="1:16">
      <c r="A512" s="44" t="s">
        <v>1852</v>
      </c>
      <c r="F512" s="44" t="s">
        <v>1853</v>
      </c>
      <c r="P512" s="44" t="s">
        <v>1854</v>
      </c>
    </row>
    <row r="513" spans="1:16">
      <c r="A513" s="44" t="s">
        <v>1855</v>
      </c>
      <c r="F513" s="44" t="s">
        <v>1856</v>
      </c>
      <c r="P513" s="44" t="s">
        <v>1857</v>
      </c>
    </row>
    <row r="514" spans="1:16">
      <c r="A514" s="44" t="s">
        <v>1858</v>
      </c>
      <c r="F514" s="44" t="s">
        <v>1859</v>
      </c>
      <c r="P514" s="44" t="s">
        <v>1860</v>
      </c>
    </row>
    <row r="515" spans="1:16">
      <c r="A515" s="44" t="s">
        <v>1861</v>
      </c>
      <c r="F515" s="44" t="s">
        <v>1862</v>
      </c>
      <c r="P515" s="44" t="s">
        <v>1863</v>
      </c>
    </row>
    <row r="516" spans="1:16">
      <c r="A516" s="44" t="s">
        <v>1864</v>
      </c>
      <c r="F516" s="44" t="s">
        <v>1865</v>
      </c>
      <c r="P516" s="44" t="s">
        <v>1866</v>
      </c>
    </row>
    <row r="517" spans="1:16">
      <c r="A517" s="44" t="s">
        <v>1867</v>
      </c>
      <c r="F517" s="44" t="s">
        <v>1868</v>
      </c>
      <c r="P517" s="44" t="s">
        <v>1869</v>
      </c>
    </row>
    <row r="518" spans="1:16">
      <c r="A518" s="44" t="s">
        <v>1870</v>
      </c>
      <c r="F518" s="44" t="s">
        <v>1871</v>
      </c>
      <c r="P518" s="44" t="s">
        <v>1872</v>
      </c>
    </row>
    <row r="519" spans="1:16">
      <c r="A519" s="44" t="s">
        <v>1873</v>
      </c>
      <c r="F519" s="44" t="s">
        <v>1874</v>
      </c>
      <c r="P519" s="44" t="s">
        <v>1875</v>
      </c>
    </row>
    <row r="520" spans="1:16">
      <c r="A520" s="44" t="s">
        <v>1876</v>
      </c>
      <c r="F520" s="44" t="s">
        <v>1877</v>
      </c>
      <c r="P520" s="44" t="s">
        <v>1878</v>
      </c>
    </row>
    <row r="521" spans="1:16">
      <c r="A521" s="44" t="s">
        <v>1879</v>
      </c>
      <c r="F521" s="44" t="s">
        <v>1880</v>
      </c>
      <c r="P521" s="44" t="s">
        <v>1881</v>
      </c>
    </row>
    <row r="522" spans="1:16">
      <c r="A522" s="44" t="s">
        <v>1882</v>
      </c>
      <c r="F522" s="44" t="s">
        <v>1883</v>
      </c>
      <c r="P522" s="44" t="s">
        <v>1884</v>
      </c>
    </row>
    <row r="523" spans="1:16">
      <c r="A523" s="44" t="s">
        <v>1885</v>
      </c>
      <c r="F523" s="44" t="s">
        <v>1886</v>
      </c>
      <c r="P523" s="44" t="s">
        <v>1887</v>
      </c>
    </row>
    <row r="524" spans="1:16">
      <c r="A524" s="44" t="s">
        <v>1888</v>
      </c>
      <c r="F524" s="44" t="s">
        <v>1889</v>
      </c>
      <c r="P524" s="44" t="s">
        <v>1890</v>
      </c>
    </row>
    <row r="525" spans="1:16">
      <c r="A525" s="44" t="s">
        <v>1891</v>
      </c>
      <c r="F525" s="44" t="s">
        <v>1892</v>
      </c>
      <c r="P525" s="44" t="s">
        <v>1893</v>
      </c>
    </row>
    <row r="526" spans="1:16">
      <c r="A526" s="44" t="s">
        <v>1894</v>
      </c>
      <c r="F526" s="44" t="s">
        <v>1895</v>
      </c>
      <c r="P526" s="44" t="s">
        <v>1896</v>
      </c>
    </row>
    <row r="527" spans="1:16">
      <c r="A527" s="44" t="s">
        <v>1897</v>
      </c>
      <c r="F527" s="44" t="s">
        <v>1898</v>
      </c>
      <c r="P527" s="44" t="s">
        <v>1899</v>
      </c>
    </row>
    <row r="528" spans="1:16">
      <c r="A528" s="44" t="s">
        <v>1900</v>
      </c>
      <c r="F528" s="44" t="s">
        <v>1901</v>
      </c>
      <c r="P528" s="44" t="s">
        <v>1902</v>
      </c>
    </row>
    <row r="529" spans="1:16">
      <c r="A529" s="44" t="s">
        <v>1903</v>
      </c>
      <c r="F529" s="44" t="s">
        <v>1904</v>
      </c>
      <c r="P529" s="44" t="s">
        <v>1905</v>
      </c>
    </row>
    <row r="530" spans="1:16">
      <c r="A530" s="44" t="s">
        <v>1906</v>
      </c>
      <c r="F530" s="44" t="s">
        <v>1907</v>
      </c>
      <c r="P530" s="44" t="s">
        <v>1908</v>
      </c>
    </row>
    <row r="531" spans="1:16">
      <c r="A531" s="44" t="s">
        <v>1909</v>
      </c>
      <c r="F531" s="44" t="s">
        <v>1910</v>
      </c>
      <c r="P531" s="44" t="s">
        <v>1911</v>
      </c>
    </row>
    <row r="532" spans="1:16">
      <c r="A532" s="44" t="s">
        <v>1912</v>
      </c>
      <c r="F532" s="44" t="s">
        <v>1913</v>
      </c>
      <c r="P532" s="44" t="s">
        <v>1914</v>
      </c>
    </row>
    <row r="533" spans="1:16">
      <c r="A533" s="44" t="s">
        <v>1915</v>
      </c>
      <c r="F533" s="44" t="s">
        <v>1916</v>
      </c>
      <c r="P533" s="44" t="s">
        <v>1917</v>
      </c>
    </row>
    <row r="534" spans="1:16">
      <c r="A534" s="44" t="s">
        <v>1918</v>
      </c>
      <c r="F534" s="44" t="s">
        <v>1919</v>
      </c>
      <c r="P534" s="44" t="s">
        <v>1920</v>
      </c>
    </row>
    <row r="535" spans="1:16">
      <c r="A535" s="44" t="s">
        <v>1921</v>
      </c>
      <c r="F535" s="44" t="s">
        <v>1922</v>
      </c>
      <c r="P535" s="44" t="s">
        <v>1923</v>
      </c>
    </row>
    <row r="536" spans="1:16">
      <c r="A536" s="44" t="s">
        <v>1924</v>
      </c>
      <c r="F536" s="44" t="s">
        <v>1925</v>
      </c>
      <c r="P536" s="44" t="s">
        <v>1926</v>
      </c>
    </row>
    <row r="537" spans="1:16">
      <c r="A537" s="44" t="s">
        <v>1927</v>
      </c>
      <c r="F537" s="44" t="s">
        <v>1928</v>
      </c>
      <c r="P537" s="44" t="s">
        <v>1929</v>
      </c>
    </row>
    <row r="538" spans="1:16">
      <c r="A538" s="44" t="s">
        <v>1930</v>
      </c>
      <c r="F538" s="44" t="s">
        <v>1931</v>
      </c>
      <c r="P538" s="44" t="s">
        <v>1932</v>
      </c>
    </row>
    <row r="539" spans="1:16">
      <c r="A539" s="44" t="s">
        <v>1933</v>
      </c>
      <c r="F539" s="44" t="s">
        <v>1934</v>
      </c>
      <c r="P539" s="44" t="s">
        <v>1935</v>
      </c>
    </row>
    <row r="540" spans="1:16">
      <c r="A540" s="44" t="s">
        <v>1936</v>
      </c>
      <c r="F540" s="44" t="s">
        <v>1937</v>
      </c>
      <c r="P540" s="44" t="s">
        <v>1938</v>
      </c>
    </row>
    <row r="541" spans="1:16">
      <c r="A541" s="44" t="s">
        <v>1939</v>
      </c>
      <c r="F541" s="44" t="s">
        <v>1940</v>
      </c>
      <c r="P541" s="44" t="s">
        <v>1941</v>
      </c>
    </row>
    <row r="542" spans="1:16">
      <c r="A542" s="44" t="s">
        <v>1942</v>
      </c>
      <c r="F542" s="44" t="s">
        <v>1943</v>
      </c>
      <c r="P542" s="44" t="s">
        <v>1944</v>
      </c>
    </row>
    <row r="543" spans="1:16">
      <c r="A543" s="44" t="s">
        <v>1945</v>
      </c>
      <c r="F543" s="44" t="s">
        <v>1946</v>
      </c>
      <c r="P543" s="44" t="s">
        <v>1947</v>
      </c>
    </row>
    <row r="544" spans="1:16">
      <c r="A544" s="44" t="s">
        <v>1948</v>
      </c>
      <c r="F544" s="44" t="s">
        <v>1949</v>
      </c>
      <c r="P544" s="44" t="s">
        <v>1950</v>
      </c>
    </row>
    <row r="545" spans="1:16">
      <c r="A545" s="44" t="s">
        <v>1951</v>
      </c>
      <c r="F545" s="44" t="s">
        <v>1952</v>
      </c>
      <c r="P545" s="44" t="s">
        <v>1953</v>
      </c>
    </row>
    <row r="546" spans="1:16">
      <c r="A546" s="44" t="s">
        <v>1954</v>
      </c>
      <c r="F546" s="44" t="s">
        <v>1955</v>
      </c>
      <c r="P546" s="44" t="s">
        <v>1956</v>
      </c>
    </row>
    <row r="547" spans="1:16">
      <c r="A547" s="44" t="s">
        <v>1957</v>
      </c>
      <c r="F547" s="44" t="s">
        <v>1958</v>
      </c>
      <c r="P547" s="44" t="s">
        <v>1959</v>
      </c>
    </row>
    <row r="548" spans="1:16">
      <c r="A548" s="44" t="s">
        <v>1960</v>
      </c>
      <c r="F548" s="44" t="s">
        <v>1961</v>
      </c>
      <c r="P548" s="44" t="s">
        <v>1956</v>
      </c>
    </row>
    <row r="549" spans="1:16">
      <c r="A549" s="44" t="s">
        <v>1962</v>
      </c>
      <c r="F549" s="44" t="s">
        <v>1963</v>
      </c>
      <c r="P549" s="44" t="s">
        <v>1964</v>
      </c>
    </row>
    <row r="550" spans="1:16">
      <c r="A550" s="44" t="s">
        <v>1965</v>
      </c>
      <c r="F550" s="44" t="s">
        <v>1966</v>
      </c>
      <c r="P550" s="44" t="s">
        <v>1967</v>
      </c>
    </row>
    <row r="551" spans="1:16">
      <c r="A551" s="44" t="s">
        <v>1968</v>
      </c>
      <c r="F551" s="44" t="s">
        <v>1969</v>
      </c>
      <c r="P551" s="44" t="s">
        <v>1970</v>
      </c>
    </row>
    <row r="552" spans="1:16">
      <c r="A552" s="44" t="s">
        <v>1971</v>
      </c>
      <c r="F552" s="44" t="s">
        <v>1972</v>
      </c>
      <c r="P552" s="44" t="s">
        <v>1973</v>
      </c>
    </row>
    <row r="553" spans="1:16">
      <c r="A553" s="44" t="s">
        <v>1974</v>
      </c>
      <c r="F553" s="44" t="s">
        <v>1975</v>
      </c>
      <c r="P553" s="44" t="s">
        <v>1976</v>
      </c>
    </row>
    <row r="554" spans="1:16">
      <c r="A554" s="44" t="s">
        <v>1977</v>
      </c>
      <c r="F554" s="44" t="s">
        <v>1978</v>
      </c>
      <c r="P554" s="44" t="s">
        <v>1979</v>
      </c>
    </row>
    <row r="555" spans="1:16">
      <c r="A555" s="44" t="s">
        <v>1980</v>
      </c>
      <c r="F555" s="44" t="s">
        <v>1981</v>
      </c>
      <c r="P555" s="44" t="s">
        <v>1982</v>
      </c>
    </row>
    <row r="556" spans="1:16">
      <c r="A556" s="44" t="s">
        <v>1983</v>
      </c>
      <c r="F556" s="44" t="s">
        <v>1984</v>
      </c>
      <c r="P556" s="44" t="s">
        <v>1985</v>
      </c>
    </row>
    <row r="557" spans="1:16">
      <c r="A557" s="44" t="s">
        <v>1986</v>
      </c>
      <c r="F557" s="44" t="s">
        <v>1987</v>
      </c>
      <c r="P557" s="44" t="s">
        <v>1988</v>
      </c>
    </row>
    <row r="558" spans="1:16">
      <c r="A558" s="44" t="s">
        <v>1989</v>
      </c>
      <c r="F558" s="44" t="s">
        <v>1990</v>
      </c>
      <c r="P558" s="44" t="s">
        <v>1991</v>
      </c>
    </row>
    <row r="559" spans="1:16">
      <c r="A559" s="44" t="s">
        <v>1992</v>
      </c>
      <c r="F559" s="44" t="s">
        <v>1993</v>
      </c>
      <c r="P559" s="44" t="s">
        <v>1988</v>
      </c>
    </row>
    <row r="560" spans="1:16">
      <c r="A560" s="44" t="s">
        <v>1994</v>
      </c>
      <c r="F560" s="44" t="s">
        <v>1995</v>
      </c>
      <c r="P560" s="44" t="s">
        <v>1996</v>
      </c>
    </row>
    <row r="561" spans="1:16">
      <c r="A561" s="44" t="s">
        <v>1997</v>
      </c>
      <c r="F561" s="44" t="s">
        <v>1998</v>
      </c>
      <c r="P561" s="44" t="s">
        <v>1999</v>
      </c>
    </row>
    <row r="562" spans="1:16">
      <c r="A562" s="44" t="s">
        <v>2000</v>
      </c>
      <c r="F562" s="44" t="s">
        <v>2001</v>
      </c>
      <c r="P562" s="44" t="s">
        <v>2002</v>
      </c>
    </row>
    <row r="563" spans="1:16">
      <c r="A563" s="44" t="s">
        <v>2003</v>
      </c>
      <c r="F563" s="44" t="s">
        <v>2004</v>
      </c>
      <c r="P563" s="44" t="s">
        <v>2005</v>
      </c>
    </row>
    <row r="564" spans="1:16">
      <c r="A564" s="44" t="s">
        <v>2006</v>
      </c>
      <c r="F564" s="44" t="s">
        <v>2007</v>
      </c>
      <c r="P564" s="44" t="s">
        <v>2008</v>
      </c>
    </row>
    <row r="565" spans="1:16">
      <c r="A565" s="44" t="s">
        <v>2009</v>
      </c>
      <c r="F565" s="44" t="s">
        <v>2010</v>
      </c>
      <c r="P565" s="44" t="s">
        <v>2011</v>
      </c>
    </row>
    <row r="566" spans="1:16">
      <c r="A566" s="44" t="s">
        <v>2012</v>
      </c>
      <c r="F566" s="44" t="s">
        <v>2013</v>
      </c>
      <c r="P566" s="44" t="s">
        <v>2014</v>
      </c>
    </row>
    <row r="567" spans="1:16">
      <c r="A567" s="44" t="s">
        <v>2015</v>
      </c>
      <c r="F567" s="44" t="s">
        <v>2016</v>
      </c>
      <c r="P567" s="44" t="s">
        <v>2017</v>
      </c>
    </row>
    <row r="568" spans="1:16">
      <c r="A568" s="44" t="s">
        <v>2018</v>
      </c>
      <c r="F568" s="44" t="s">
        <v>2019</v>
      </c>
      <c r="P568" s="44" t="s">
        <v>2020</v>
      </c>
    </row>
    <row r="569" spans="1:16">
      <c r="A569" s="44" t="s">
        <v>2021</v>
      </c>
      <c r="F569" s="44" t="s">
        <v>2022</v>
      </c>
      <c r="P569" s="44" t="s">
        <v>2023</v>
      </c>
    </row>
    <row r="570" spans="1:16">
      <c r="A570" s="44" t="s">
        <v>2024</v>
      </c>
      <c r="F570" s="44" t="s">
        <v>2025</v>
      </c>
      <c r="P570" s="44" t="s">
        <v>2020</v>
      </c>
    </row>
    <row r="571" spans="1:16">
      <c r="A571" s="44" t="s">
        <v>2026</v>
      </c>
      <c r="F571" s="44" t="s">
        <v>2027</v>
      </c>
      <c r="P571" s="44" t="s">
        <v>2028</v>
      </c>
    </row>
    <row r="572" spans="1:16">
      <c r="A572" s="44" t="s">
        <v>2029</v>
      </c>
      <c r="F572" s="44" t="s">
        <v>2030</v>
      </c>
      <c r="P572" s="44" t="s">
        <v>2031</v>
      </c>
    </row>
    <row r="573" spans="1:16">
      <c r="A573" s="44" t="s">
        <v>2032</v>
      </c>
      <c r="F573" s="44" t="s">
        <v>2033</v>
      </c>
      <c r="P573" s="44" t="s">
        <v>2034</v>
      </c>
    </row>
    <row r="574" spans="1:16">
      <c r="A574" s="44" t="s">
        <v>2035</v>
      </c>
      <c r="F574" s="44" t="s">
        <v>2036</v>
      </c>
      <c r="P574" s="44" t="s">
        <v>2037</v>
      </c>
    </row>
    <row r="575" spans="1:16">
      <c r="A575" s="44" t="s">
        <v>2038</v>
      </c>
      <c r="F575" s="44" t="s">
        <v>2039</v>
      </c>
      <c r="P575" s="44" t="s">
        <v>2040</v>
      </c>
    </row>
    <row r="576" spans="1:16">
      <c r="A576" s="44" t="s">
        <v>2041</v>
      </c>
      <c r="F576" s="44" t="s">
        <v>2042</v>
      </c>
      <c r="P576" s="44" t="s">
        <v>2043</v>
      </c>
    </row>
    <row r="577" spans="1:16">
      <c r="A577" s="44" t="s">
        <v>2044</v>
      </c>
      <c r="F577" s="44" t="s">
        <v>2045</v>
      </c>
      <c r="P577" s="44" t="s">
        <v>2046</v>
      </c>
    </row>
    <row r="578" spans="1:16">
      <c r="A578" s="44" t="s">
        <v>2047</v>
      </c>
      <c r="F578" s="44" t="s">
        <v>2048</v>
      </c>
      <c r="P578" s="44" t="s">
        <v>2049</v>
      </c>
    </row>
    <row r="579" spans="1:16">
      <c r="A579" s="44" t="s">
        <v>2050</v>
      </c>
      <c r="F579" s="44" t="s">
        <v>2051</v>
      </c>
      <c r="P579" s="44" t="s">
        <v>2052</v>
      </c>
    </row>
    <row r="580" spans="1:16">
      <c r="A580" s="44" t="s">
        <v>2053</v>
      </c>
      <c r="F580" s="44" t="s">
        <v>2054</v>
      </c>
      <c r="P580" s="44" t="s">
        <v>2055</v>
      </c>
    </row>
    <row r="581" spans="1:16">
      <c r="A581" s="44" t="s">
        <v>2056</v>
      </c>
      <c r="F581" s="44" t="s">
        <v>2057</v>
      </c>
      <c r="P581" s="44" t="s">
        <v>2052</v>
      </c>
    </row>
    <row r="582" spans="1:16">
      <c r="A582" s="44" t="s">
        <v>2058</v>
      </c>
      <c r="F582" s="44" t="s">
        <v>2059</v>
      </c>
      <c r="P582" s="44" t="s">
        <v>2060</v>
      </c>
    </row>
    <row r="583" spans="1:16">
      <c r="A583" s="44" t="s">
        <v>2061</v>
      </c>
      <c r="F583" s="44" t="s">
        <v>2062</v>
      </c>
      <c r="P583" s="44" t="s">
        <v>2063</v>
      </c>
    </row>
    <row r="584" spans="1:16">
      <c r="A584" s="44" t="s">
        <v>2064</v>
      </c>
      <c r="F584" s="44" t="s">
        <v>2065</v>
      </c>
      <c r="P584" s="44" t="s">
        <v>2066</v>
      </c>
    </row>
    <row r="585" spans="1:16">
      <c r="A585" s="44" t="s">
        <v>2067</v>
      </c>
      <c r="F585" s="44" t="s">
        <v>2068</v>
      </c>
      <c r="P585" s="44" t="s">
        <v>2069</v>
      </c>
    </row>
    <row r="586" spans="1:16">
      <c r="A586" s="44" t="s">
        <v>2070</v>
      </c>
      <c r="F586" s="44" t="s">
        <v>2071</v>
      </c>
      <c r="P586" s="44" t="s">
        <v>2072</v>
      </c>
    </row>
    <row r="587" spans="1:16">
      <c r="A587" s="44" t="s">
        <v>2073</v>
      </c>
      <c r="F587" s="44" t="s">
        <v>2074</v>
      </c>
      <c r="P587" s="44" t="s">
        <v>2075</v>
      </c>
    </row>
    <row r="588" spans="1:16">
      <c r="A588" s="44" t="s">
        <v>2076</v>
      </c>
      <c r="F588" s="44" t="s">
        <v>2077</v>
      </c>
      <c r="P588" s="44" t="s">
        <v>2078</v>
      </c>
    </row>
    <row r="589" spans="1:16">
      <c r="A589" s="44" t="s">
        <v>2079</v>
      </c>
      <c r="F589" s="44" t="s">
        <v>2080</v>
      </c>
      <c r="P589" s="44" t="s">
        <v>2081</v>
      </c>
    </row>
    <row r="590" spans="1:16">
      <c r="A590" s="44" t="s">
        <v>2082</v>
      </c>
      <c r="F590" s="44" t="s">
        <v>2083</v>
      </c>
      <c r="P590" s="44" t="s">
        <v>2084</v>
      </c>
    </row>
    <row r="591" spans="1:16">
      <c r="A591" s="44" t="s">
        <v>2085</v>
      </c>
      <c r="F591" s="44" t="s">
        <v>2086</v>
      </c>
      <c r="P591" s="44" t="s">
        <v>2087</v>
      </c>
    </row>
    <row r="592" spans="1:16">
      <c r="A592" s="44" t="s">
        <v>2088</v>
      </c>
      <c r="F592" s="44" t="s">
        <v>2089</v>
      </c>
      <c r="P592" s="44" t="s">
        <v>2084</v>
      </c>
    </row>
    <row r="593" spans="1:16">
      <c r="A593" s="44" t="s">
        <v>2090</v>
      </c>
      <c r="F593" s="44" t="s">
        <v>2091</v>
      </c>
      <c r="P593" s="44" t="s">
        <v>2092</v>
      </c>
    </row>
    <row r="594" spans="1:16">
      <c r="A594" s="44" t="s">
        <v>2093</v>
      </c>
      <c r="F594" s="44" t="s">
        <v>2094</v>
      </c>
      <c r="P594" s="44" t="s">
        <v>2095</v>
      </c>
    </row>
    <row r="595" spans="1:16">
      <c r="A595" s="44" t="s">
        <v>2096</v>
      </c>
      <c r="F595" s="44" t="s">
        <v>2097</v>
      </c>
      <c r="P595" s="44" t="s">
        <v>2098</v>
      </c>
    </row>
    <row r="596" spans="1:16">
      <c r="A596" s="44" t="s">
        <v>2099</v>
      </c>
      <c r="F596" s="44" t="s">
        <v>2100</v>
      </c>
      <c r="P596" s="44" t="s">
        <v>2101</v>
      </c>
    </row>
    <row r="597" spans="1:16">
      <c r="A597" s="44" t="s">
        <v>2102</v>
      </c>
      <c r="F597" s="44" t="s">
        <v>2103</v>
      </c>
      <c r="P597" s="44" t="s">
        <v>2104</v>
      </c>
    </row>
    <row r="598" spans="1:16">
      <c r="A598" s="44" t="s">
        <v>2105</v>
      </c>
      <c r="F598" s="44" t="s">
        <v>2106</v>
      </c>
      <c r="P598" s="44" t="s">
        <v>2107</v>
      </c>
    </row>
    <row r="599" spans="1:16">
      <c r="A599" s="44" t="s">
        <v>2108</v>
      </c>
      <c r="F599" s="44" t="s">
        <v>2109</v>
      </c>
      <c r="P599" s="44" t="s">
        <v>2110</v>
      </c>
    </row>
    <row r="600" spans="1:16">
      <c r="A600" s="44" t="s">
        <v>2111</v>
      </c>
      <c r="F600" s="44" t="s">
        <v>2112</v>
      </c>
      <c r="P600" s="44" t="s">
        <v>2113</v>
      </c>
    </row>
    <row r="601" spans="1:16">
      <c r="A601" s="44" t="s">
        <v>2114</v>
      </c>
      <c r="F601" s="44" t="s">
        <v>2115</v>
      </c>
      <c r="P601" s="44" t="s">
        <v>2116</v>
      </c>
    </row>
    <row r="602" spans="1:16">
      <c r="A602" s="44" t="s">
        <v>2117</v>
      </c>
      <c r="F602" s="44" t="s">
        <v>2118</v>
      </c>
      <c r="P602" s="44" t="s">
        <v>2119</v>
      </c>
    </row>
    <row r="603" spans="1:16">
      <c r="A603" s="44" t="s">
        <v>2120</v>
      </c>
      <c r="F603" s="44" t="s">
        <v>2121</v>
      </c>
      <c r="P603" s="44" t="s">
        <v>2122</v>
      </c>
    </row>
    <row r="604" spans="1:16">
      <c r="A604" s="44" t="s">
        <v>2123</v>
      </c>
      <c r="F604" s="44" t="s">
        <v>2124</v>
      </c>
      <c r="P604" s="44" t="s">
        <v>2125</v>
      </c>
    </row>
    <row r="605" spans="1:16">
      <c r="A605" s="44" t="s">
        <v>2126</v>
      </c>
      <c r="F605" s="44" t="s">
        <v>2127</v>
      </c>
      <c r="P605" s="44" t="s">
        <v>2128</v>
      </c>
    </row>
    <row r="606" spans="1:16">
      <c r="A606" s="44" t="s">
        <v>2129</v>
      </c>
      <c r="F606" s="44" t="s">
        <v>2130</v>
      </c>
      <c r="P606" s="44" t="s">
        <v>2131</v>
      </c>
    </row>
    <row r="607" spans="1:16">
      <c r="A607" s="44" t="s">
        <v>2132</v>
      </c>
      <c r="F607" s="44" t="s">
        <v>2133</v>
      </c>
      <c r="P607" s="44" t="s">
        <v>2134</v>
      </c>
    </row>
    <row r="608" spans="1:16">
      <c r="A608" s="44" t="s">
        <v>2135</v>
      </c>
      <c r="F608" s="44" t="s">
        <v>2136</v>
      </c>
      <c r="P608" s="44" t="s">
        <v>2137</v>
      </c>
    </row>
    <row r="609" spans="1:16">
      <c r="A609" s="44" t="s">
        <v>2138</v>
      </c>
      <c r="F609" s="44" t="s">
        <v>2139</v>
      </c>
      <c r="P609" s="44" t="s">
        <v>2140</v>
      </c>
    </row>
    <row r="610" spans="1:16">
      <c r="A610" s="44" t="s">
        <v>2141</v>
      </c>
      <c r="F610" s="44" t="s">
        <v>2142</v>
      </c>
      <c r="P610" s="44" t="s">
        <v>2143</v>
      </c>
    </row>
    <row r="611" spans="1:16">
      <c r="A611" s="44" t="s">
        <v>2144</v>
      </c>
      <c r="F611" s="44" t="s">
        <v>2145</v>
      </c>
      <c r="P611" s="44" t="s">
        <v>2146</v>
      </c>
    </row>
    <row r="612" spans="1:16">
      <c r="A612" s="44" t="s">
        <v>2147</v>
      </c>
      <c r="F612" s="44" t="s">
        <v>2148</v>
      </c>
      <c r="P612" s="44" t="s">
        <v>2149</v>
      </c>
    </row>
    <row r="613" spans="1:16">
      <c r="A613" s="44" t="s">
        <v>2150</v>
      </c>
      <c r="F613" s="44" t="s">
        <v>2151</v>
      </c>
      <c r="P613" s="44" t="s">
        <v>2152</v>
      </c>
    </row>
    <row r="614" spans="1:16">
      <c r="A614" s="44" t="s">
        <v>2153</v>
      </c>
      <c r="F614" s="44" t="s">
        <v>2154</v>
      </c>
      <c r="P614" s="44" t="s">
        <v>2155</v>
      </c>
    </row>
    <row r="615" spans="1:16">
      <c r="A615" s="44" t="s">
        <v>2156</v>
      </c>
      <c r="F615" s="44" t="s">
        <v>2157</v>
      </c>
      <c r="P615" s="44" t="s">
        <v>2158</v>
      </c>
    </row>
    <row r="616" spans="1:16">
      <c r="A616" s="44" t="s">
        <v>2159</v>
      </c>
      <c r="F616" s="44" t="s">
        <v>2160</v>
      </c>
      <c r="P616" s="44" t="s">
        <v>2161</v>
      </c>
    </row>
    <row r="617" spans="1:16">
      <c r="A617" s="44" t="s">
        <v>2162</v>
      </c>
      <c r="F617" s="44" t="s">
        <v>2163</v>
      </c>
      <c r="P617" s="44" t="s">
        <v>2164</v>
      </c>
    </row>
    <row r="618" spans="1:16">
      <c r="A618" s="44" t="s">
        <v>2165</v>
      </c>
      <c r="F618" s="44" t="s">
        <v>2166</v>
      </c>
      <c r="P618" s="44" t="s">
        <v>2167</v>
      </c>
    </row>
    <row r="619" spans="1:16">
      <c r="A619" s="44" t="s">
        <v>2168</v>
      </c>
      <c r="F619" s="44" t="s">
        <v>2169</v>
      </c>
      <c r="P619" s="44" t="s">
        <v>2170</v>
      </c>
    </row>
    <row r="620" spans="1:16">
      <c r="A620" s="44" t="s">
        <v>2171</v>
      </c>
      <c r="F620" s="44" t="s">
        <v>2172</v>
      </c>
      <c r="P620" s="44" t="s">
        <v>2173</v>
      </c>
    </row>
    <row r="621" spans="1:16">
      <c r="A621" s="44" t="s">
        <v>2174</v>
      </c>
      <c r="F621" s="44" t="s">
        <v>2175</v>
      </c>
      <c r="P621" s="44" t="s">
        <v>2176</v>
      </c>
    </row>
    <row r="622" spans="1:16">
      <c r="A622" s="44" t="s">
        <v>2177</v>
      </c>
      <c r="F622" s="44" t="s">
        <v>2178</v>
      </c>
      <c r="P622" s="44" t="s">
        <v>2179</v>
      </c>
    </row>
    <row r="623" spans="1:16">
      <c r="A623" s="44" t="s">
        <v>2180</v>
      </c>
      <c r="F623" s="44" t="s">
        <v>2181</v>
      </c>
      <c r="P623" s="44" t="s">
        <v>2182</v>
      </c>
    </row>
    <row r="624" spans="1:16">
      <c r="A624" s="44" t="s">
        <v>2183</v>
      </c>
      <c r="F624" s="44" t="s">
        <v>2184</v>
      </c>
      <c r="P624" s="44" t="s">
        <v>2185</v>
      </c>
    </row>
    <row r="625" spans="1:16">
      <c r="A625" s="44" t="s">
        <v>2186</v>
      </c>
      <c r="F625" s="44" t="s">
        <v>2187</v>
      </c>
      <c r="P625" s="44" t="s">
        <v>2188</v>
      </c>
    </row>
    <row r="626" spans="1:16">
      <c r="A626" s="44" t="s">
        <v>2189</v>
      </c>
      <c r="F626" s="44" t="s">
        <v>2190</v>
      </c>
      <c r="P626" s="44" t="s">
        <v>2191</v>
      </c>
    </row>
    <row r="627" spans="1:16">
      <c r="A627" s="44" t="s">
        <v>2192</v>
      </c>
      <c r="F627" s="44" t="s">
        <v>2193</v>
      </c>
      <c r="P627" s="44" t="s">
        <v>2194</v>
      </c>
    </row>
    <row r="628" spans="1:16">
      <c r="A628" s="44" t="s">
        <v>2195</v>
      </c>
      <c r="F628" s="44" t="s">
        <v>2196</v>
      </c>
      <c r="P628" s="44" t="s">
        <v>2197</v>
      </c>
    </row>
    <row r="629" spans="1:16">
      <c r="A629" s="44" t="s">
        <v>2198</v>
      </c>
      <c r="F629" s="44" t="s">
        <v>2199</v>
      </c>
      <c r="P629" s="44" t="s">
        <v>2200</v>
      </c>
    </row>
    <row r="630" spans="1:16">
      <c r="A630" s="44" t="s">
        <v>2201</v>
      </c>
      <c r="F630" s="44" t="s">
        <v>2202</v>
      </c>
      <c r="P630" s="44" t="s">
        <v>2203</v>
      </c>
    </row>
    <row r="631" spans="1:16">
      <c r="A631" s="44" t="s">
        <v>2204</v>
      </c>
      <c r="F631" s="44" t="s">
        <v>2205</v>
      </c>
      <c r="P631" s="44" t="s">
        <v>2206</v>
      </c>
    </row>
    <row r="632" spans="1:16">
      <c r="A632" s="44" t="s">
        <v>2207</v>
      </c>
      <c r="F632" s="44" t="s">
        <v>2208</v>
      </c>
      <c r="P632" s="44" t="s">
        <v>2209</v>
      </c>
    </row>
    <row r="633" spans="1:16">
      <c r="A633" s="44" t="s">
        <v>2210</v>
      </c>
      <c r="F633" s="44" t="s">
        <v>2211</v>
      </c>
      <c r="P633" s="44" t="s">
        <v>2212</v>
      </c>
    </row>
    <row r="634" spans="1:16">
      <c r="A634" s="44" t="s">
        <v>2213</v>
      </c>
      <c r="F634" s="44" t="s">
        <v>2214</v>
      </c>
      <c r="P634" s="44" t="s">
        <v>2215</v>
      </c>
    </row>
    <row r="635" spans="1:16">
      <c r="A635" s="44" t="s">
        <v>2216</v>
      </c>
      <c r="F635" s="44" t="s">
        <v>2217</v>
      </c>
      <c r="P635" s="44" t="s">
        <v>2218</v>
      </c>
    </row>
    <row r="636" spans="1:16">
      <c r="A636" s="44" t="s">
        <v>2219</v>
      </c>
      <c r="F636" s="44" t="s">
        <v>2220</v>
      </c>
      <c r="P636" s="44" t="s">
        <v>2221</v>
      </c>
    </row>
    <row r="637" spans="1:16">
      <c r="A637" s="44" t="s">
        <v>2222</v>
      </c>
      <c r="F637" s="44" t="s">
        <v>2223</v>
      </c>
      <c r="P637" s="44" t="s">
        <v>2224</v>
      </c>
    </row>
    <row r="638" spans="1:16">
      <c r="A638" s="44" t="s">
        <v>2225</v>
      </c>
      <c r="F638" s="44" t="s">
        <v>2226</v>
      </c>
      <c r="P638" s="44" t="s">
        <v>2227</v>
      </c>
    </row>
    <row r="639" spans="1:16">
      <c r="A639" s="44" t="s">
        <v>2228</v>
      </c>
      <c r="F639" s="44" t="s">
        <v>2229</v>
      </c>
      <c r="P639" s="44" t="s">
        <v>2230</v>
      </c>
    </row>
    <row r="640" spans="1:16">
      <c r="A640" s="44" t="s">
        <v>2231</v>
      </c>
      <c r="F640" s="44" t="s">
        <v>2232</v>
      </c>
      <c r="P640" s="44" t="s">
        <v>2233</v>
      </c>
    </row>
    <row r="641" spans="1:16">
      <c r="A641" s="44" t="s">
        <v>2234</v>
      </c>
      <c r="F641" s="44" t="s">
        <v>2235</v>
      </c>
      <c r="P641" s="44" t="s">
        <v>2236</v>
      </c>
    </row>
    <row r="642" spans="1:16">
      <c r="A642" s="44" t="s">
        <v>2237</v>
      </c>
      <c r="F642" s="44" t="s">
        <v>2238</v>
      </c>
      <c r="P642" s="44" t="s">
        <v>2239</v>
      </c>
    </row>
    <row r="643" spans="1:16">
      <c r="A643" s="44" t="s">
        <v>2240</v>
      </c>
      <c r="F643" s="44" t="s">
        <v>2241</v>
      </c>
      <c r="P643" s="44" t="s">
        <v>2242</v>
      </c>
    </row>
    <row r="644" spans="1:16">
      <c r="A644" s="44" t="s">
        <v>2243</v>
      </c>
      <c r="F644" s="44" t="s">
        <v>2244</v>
      </c>
      <c r="P644" s="44" t="s">
        <v>2245</v>
      </c>
    </row>
    <row r="645" spans="1:16">
      <c r="A645" s="44" t="s">
        <v>2246</v>
      </c>
      <c r="F645" s="44" t="s">
        <v>2247</v>
      </c>
      <c r="P645" s="44" t="s">
        <v>2248</v>
      </c>
    </row>
    <row r="646" spans="1:16">
      <c r="A646" s="44" t="s">
        <v>2249</v>
      </c>
      <c r="F646" s="44" t="s">
        <v>2250</v>
      </c>
      <c r="P646" s="44" t="s">
        <v>2251</v>
      </c>
    </row>
    <row r="647" spans="1:16">
      <c r="A647" s="44" t="s">
        <v>2252</v>
      </c>
      <c r="F647" s="44" t="s">
        <v>2253</v>
      </c>
      <c r="P647" s="44" t="s">
        <v>2254</v>
      </c>
    </row>
    <row r="648" spans="1:16">
      <c r="A648" s="44" t="s">
        <v>2255</v>
      </c>
      <c r="F648" s="44" t="s">
        <v>2256</v>
      </c>
      <c r="P648" s="44" t="s">
        <v>2257</v>
      </c>
    </row>
    <row r="649" spans="1:16">
      <c r="A649" s="44" t="s">
        <v>2258</v>
      </c>
      <c r="F649" s="44" t="s">
        <v>2259</v>
      </c>
      <c r="P649" s="44" t="s">
        <v>2260</v>
      </c>
    </row>
    <row r="650" spans="1:16">
      <c r="A650" s="44" t="s">
        <v>2261</v>
      </c>
      <c r="F650" s="44" t="s">
        <v>2262</v>
      </c>
      <c r="P650" s="44" t="s">
        <v>2263</v>
      </c>
    </row>
    <row r="651" spans="1:16">
      <c r="A651" s="44" t="s">
        <v>2264</v>
      </c>
      <c r="F651" s="44" t="s">
        <v>2265</v>
      </c>
      <c r="P651" s="44" t="s">
        <v>2266</v>
      </c>
    </row>
    <row r="652" spans="1:16">
      <c r="A652" s="44" t="s">
        <v>2267</v>
      </c>
      <c r="F652" s="44" t="s">
        <v>2268</v>
      </c>
      <c r="P652" s="44" t="s">
        <v>2269</v>
      </c>
    </row>
    <row r="653" spans="1:16">
      <c r="A653" s="44" t="s">
        <v>2270</v>
      </c>
      <c r="F653" s="44" t="s">
        <v>2271</v>
      </c>
      <c r="P653" s="44" t="s">
        <v>2272</v>
      </c>
    </row>
    <row r="654" spans="1:16">
      <c r="A654" s="44" t="s">
        <v>2273</v>
      </c>
      <c r="F654" s="44" t="s">
        <v>2274</v>
      </c>
      <c r="P654" s="44" t="s">
        <v>2275</v>
      </c>
    </row>
    <row r="655" spans="1:16">
      <c r="A655" s="44" t="s">
        <v>2276</v>
      </c>
      <c r="F655" s="44" t="s">
        <v>2277</v>
      </c>
      <c r="P655" s="44" t="s">
        <v>2278</v>
      </c>
    </row>
    <row r="656" spans="1:16">
      <c r="A656" s="44" t="s">
        <v>2279</v>
      </c>
      <c r="F656" s="44" t="s">
        <v>2280</v>
      </c>
      <c r="P656" s="44" t="s">
        <v>2281</v>
      </c>
    </row>
    <row r="657" spans="1:16">
      <c r="A657" s="44" t="s">
        <v>2282</v>
      </c>
      <c r="F657" s="44" t="s">
        <v>2283</v>
      </c>
      <c r="P657" s="44" t="s">
        <v>2284</v>
      </c>
    </row>
    <row r="658" spans="1:16">
      <c r="A658" s="44" t="s">
        <v>2285</v>
      </c>
      <c r="F658" s="44" t="s">
        <v>2286</v>
      </c>
      <c r="P658" s="44" t="s">
        <v>2281</v>
      </c>
    </row>
    <row r="659" spans="1:16">
      <c r="A659" s="44" t="s">
        <v>2287</v>
      </c>
      <c r="F659" s="44" t="s">
        <v>2288</v>
      </c>
      <c r="P659" s="44" t="s">
        <v>2289</v>
      </c>
    </row>
    <row r="660" spans="1:16">
      <c r="A660" s="44" t="s">
        <v>2290</v>
      </c>
      <c r="F660" s="44" t="s">
        <v>2291</v>
      </c>
      <c r="P660" s="44" t="s">
        <v>2292</v>
      </c>
    </row>
    <row r="661" spans="1:16">
      <c r="A661" s="44" t="s">
        <v>2293</v>
      </c>
      <c r="F661" s="44" t="s">
        <v>2294</v>
      </c>
      <c r="P661" s="44" t="s">
        <v>2295</v>
      </c>
    </row>
    <row r="662" spans="1:16">
      <c r="A662" s="44" t="s">
        <v>2296</v>
      </c>
      <c r="F662" s="44" t="s">
        <v>2297</v>
      </c>
      <c r="P662" s="44" t="s">
        <v>2298</v>
      </c>
    </row>
    <row r="663" spans="1:16">
      <c r="A663" s="44" t="s">
        <v>2299</v>
      </c>
      <c r="F663" s="44" t="s">
        <v>2300</v>
      </c>
      <c r="P663" s="44" t="s">
        <v>2301</v>
      </c>
    </row>
    <row r="664" spans="1:16">
      <c r="A664" s="44" t="s">
        <v>2302</v>
      </c>
      <c r="F664" s="44" t="s">
        <v>2303</v>
      </c>
      <c r="P664" s="44" t="s">
        <v>2304</v>
      </c>
    </row>
    <row r="665" spans="1:16">
      <c r="A665" s="44" t="s">
        <v>2305</v>
      </c>
      <c r="F665" s="44" t="s">
        <v>2306</v>
      </c>
      <c r="P665" s="44" t="s">
        <v>2307</v>
      </c>
    </row>
    <row r="666" spans="1:16">
      <c r="A666" s="44" t="s">
        <v>2308</v>
      </c>
      <c r="F666" s="44" t="s">
        <v>2309</v>
      </c>
      <c r="P666" s="44" t="s">
        <v>2310</v>
      </c>
    </row>
    <row r="667" spans="1:16">
      <c r="A667" s="44" t="s">
        <v>2311</v>
      </c>
      <c r="F667" s="44" t="s">
        <v>2312</v>
      </c>
      <c r="P667" s="44" t="s">
        <v>2313</v>
      </c>
    </row>
    <row r="668" spans="1:16">
      <c r="A668" s="44" t="s">
        <v>2314</v>
      </c>
      <c r="F668" s="44" t="s">
        <v>2315</v>
      </c>
      <c r="P668" s="44" t="s">
        <v>2316</v>
      </c>
    </row>
    <row r="669" spans="1:16">
      <c r="A669" s="44" t="s">
        <v>2317</v>
      </c>
      <c r="F669" s="44" t="s">
        <v>2318</v>
      </c>
      <c r="P669" s="44" t="s">
        <v>2319</v>
      </c>
    </row>
    <row r="670" spans="1:16">
      <c r="A670" s="44" t="s">
        <v>2320</v>
      </c>
      <c r="F670" s="44" t="s">
        <v>2321</v>
      </c>
      <c r="P670" s="44" t="s">
        <v>2322</v>
      </c>
    </row>
    <row r="671" spans="1:16">
      <c r="A671" s="44" t="s">
        <v>2323</v>
      </c>
      <c r="F671" s="44" t="s">
        <v>2324</v>
      </c>
      <c r="P671" s="44" t="s">
        <v>2325</v>
      </c>
    </row>
    <row r="672" spans="1:16">
      <c r="A672" s="44" t="s">
        <v>2326</v>
      </c>
      <c r="F672" s="44" t="s">
        <v>2327</v>
      </c>
      <c r="P672" s="44" t="s">
        <v>2328</v>
      </c>
    </row>
    <row r="673" spans="1:16">
      <c r="A673" s="44" t="s">
        <v>2329</v>
      </c>
      <c r="F673" s="44" t="s">
        <v>2330</v>
      </c>
      <c r="P673" s="44" t="s">
        <v>2331</v>
      </c>
    </row>
    <row r="674" spans="1:16">
      <c r="A674" s="44" t="s">
        <v>2332</v>
      </c>
      <c r="F674" s="44" t="s">
        <v>2333</v>
      </c>
      <c r="P674" s="44" t="s">
        <v>2334</v>
      </c>
    </row>
    <row r="675" spans="1:16">
      <c r="A675" s="44" t="s">
        <v>2335</v>
      </c>
      <c r="F675" s="44" t="s">
        <v>2336</v>
      </c>
      <c r="P675" s="44" t="s">
        <v>2337</v>
      </c>
    </row>
    <row r="676" spans="1:16">
      <c r="A676" s="44" t="s">
        <v>2338</v>
      </c>
      <c r="F676" s="44" t="s">
        <v>2339</v>
      </c>
      <c r="P676" s="44" t="s">
        <v>2340</v>
      </c>
    </row>
    <row r="677" spans="1:16">
      <c r="A677" s="44" t="s">
        <v>2341</v>
      </c>
      <c r="F677" s="44" t="s">
        <v>2342</v>
      </c>
      <c r="P677" s="44" t="s">
        <v>2343</v>
      </c>
    </row>
    <row r="678" spans="1:16">
      <c r="A678" s="44" t="s">
        <v>2344</v>
      </c>
      <c r="F678" s="44" t="s">
        <v>2345</v>
      </c>
      <c r="P678" s="44" t="s">
        <v>2346</v>
      </c>
    </row>
    <row r="679" spans="1:16">
      <c r="A679" s="44" t="s">
        <v>2347</v>
      </c>
      <c r="F679" s="44" t="s">
        <v>2348</v>
      </c>
      <c r="P679" s="44" t="s">
        <v>2349</v>
      </c>
    </row>
    <row r="680" spans="1:16">
      <c r="A680" s="44" t="s">
        <v>2350</v>
      </c>
      <c r="F680" s="44" t="s">
        <v>2351</v>
      </c>
      <c r="P680" s="44" t="s">
        <v>2352</v>
      </c>
    </row>
    <row r="681" spans="1:16">
      <c r="A681" s="44" t="s">
        <v>2353</v>
      </c>
      <c r="F681" s="44" t="s">
        <v>2354</v>
      </c>
      <c r="P681" s="44" t="s">
        <v>2355</v>
      </c>
    </row>
    <row r="682" spans="1:16">
      <c r="A682" s="44" t="s">
        <v>2356</v>
      </c>
      <c r="F682" s="44" t="s">
        <v>2357</v>
      </c>
      <c r="P682" s="44" t="s">
        <v>2358</v>
      </c>
    </row>
    <row r="683" spans="1:16">
      <c r="A683" s="44" t="s">
        <v>2359</v>
      </c>
      <c r="F683" s="44" t="s">
        <v>2360</v>
      </c>
      <c r="P683" s="44" t="s">
        <v>2361</v>
      </c>
    </row>
    <row r="684" spans="1:16">
      <c r="A684" s="44" t="s">
        <v>2362</v>
      </c>
      <c r="F684" s="44" t="s">
        <v>2363</v>
      </c>
      <c r="P684" s="44" t="s">
        <v>2364</v>
      </c>
    </row>
    <row r="685" spans="1:16">
      <c r="A685" s="44" t="s">
        <v>2365</v>
      </c>
      <c r="F685" s="44" t="s">
        <v>2366</v>
      </c>
      <c r="P685" s="44" t="s">
        <v>2367</v>
      </c>
    </row>
    <row r="686" spans="1:16">
      <c r="A686" s="44" t="s">
        <v>2368</v>
      </c>
      <c r="F686" s="44" t="s">
        <v>2369</v>
      </c>
      <c r="P686" s="44" t="s">
        <v>2370</v>
      </c>
    </row>
    <row r="687" spans="1:16">
      <c r="A687" s="44" t="s">
        <v>2371</v>
      </c>
      <c r="F687" s="44" t="s">
        <v>2372</v>
      </c>
      <c r="P687" s="44" t="s">
        <v>2373</v>
      </c>
    </row>
    <row r="688" spans="1:16">
      <c r="A688" s="44" t="s">
        <v>2374</v>
      </c>
      <c r="F688" s="44" t="s">
        <v>2375</v>
      </c>
      <c r="P688" s="44" t="s">
        <v>2376</v>
      </c>
    </row>
    <row r="689" spans="1:16">
      <c r="A689" s="44" t="s">
        <v>2377</v>
      </c>
      <c r="F689" s="44" t="s">
        <v>2378</v>
      </c>
      <c r="P689" s="44" t="s">
        <v>2379</v>
      </c>
    </row>
    <row r="690" spans="1:16">
      <c r="A690" s="44" t="s">
        <v>2380</v>
      </c>
      <c r="F690" s="44" t="s">
        <v>2381</v>
      </c>
      <c r="P690" s="44" t="s">
        <v>2382</v>
      </c>
    </row>
    <row r="691" spans="1:16">
      <c r="A691" s="44" t="s">
        <v>2383</v>
      </c>
      <c r="F691" s="44" t="s">
        <v>2384</v>
      </c>
      <c r="P691" s="44" t="s">
        <v>2385</v>
      </c>
    </row>
    <row r="692" spans="1:16">
      <c r="A692" s="44" t="s">
        <v>2386</v>
      </c>
      <c r="F692" s="44" t="s">
        <v>2387</v>
      </c>
      <c r="P692" s="44" t="s">
        <v>2388</v>
      </c>
    </row>
    <row r="693" spans="1:16">
      <c r="A693" s="44" t="s">
        <v>2389</v>
      </c>
      <c r="F693" s="44" t="s">
        <v>2390</v>
      </c>
      <c r="P693" s="44" t="s">
        <v>2391</v>
      </c>
    </row>
    <row r="694" spans="1:16">
      <c r="A694" s="44" t="s">
        <v>2392</v>
      </c>
      <c r="F694" s="44" t="s">
        <v>2393</v>
      </c>
      <c r="P694" s="44" t="s">
        <v>2394</v>
      </c>
    </row>
    <row r="695" spans="1:16">
      <c r="A695" s="44" t="s">
        <v>2395</v>
      </c>
      <c r="F695" s="44" t="s">
        <v>2396</v>
      </c>
      <c r="P695" s="44" t="s">
        <v>2394</v>
      </c>
    </row>
    <row r="696" spans="1:16">
      <c r="A696" s="44" t="s">
        <v>2397</v>
      </c>
      <c r="F696" s="44" t="s">
        <v>2398</v>
      </c>
      <c r="P696" s="44" t="s">
        <v>2399</v>
      </c>
    </row>
    <row r="697" spans="1:16">
      <c r="A697" s="44" t="s">
        <v>2400</v>
      </c>
      <c r="F697" s="44" t="s">
        <v>2401</v>
      </c>
      <c r="P697" s="44" t="s">
        <v>2402</v>
      </c>
    </row>
    <row r="698" spans="1:16">
      <c r="A698" s="44" t="s">
        <v>2403</v>
      </c>
      <c r="F698" s="44" t="s">
        <v>2404</v>
      </c>
      <c r="P698" s="44" t="s">
        <v>2405</v>
      </c>
    </row>
    <row r="699" spans="1:16">
      <c r="A699" s="44" t="s">
        <v>2406</v>
      </c>
      <c r="F699" s="44" t="s">
        <v>2407</v>
      </c>
      <c r="P699" s="44" t="s">
        <v>2408</v>
      </c>
    </row>
    <row r="700" spans="1:16">
      <c r="A700" s="44" t="s">
        <v>2409</v>
      </c>
      <c r="F700" s="44" t="s">
        <v>2410</v>
      </c>
      <c r="P700" s="44" t="s">
        <v>2411</v>
      </c>
    </row>
    <row r="701" spans="1:16">
      <c r="A701" s="44" t="s">
        <v>2412</v>
      </c>
      <c r="F701" s="44" t="s">
        <v>2413</v>
      </c>
      <c r="P701" s="44" t="s">
        <v>2414</v>
      </c>
    </row>
    <row r="702" spans="1:16">
      <c r="A702" s="44" t="s">
        <v>2415</v>
      </c>
      <c r="F702" s="44" t="s">
        <v>2416</v>
      </c>
      <c r="P702" s="44" t="s">
        <v>2417</v>
      </c>
    </row>
    <row r="703" spans="1:16">
      <c r="A703" s="44" t="s">
        <v>2418</v>
      </c>
      <c r="F703" s="44" t="s">
        <v>2419</v>
      </c>
      <c r="P703" s="44" t="s">
        <v>2420</v>
      </c>
    </row>
    <row r="704" spans="1:16">
      <c r="A704" s="44" t="s">
        <v>2421</v>
      </c>
      <c r="F704" s="44" t="s">
        <v>2422</v>
      </c>
      <c r="P704" s="44" t="s">
        <v>2423</v>
      </c>
    </row>
    <row r="705" spans="1:16">
      <c r="A705" s="44" t="s">
        <v>2424</v>
      </c>
      <c r="F705" s="44" t="s">
        <v>2425</v>
      </c>
      <c r="P705" s="44" t="s">
        <v>2426</v>
      </c>
    </row>
    <row r="706" spans="1:16">
      <c r="A706" s="44" t="s">
        <v>2427</v>
      </c>
      <c r="F706" s="44" t="s">
        <v>2428</v>
      </c>
      <c r="P706" s="44" t="s">
        <v>2429</v>
      </c>
    </row>
    <row r="707" spans="1:16">
      <c r="A707" s="44" t="s">
        <v>2430</v>
      </c>
      <c r="F707" s="44" t="s">
        <v>2431</v>
      </c>
      <c r="P707" s="44" t="s">
        <v>2432</v>
      </c>
    </row>
    <row r="708" spans="1:16">
      <c r="A708" s="44" t="s">
        <v>2433</v>
      </c>
      <c r="F708" s="44" t="s">
        <v>2434</v>
      </c>
      <c r="P708" s="44" t="s">
        <v>2435</v>
      </c>
    </row>
    <row r="709" spans="1:16">
      <c r="A709" s="44" t="s">
        <v>2436</v>
      </c>
      <c r="F709" s="44" t="s">
        <v>2437</v>
      </c>
      <c r="P709" s="44" t="s">
        <v>2438</v>
      </c>
    </row>
    <row r="710" spans="1:16">
      <c r="A710" s="44" t="s">
        <v>2439</v>
      </c>
      <c r="F710" s="44" t="s">
        <v>2440</v>
      </c>
      <c r="P710" s="44" t="s">
        <v>2441</v>
      </c>
    </row>
    <row r="711" spans="1:16">
      <c r="A711" s="44" t="s">
        <v>2442</v>
      </c>
      <c r="F711" s="44" t="s">
        <v>2443</v>
      </c>
      <c r="P711" s="44" t="s">
        <v>2444</v>
      </c>
    </row>
    <row r="712" spans="1:16">
      <c r="A712" s="44" t="s">
        <v>2445</v>
      </c>
      <c r="F712" s="44" t="s">
        <v>2446</v>
      </c>
      <c r="P712" s="44" t="s">
        <v>2447</v>
      </c>
    </row>
    <row r="713" spans="1:16">
      <c r="A713" s="44" t="s">
        <v>2448</v>
      </c>
      <c r="F713" s="44" t="s">
        <v>2449</v>
      </c>
      <c r="P713" s="44" t="s">
        <v>2450</v>
      </c>
    </row>
    <row r="714" spans="1:16">
      <c r="A714" s="44" t="s">
        <v>2451</v>
      </c>
      <c r="F714" s="44" t="s">
        <v>2452</v>
      </c>
      <c r="P714" s="44" t="s">
        <v>2453</v>
      </c>
    </row>
    <row r="715" spans="1:16">
      <c r="A715" s="44" t="s">
        <v>2454</v>
      </c>
      <c r="F715" s="44" t="s">
        <v>2455</v>
      </c>
      <c r="P715" s="44" t="s">
        <v>2456</v>
      </c>
    </row>
    <row r="716" spans="1:16">
      <c r="A716" s="44" t="s">
        <v>2457</v>
      </c>
      <c r="F716" s="44" t="s">
        <v>2458</v>
      </c>
      <c r="P716" s="44" t="s">
        <v>2459</v>
      </c>
    </row>
    <row r="717" spans="1:16">
      <c r="A717" s="44" t="s">
        <v>2460</v>
      </c>
      <c r="F717" s="44" t="s">
        <v>2461</v>
      </c>
      <c r="P717" s="44" t="s">
        <v>2462</v>
      </c>
    </row>
    <row r="718" spans="1:16">
      <c r="A718" s="44" t="s">
        <v>2463</v>
      </c>
      <c r="F718" s="44" t="s">
        <v>2464</v>
      </c>
      <c r="P718" s="44" t="s">
        <v>2465</v>
      </c>
    </row>
    <row r="719" spans="1:16">
      <c r="A719" s="44" t="s">
        <v>2466</v>
      </c>
      <c r="F719" s="44" t="s">
        <v>2467</v>
      </c>
      <c r="P719" s="44" t="s">
        <v>2468</v>
      </c>
    </row>
    <row r="720" spans="1:16">
      <c r="A720" s="44" t="s">
        <v>2469</v>
      </c>
      <c r="F720" s="44" t="s">
        <v>2470</v>
      </c>
      <c r="P720" s="44" t="s">
        <v>2471</v>
      </c>
    </row>
    <row r="721" spans="1:16">
      <c r="A721" s="44" t="s">
        <v>2472</v>
      </c>
      <c r="F721" s="44" t="s">
        <v>2473</v>
      </c>
      <c r="P721" s="44" t="s">
        <v>2474</v>
      </c>
    </row>
    <row r="722" spans="1:16">
      <c r="A722" s="44" t="s">
        <v>2475</v>
      </c>
      <c r="F722" s="44" t="s">
        <v>2476</v>
      </c>
      <c r="P722" s="44" t="s">
        <v>2477</v>
      </c>
    </row>
    <row r="723" spans="1:16">
      <c r="A723" s="44" t="s">
        <v>2478</v>
      </c>
      <c r="F723" s="44" t="s">
        <v>2479</v>
      </c>
      <c r="P723" s="44" t="s">
        <v>2480</v>
      </c>
    </row>
    <row r="724" spans="1:16">
      <c r="A724" s="44" t="s">
        <v>2481</v>
      </c>
      <c r="F724" s="44" t="s">
        <v>2482</v>
      </c>
      <c r="P724" s="44" t="s">
        <v>2483</v>
      </c>
    </row>
    <row r="725" spans="1:16">
      <c r="A725" s="44" t="s">
        <v>2484</v>
      </c>
      <c r="F725" s="44" t="s">
        <v>2485</v>
      </c>
      <c r="P725" s="44" t="s">
        <v>2486</v>
      </c>
    </row>
    <row r="726" spans="1:16">
      <c r="A726" s="44" t="s">
        <v>2487</v>
      </c>
      <c r="F726" s="44" t="s">
        <v>2488</v>
      </c>
      <c r="P726" s="44" t="s">
        <v>2489</v>
      </c>
    </row>
    <row r="727" spans="1:16">
      <c r="A727" s="44" t="s">
        <v>2490</v>
      </c>
      <c r="F727" s="44" t="s">
        <v>2491</v>
      </c>
      <c r="P727" s="44" t="s">
        <v>2492</v>
      </c>
    </row>
    <row r="728" spans="1:16">
      <c r="A728" s="44" t="s">
        <v>2493</v>
      </c>
      <c r="F728" s="44" t="s">
        <v>2494</v>
      </c>
      <c r="P728" s="44" t="s">
        <v>2495</v>
      </c>
    </row>
    <row r="729" spans="1:16">
      <c r="A729" s="44" t="s">
        <v>2496</v>
      </c>
      <c r="F729" s="44" t="s">
        <v>2497</v>
      </c>
    </row>
    <row r="730" spans="1:16">
      <c r="A730" s="44" t="s">
        <v>2498</v>
      </c>
      <c r="F730" s="44" t="s">
        <v>2499</v>
      </c>
    </row>
    <row r="731" spans="1:16">
      <c r="A731" s="44" t="s">
        <v>2500</v>
      </c>
      <c r="F731" s="44" t="s">
        <v>2501</v>
      </c>
    </row>
    <row r="732" spans="1:16">
      <c r="A732" s="44" t="s">
        <v>2502</v>
      </c>
      <c r="F732" s="44" t="s">
        <v>2503</v>
      </c>
    </row>
    <row r="733" spans="1:16">
      <c r="A733" s="44" t="s">
        <v>2504</v>
      </c>
      <c r="F733" s="44" t="s">
        <v>2505</v>
      </c>
    </row>
    <row r="734" spans="1:16">
      <c r="A734" s="44" t="s">
        <v>2506</v>
      </c>
      <c r="F734" s="44" t="s">
        <v>2507</v>
      </c>
    </row>
    <row r="735" spans="1:16">
      <c r="A735" s="44" t="s">
        <v>2508</v>
      </c>
      <c r="F735" s="44" t="s">
        <v>2509</v>
      </c>
    </row>
    <row r="736" spans="1:16">
      <c r="A736" s="44" t="s">
        <v>2510</v>
      </c>
      <c r="F736" s="44" t="s">
        <v>2511</v>
      </c>
    </row>
    <row r="737" spans="1:7">
      <c r="A737" s="44" t="s">
        <v>2512</v>
      </c>
      <c r="F737" s="44" t="s">
        <v>2513</v>
      </c>
    </row>
    <row r="738" spans="1:7">
      <c r="A738" s="44" t="s">
        <v>2514</v>
      </c>
      <c r="F738" s="44" t="s">
        <v>2515</v>
      </c>
    </row>
    <row r="739" spans="1:7">
      <c r="A739" s="44" t="s">
        <v>2516</v>
      </c>
      <c r="F739" s="44" t="s">
        <v>2517</v>
      </c>
    </row>
    <row r="740" spans="1:7">
      <c r="A740" s="44" t="s">
        <v>2518</v>
      </c>
      <c r="F740" s="44" t="s">
        <v>2519</v>
      </c>
    </row>
    <row r="741" spans="1:7">
      <c r="A741" s="44" t="s">
        <v>2520</v>
      </c>
      <c r="F741" s="44" t="s">
        <v>2521</v>
      </c>
    </row>
    <row r="742" spans="1:7">
      <c r="A742" s="44" t="s">
        <v>2522</v>
      </c>
      <c r="F742" s="44" t="s">
        <v>2523</v>
      </c>
    </row>
    <row r="743" spans="1:7">
      <c r="A743" s="44" t="s">
        <v>2524</v>
      </c>
      <c r="F743" s="44" t="s">
        <v>2525</v>
      </c>
    </row>
    <row r="744" spans="1:7">
      <c r="A744" s="44" t="s">
        <v>2526</v>
      </c>
      <c r="F744" s="44" t="s">
        <v>2527</v>
      </c>
    </row>
    <row r="745" spans="1:7">
      <c r="A745" s="44" t="s">
        <v>2528</v>
      </c>
      <c r="F745" s="44" t="s">
        <v>2529</v>
      </c>
      <c r="G745" s="44" t="s">
        <v>458</v>
      </c>
    </row>
    <row r="746" spans="1:7">
      <c r="A746" s="44" t="s">
        <v>2530</v>
      </c>
      <c r="F746" s="44" t="s">
        <v>2531</v>
      </c>
      <c r="G746" s="44" t="s">
        <v>462</v>
      </c>
    </row>
    <row r="747" spans="1:7">
      <c r="A747" s="44" t="s">
        <v>2532</v>
      </c>
      <c r="F747" s="44" t="s">
        <v>2533</v>
      </c>
      <c r="G747" s="44" t="s">
        <v>466</v>
      </c>
    </row>
    <row r="748" spans="1:7">
      <c r="A748" s="44" t="s">
        <v>2534</v>
      </c>
      <c r="B748" s="44" t="s">
        <v>458</v>
      </c>
      <c r="F748" s="44" t="s">
        <v>2535</v>
      </c>
      <c r="G748" s="44" t="s">
        <v>472</v>
      </c>
    </row>
    <row r="749" spans="1:7">
      <c r="A749" s="44" t="s">
        <v>2536</v>
      </c>
      <c r="B749" s="44" t="s">
        <v>462</v>
      </c>
      <c r="F749" s="44" t="s">
        <v>2537</v>
      </c>
    </row>
    <row r="750" spans="1:7">
      <c r="A750" s="44" t="s">
        <v>2538</v>
      </c>
      <c r="B750" s="44" t="s">
        <v>466</v>
      </c>
      <c r="F750" s="44" t="s">
        <v>2539</v>
      </c>
      <c r="G750" s="44" t="s">
        <v>478</v>
      </c>
    </row>
    <row r="751" spans="1:7">
      <c r="A751" s="44" t="s">
        <v>2540</v>
      </c>
      <c r="B751" s="44" t="s">
        <v>470</v>
      </c>
      <c r="F751" s="44" t="s">
        <v>2541</v>
      </c>
      <c r="G751" s="44" t="s">
        <v>482</v>
      </c>
    </row>
    <row r="752" spans="1:7">
      <c r="A752" s="44" t="s">
        <v>2542</v>
      </c>
      <c r="F752" s="44" t="s">
        <v>2543</v>
      </c>
      <c r="G752" s="44" t="s">
        <v>486</v>
      </c>
    </row>
    <row r="753" spans="1:7">
      <c r="A753" s="44" t="s">
        <v>2544</v>
      </c>
      <c r="B753" s="44" t="s">
        <v>478</v>
      </c>
      <c r="F753" s="44" t="s">
        <v>2545</v>
      </c>
      <c r="G753" s="44" t="s">
        <v>2546</v>
      </c>
    </row>
    <row r="754" spans="1:7">
      <c r="A754" s="44" t="s">
        <v>2547</v>
      </c>
      <c r="B754" s="44" t="s">
        <v>482</v>
      </c>
      <c r="F754" s="44" t="s">
        <v>2548</v>
      </c>
    </row>
    <row r="755" spans="1:7">
      <c r="A755" s="44" t="s">
        <v>2549</v>
      </c>
      <c r="B755" s="44" t="s">
        <v>486</v>
      </c>
      <c r="F755" s="44" t="s">
        <v>2550</v>
      </c>
      <c r="G755" s="44" t="s">
        <v>501</v>
      </c>
    </row>
    <row r="756" spans="1:7">
      <c r="A756" s="44" t="s">
        <v>2551</v>
      </c>
      <c r="B756" s="44" t="s">
        <v>2552</v>
      </c>
      <c r="F756" s="44" t="s">
        <v>2553</v>
      </c>
      <c r="G756" s="44" t="s">
        <v>505</v>
      </c>
    </row>
    <row r="757" spans="1:7">
      <c r="A757" s="44" t="s">
        <v>2554</v>
      </c>
      <c r="F757" s="44" t="s">
        <v>2555</v>
      </c>
      <c r="G757" s="44" t="s">
        <v>509</v>
      </c>
    </row>
    <row r="758" spans="1:7">
      <c r="A758" s="44" t="s">
        <v>2556</v>
      </c>
      <c r="B758" s="44" t="s">
        <v>501</v>
      </c>
      <c r="F758" s="44" t="s">
        <v>2557</v>
      </c>
      <c r="G758" s="44" t="s">
        <v>513</v>
      </c>
    </row>
    <row r="759" spans="1:7">
      <c r="A759" s="44" t="s">
        <v>2558</v>
      </c>
      <c r="B759" s="44" t="s">
        <v>505</v>
      </c>
      <c r="F759" s="44" t="s">
        <v>2559</v>
      </c>
    </row>
    <row r="760" spans="1:7">
      <c r="A760" s="44" t="s">
        <v>2560</v>
      </c>
      <c r="B760" s="44" t="s">
        <v>509</v>
      </c>
      <c r="F760" s="44" t="s">
        <v>2561</v>
      </c>
      <c r="G760" s="44" t="s">
        <v>2562</v>
      </c>
    </row>
    <row r="761" spans="1:7">
      <c r="A761" s="44" t="s">
        <v>2563</v>
      </c>
      <c r="B761" s="44" t="s">
        <v>513</v>
      </c>
      <c r="F761" s="44" t="s">
        <v>2564</v>
      </c>
    </row>
    <row r="762" spans="1:7">
      <c r="A762" s="44" t="s">
        <v>2565</v>
      </c>
      <c r="F762" s="44" t="s">
        <v>2566</v>
      </c>
    </row>
    <row r="763" spans="1:7">
      <c r="A763" s="44" t="s">
        <v>2567</v>
      </c>
      <c r="B763" s="44" t="s">
        <v>630</v>
      </c>
    </row>
    <row r="764" spans="1:7">
      <c r="A764" s="44" t="s">
        <v>2568</v>
      </c>
    </row>
    <row r="765" spans="1:7">
      <c r="A765" s="44" t="s">
        <v>2569</v>
      </c>
      <c r="B765" s="44" t="s">
        <v>637</v>
      </c>
    </row>
    <row r="766" spans="1:7">
      <c r="A766" s="44" t="s">
        <v>2570</v>
      </c>
      <c r="B766" s="44" t="s">
        <v>641</v>
      </c>
    </row>
    <row r="767" spans="1:7">
      <c r="A767" s="44" t="s">
        <v>2571</v>
      </c>
      <c r="B767" s="44" t="s">
        <v>645</v>
      </c>
    </row>
    <row r="768" spans="1:7">
      <c r="A768" s="44" t="s">
        <v>2572</v>
      </c>
      <c r="B768" s="44" t="s">
        <v>2573</v>
      </c>
    </row>
    <row r="769" spans="1:2">
      <c r="A769" s="44" t="s">
        <v>2574</v>
      </c>
    </row>
    <row r="770" spans="1:2">
      <c r="A770" s="44" t="s">
        <v>2575</v>
      </c>
      <c r="B770" s="44" t="s">
        <v>656</v>
      </c>
    </row>
    <row r="771" spans="1:2">
      <c r="A771" s="44" t="s">
        <v>2576</v>
      </c>
      <c r="B771" s="44" t="s">
        <v>661</v>
      </c>
    </row>
    <row r="772" spans="1:2">
      <c r="A772" s="44" t="s">
        <v>2577</v>
      </c>
      <c r="B772" s="44" t="s">
        <v>665</v>
      </c>
    </row>
    <row r="773" spans="1:2">
      <c r="A773" s="44" t="s">
        <v>2578</v>
      </c>
      <c r="B773" s="44" t="s">
        <v>669</v>
      </c>
    </row>
    <row r="774" spans="1:2">
      <c r="A774" s="44" t="s">
        <v>2579</v>
      </c>
      <c r="B774" s="44" t="s">
        <v>673</v>
      </c>
    </row>
    <row r="775" spans="1:2">
      <c r="A775" s="44" t="s">
        <v>2580</v>
      </c>
    </row>
    <row r="776" spans="1:2">
      <c r="A776" s="44" t="s">
        <v>2581</v>
      </c>
      <c r="B776" s="44" t="s">
        <v>2582</v>
      </c>
    </row>
    <row r="777" spans="1:2">
      <c r="A777" s="44" t="s">
        <v>2583</v>
      </c>
    </row>
    <row r="778" spans="1:2">
      <c r="A778" s="44" t="s">
        <v>2584</v>
      </c>
    </row>
    <row r="779" spans="1:2">
      <c r="A779" s="44" t="s">
        <v>2585</v>
      </c>
    </row>
    <row r="780" spans="1:2">
      <c r="A780" s="44" t="s">
        <v>2586</v>
      </c>
    </row>
    <row r="781" spans="1:2">
      <c r="A781" s="44" t="s">
        <v>2587</v>
      </c>
    </row>
    <row r="782" spans="1:2">
      <c r="A782" s="44" t="s">
        <v>2588</v>
      </c>
    </row>
    <row r="783" spans="1:2">
      <c r="A783" s="44" t="s">
        <v>2589</v>
      </c>
    </row>
    <row r="784" spans="1:2">
      <c r="A784" s="44" t="s">
        <v>2590</v>
      </c>
    </row>
    <row r="785" spans="1:2">
      <c r="A785" s="44" t="s">
        <v>2591</v>
      </c>
    </row>
    <row r="786" spans="1:2">
      <c r="A786" s="44" t="s">
        <v>2592</v>
      </c>
      <c r="B786" s="44" t="s">
        <v>711</v>
      </c>
    </row>
    <row r="787" spans="1:2">
      <c r="A787" s="44" t="s">
        <v>2593</v>
      </c>
    </row>
    <row r="788" spans="1:2">
      <c r="A788" s="44" t="s">
        <v>2594</v>
      </c>
    </row>
    <row r="789" spans="1:2">
      <c r="A789" s="44" t="s">
        <v>2595</v>
      </c>
    </row>
    <row r="790" spans="1:2">
      <c r="A790" s="44" t="s">
        <v>2596</v>
      </c>
    </row>
    <row r="791" spans="1:2">
      <c r="A791" s="44" t="s">
        <v>2597</v>
      </c>
    </row>
    <row r="792" spans="1:2">
      <c r="A792" s="44" t="s">
        <v>2598</v>
      </c>
    </row>
    <row r="793" spans="1:2">
      <c r="A793" s="44" t="s">
        <v>2599</v>
      </c>
    </row>
    <row r="794" spans="1:2">
      <c r="A794" s="44" t="s">
        <v>2600</v>
      </c>
    </row>
    <row r="795" spans="1:2">
      <c r="A795" s="44" t="s">
        <v>2601</v>
      </c>
    </row>
    <row r="796" spans="1:2">
      <c r="A796" s="44" t="s">
        <v>2602</v>
      </c>
    </row>
    <row r="797" spans="1:2">
      <c r="A797" s="44" t="s">
        <v>2603</v>
      </c>
    </row>
    <row r="798" spans="1:2">
      <c r="A798" s="44" t="s">
        <v>2604</v>
      </c>
    </row>
    <row r="799" spans="1:2">
      <c r="A799" s="44" t="s">
        <v>2605</v>
      </c>
    </row>
    <row r="800" spans="1:2">
      <c r="A800" s="44" t="s">
        <v>2606</v>
      </c>
    </row>
    <row r="801" spans="1:1">
      <c r="A801" s="44" t="s">
        <v>2607</v>
      </c>
    </row>
    <row r="802" spans="1:1">
      <c r="A802" s="44" t="s">
        <v>2608</v>
      </c>
    </row>
    <row r="803" spans="1:1">
      <c r="A803" s="44" t="s">
        <v>2609</v>
      </c>
    </row>
    <row r="804" spans="1:1">
      <c r="A804" s="44" t="s">
        <v>2610</v>
      </c>
    </row>
    <row r="805" spans="1:1">
      <c r="A805" s="44" t="s">
        <v>2611</v>
      </c>
    </row>
    <row r="806" spans="1:1">
      <c r="A806" s="44" t="s">
        <v>2612</v>
      </c>
    </row>
    <row r="807" spans="1:1">
      <c r="A807" s="44" t="s">
        <v>2613</v>
      </c>
    </row>
    <row r="808" spans="1:1">
      <c r="A808" s="44" t="s">
        <v>2614</v>
      </c>
    </row>
    <row r="809" spans="1:1">
      <c r="A809" s="44" t="s">
        <v>2615</v>
      </c>
    </row>
    <row r="810" spans="1:1">
      <c r="A810" s="44" t="s">
        <v>2616</v>
      </c>
    </row>
    <row r="811" spans="1:1">
      <c r="A811" s="44" t="s">
        <v>2617</v>
      </c>
    </row>
    <row r="812" spans="1:1">
      <c r="A812" s="44" t="s">
        <v>2618</v>
      </c>
    </row>
    <row r="813" spans="1:1">
      <c r="A813" s="44" t="s">
        <v>2619</v>
      </c>
    </row>
    <row r="814" spans="1:1">
      <c r="A814" s="44" t="s">
        <v>2620</v>
      </c>
    </row>
    <row r="815" spans="1:1">
      <c r="A815" s="44" t="s">
        <v>2621</v>
      </c>
    </row>
    <row r="816" spans="1:1">
      <c r="A816" s="44" t="s">
        <v>2622</v>
      </c>
    </row>
    <row r="817" spans="1:1">
      <c r="A817" s="44" t="s">
        <v>2623</v>
      </c>
    </row>
    <row r="818" spans="1:1">
      <c r="A818" s="44" t="s">
        <v>2624</v>
      </c>
    </row>
    <row r="819" spans="1:1">
      <c r="A819" s="44" t="s">
        <v>2625</v>
      </c>
    </row>
    <row r="820" spans="1:1">
      <c r="A820" s="44" t="s">
        <v>2626</v>
      </c>
    </row>
    <row r="821" spans="1:1">
      <c r="A821" s="44" t="s">
        <v>2627</v>
      </c>
    </row>
    <row r="822" spans="1:1">
      <c r="A822" s="44" t="s">
        <v>2628</v>
      </c>
    </row>
    <row r="823" spans="1:1">
      <c r="A823" s="44" t="s">
        <v>2629</v>
      </c>
    </row>
    <row r="824" spans="1:1">
      <c r="A824" s="44" t="s">
        <v>2630</v>
      </c>
    </row>
    <row r="825" spans="1:1">
      <c r="A825" s="44" t="s">
        <v>2631</v>
      </c>
    </row>
    <row r="826" spans="1:1">
      <c r="A826" s="44" t="s">
        <v>2632</v>
      </c>
    </row>
    <row r="827" spans="1:1">
      <c r="A827" s="44" t="s">
        <v>2633</v>
      </c>
    </row>
    <row r="828" spans="1:1">
      <c r="A828" s="44" t="s">
        <v>2634</v>
      </c>
    </row>
    <row r="829" spans="1:1">
      <c r="A829" s="44" t="s">
        <v>2635</v>
      </c>
    </row>
    <row r="830" spans="1:1">
      <c r="A830" s="44" t="s">
        <v>2636</v>
      </c>
    </row>
    <row r="831" spans="1:1">
      <c r="A831" s="44" t="s">
        <v>2637</v>
      </c>
    </row>
    <row r="832" spans="1:1">
      <c r="A832" s="44" t="s">
        <v>2638</v>
      </c>
    </row>
    <row r="833" spans="1:1">
      <c r="A833" s="44" t="s">
        <v>2639</v>
      </c>
    </row>
    <row r="834" spans="1:1">
      <c r="A834" s="44" t="s">
        <v>2640</v>
      </c>
    </row>
    <row r="835" spans="1:1">
      <c r="A835" s="44" t="s">
        <v>2641</v>
      </c>
    </row>
    <row r="836" spans="1:1">
      <c r="A836" s="44" t="s">
        <v>2642</v>
      </c>
    </row>
    <row r="837" spans="1:1">
      <c r="A837" s="44" t="s">
        <v>2643</v>
      </c>
    </row>
    <row r="838" spans="1:1">
      <c r="A838" s="44" t="s">
        <v>2644</v>
      </c>
    </row>
    <row r="839" spans="1:1">
      <c r="A839" s="44" t="s">
        <v>2645</v>
      </c>
    </row>
    <row r="840" spans="1:1">
      <c r="A840" s="44" t="s">
        <v>2646</v>
      </c>
    </row>
    <row r="841" spans="1:1">
      <c r="A841" s="44" t="s">
        <v>2647</v>
      </c>
    </row>
    <row r="842" spans="1:1">
      <c r="A842" s="44" t="s">
        <v>2648</v>
      </c>
    </row>
    <row r="843" spans="1:1">
      <c r="A843" s="44" t="s">
        <v>2649</v>
      </c>
    </row>
    <row r="844" spans="1:1">
      <c r="A844" s="44" t="s">
        <v>2650</v>
      </c>
    </row>
    <row r="845" spans="1:1">
      <c r="A845" s="44" t="s">
        <v>2651</v>
      </c>
    </row>
    <row r="846" spans="1:1">
      <c r="A846" s="44" t="s">
        <v>2652</v>
      </c>
    </row>
    <row r="847" spans="1:1">
      <c r="A847" s="44" t="s">
        <v>2653</v>
      </c>
    </row>
    <row r="848" spans="1:1">
      <c r="A848" s="44" t="s">
        <v>2654</v>
      </c>
    </row>
    <row r="849" spans="1:1">
      <c r="A849" s="44" t="s">
        <v>2655</v>
      </c>
    </row>
    <row r="850" spans="1:1">
      <c r="A850" s="44" t="s">
        <v>2656</v>
      </c>
    </row>
    <row r="851" spans="1:1">
      <c r="A851" s="44" t="s">
        <v>2657</v>
      </c>
    </row>
    <row r="852" spans="1:1">
      <c r="A852" s="44" t="s">
        <v>2658</v>
      </c>
    </row>
    <row r="853" spans="1:1">
      <c r="A853" s="44" t="s">
        <v>2659</v>
      </c>
    </row>
    <row r="854" spans="1:1">
      <c r="A854" s="44" t="s">
        <v>2660</v>
      </c>
    </row>
    <row r="855" spans="1:1">
      <c r="A855" s="44" t="s">
        <v>2661</v>
      </c>
    </row>
    <row r="856" spans="1:1">
      <c r="A856" s="44" t="s">
        <v>2662</v>
      </c>
    </row>
    <row r="857" spans="1:1">
      <c r="A857" s="44" t="s">
        <v>2663</v>
      </c>
    </row>
    <row r="858" spans="1:1">
      <c r="A858" s="44" t="s">
        <v>2664</v>
      </c>
    </row>
    <row r="859" spans="1:1">
      <c r="A859" s="44" t="s">
        <v>2665</v>
      </c>
    </row>
    <row r="860" spans="1:1">
      <c r="A860" s="44" t="s">
        <v>2666</v>
      </c>
    </row>
    <row r="861" spans="1:1">
      <c r="A861" s="44" t="s">
        <v>2667</v>
      </c>
    </row>
    <row r="862" spans="1:1">
      <c r="A862" s="44" t="s">
        <v>2668</v>
      </c>
    </row>
    <row r="863" spans="1:1">
      <c r="A863" s="44" t="s">
        <v>2669</v>
      </c>
    </row>
    <row r="864" spans="1:1">
      <c r="A864" s="44" t="s">
        <v>2670</v>
      </c>
    </row>
    <row r="865" spans="1:1">
      <c r="A865" s="44" t="s">
        <v>2671</v>
      </c>
    </row>
    <row r="866" spans="1:1">
      <c r="A866" s="44" t="s">
        <v>2672</v>
      </c>
    </row>
    <row r="867" spans="1:1">
      <c r="A867" s="44" t="s">
        <v>2673</v>
      </c>
    </row>
    <row r="868" spans="1:1">
      <c r="A868" s="44" t="s">
        <v>2674</v>
      </c>
    </row>
    <row r="869" spans="1:1">
      <c r="A869" s="44" t="s">
        <v>2675</v>
      </c>
    </row>
    <row r="870" spans="1:1">
      <c r="A870" s="44" t="s">
        <v>2676</v>
      </c>
    </row>
    <row r="871" spans="1:1">
      <c r="A871" s="44" t="s">
        <v>2677</v>
      </c>
    </row>
    <row r="872" spans="1:1">
      <c r="A872" s="44" t="s">
        <v>2678</v>
      </c>
    </row>
    <row r="873" spans="1:1">
      <c r="A873" s="44" t="s">
        <v>2679</v>
      </c>
    </row>
    <row r="874" spans="1:1">
      <c r="A874" s="44" t="s">
        <v>2680</v>
      </c>
    </row>
    <row r="875" spans="1:1">
      <c r="A875" s="44" t="s">
        <v>2681</v>
      </c>
    </row>
    <row r="876" spans="1:1">
      <c r="A876" s="44" t="s">
        <v>2682</v>
      </c>
    </row>
    <row r="877" spans="1:1">
      <c r="A877" s="44" t="s">
        <v>2683</v>
      </c>
    </row>
    <row r="878" spans="1:1">
      <c r="A878" s="44" t="s">
        <v>2684</v>
      </c>
    </row>
    <row r="879" spans="1:1">
      <c r="A879" s="44" t="s">
        <v>2685</v>
      </c>
    </row>
    <row r="880" spans="1:1">
      <c r="A880" s="44" t="s">
        <v>2686</v>
      </c>
    </row>
    <row r="881" spans="1:1">
      <c r="A881" s="44" t="s">
        <v>2687</v>
      </c>
    </row>
    <row r="882" spans="1:1">
      <c r="A882" s="44" t="s">
        <v>2688</v>
      </c>
    </row>
    <row r="883" spans="1:1">
      <c r="A883" s="44" t="s">
        <v>2689</v>
      </c>
    </row>
    <row r="884" spans="1:1">
      <c r="A884" s="44" t="s">
        <v>2690</v>
      </c>
    </row>
    <row r="885" spans="1:1">
      <c r="A885" s="44" t="s">
        <v>2691</v>
      </c>
    </row>
    <row r="886" spans="1:1">
      <c r="A886" s="44" t="s">
        <v>2692</v>
      </c>
    </row>
    <row r="887" spans="1:1">
      <c r="A887" s="44" t="s">
        <v>2693</v>
      </c>
    </row>
    <row r="888" spans="1:1">
      <c r="A888" s="44" t="s">
        <v>2694</v>
      </c>
    </row>
    <row r="889" spans="1:1">
      <c r="A889" s="44" t="s">
        <v>2695</v>
      </c>
    </row>
    <row r="890" spans="1:1">
      <c r="A890" s="44" t="s">
        <v>2696</v>
      </c>
    </row>
    <row r="891" spans="1:1">
      <c r="A891" s="44" t="s">
        <v>2697</v>
      </c>
    </row>
    <row r="892" spans="1:1">
      <c r="A892" s="44" t="s">
        <v>2698</v>
      </c>
    </row>
    <row r="893" spans="1:1">
      <c r="A893" s="44" t="s">
        <v>2699</v>
      </c>
    </row>
    <row r="894" spans="1:1">
      <c r="A894" s="44" t="s">
        <v>2700</v>
      </c>
    </row>
    <row r="895" spans="1:1">
      <c r="A895" s="44" t="s">
        <v>2701</v>
      </c>
    </row>
    <row r="896" spans="1:1">
      <c r="A896" s="44" t="s">
        <v>2702</v>
      </c>
    </row>
    <row r="897" spans="1:1">
      <c r="A897" s="44" t="s">
        <v>2703</v>
      </c>
    </row>
    <row r="898" spans="1:1">
      <c r="A898" s="44" t="s">
        <v>2704</v>
      </c>
    </row>
    <row r="899" spans="1:1">
      <c r="A899" s="44" t="s">
        <v>2705</v>
      </c>
    </row>
    <row r="900" spans="1:1">
      <c r="A900" s="44" t="s">
        <v>2706</v>
      </c>
    </row>
    <row r="901" spans="1:1">
      <c r="A901" s="44" t="s">
        <v>2707</v>
      </c>
    </row>
    <row r="902" spans="1:1">
      <c r="A902" s="44" t="s">
        <v>2708</v>
      </c>
    </row>
    <row r="903" spans="1:1">
      <c r="A903" s="44" t="s">
        <v>2709</v>
      </c>
    </row>
    <row r="904" spans="1:1">
      <c r="A904" s="44" t="s">
        <v>2710</v>
      </c>
    </row>
    <row r="905" spans="1:1">
      <c r="A905" s="44" t="s">
        <v>2711</v>
      </c>
    </row>
    <row r="906" spans="1:1">
      <c r="A906" s="44" t="s">
        <v>2712</v>
      </c>
    </row>
    <row r="907" spans="1:1">
      <c r="A907" s="44" t="s">
        <v>2713</v>
      </c>
    </row>
    <row r="908" spans="1:1">
      <c r="A908" s="44" t="s">
        <v>2714</v>
      </c>
    </row>
    <row r="909" spans="1:1">
      <c r="A909" s="44" t="s">
        <v>2715</v>
      </c>
    </row>
    <row r="910" spans="1:1">
      <c r="A910" s="44" t="s">
        <v>2716</v>
      </c>
    </row>
    <row r="911" spans="1:1">
      <c r="A911" s="44" t="s">
        <v>2717</v>
      </c>
    </row>
    <row r="912" spans="1:1">
      <c r="A912" s="44" t="s">
        <v>2718</v>
      </c>
    </row>
    <row r="913" spans="1:1">
      <c r="A913" s="44" t="s">
        <v>2719</v>
      </c>
    </row>
    <row r="914" spans="1:1">
      <c r="A914" s="44" t="s">
        <v>2720</v>
      </c>
    </row>
    <row r="915" spans="1:1">
      <c r="A915" s="44" t="s">
        <v>2721</v>
      </c>
    </row>
    <row r="916" spans="1:1">
      <c r="A916" s="44" t="s">
        <v>2722</v>
      </c>
    </row>
    <row r="917" spans="1:1">
      <c r="A917" s="44" t="s">
        <v>2723</v>
      </c>
    </row>
    <row r="918" spans="1:1">
      <c r="A918" s="44" t="s">
        <v>2724</v>
      </c>
    </row>
    <row r="919" spans="1:1">
      <c r="A919" s="44" t="s">
        <v>2725</v>
      </c>
    </row>
    <row r="920" spans="1:1">
      <c r="A920" s="44" t="s">
        <v>2726</v>
      </c>
    </row>
    <row r="921" spans="1:1">
      <c r="A921" s="44" t="s">
        <v>2727</v>
      </c>
    </row>
    <row r="922" spans="1:1">
      <c r="A922" s="44" t="s">
        <v>2728</v>
      </c>
    </row>
    <row r="923" spans="1:1">
      <c r="A923" s="44" t="s">
        <v>2729</v>
      </c>
    </row>
    <row r="924" spans="1:1">
      <c r="A924" s="44" t="s">
        <v>2730</v>
      </c>
    </row>
    <row r="925" spans="1:1">
      <c r="A925" s="44" t="s">
        <v>2731</v>
      </c>
    </row>
    <row r="926" spans="1:1">
      <c r="A926" s="44" t="s">
        <v>2732</v>
      </c>
    </row>
    <row r="927" spans="1:1">
      <c r="A927" s="44" t="s">
        <v>2733</v>
      </c>
    </row>
    <row r="928" spans="1:1">
      <c r="A928" s="44" t="s">
        <v>2734</v>
      </c>
    </row>
    <row r="929" spans="1:1">
      <c r="A929" s="44" t="s">
        <v>2735</v>
      </c>
    </row>
    <row r="930" spans="1:1">
      <c r="A930" s="44" t="s">
        <v>2736</v>
      </c>
    </row>
    <row r="931" spans="1:1">
      <c r="A931" s="44" t="s">
        <v>2737</v>
      </c>
    </row>
    <row r="932" spans="1:1">
      <c r="A932" s="44" t="s">
        <v>2738</v>
      </c>
    </row>
    <row r="933" spans="1:1">
      <c r="A933" s="44" t="s">
        <v>2739</v>
      </c>
    </row>
    <row r="934" spans="1:1">
      <c r="A934" s="44" t="s">
        <v>2740</v>
      </c>
    </row>
    <row r="935" spans="1:1">
      <c r="A935" s="44" t="s">
        <v>2741</v>
      </c>
    </row>
    <row r="936" spans="1:1">
      <c r="A936" s="44" t="s">
        <v>2742</v>
      </c>
    </row>
    <row r="937" spans="1:1">
      <c r="A937" s="44" t="s">
        <v>2743</v>
      </c>
    </row>
    <row r="938" spans="1:1">
      <c r="A938" s="44" t="s">
        <v>2744</v>
      </c>
    </row>
    <row r="939" spans="1:1">
      <c r="A939" s="44" t="s">
        <v>2745</v>
      </c>
    </row>
    <row r="940" spans="1:1">
      <c r="A940" s="44" t="s">
        <v>2746</v>
      </c>
    </row>
    <row r="941" spans="1:1">
      <c r="A941" s="44" t="s">
        <v>2747</v>
      </c>
    </row>
    <row r="942" spans="1:1">
      <c r="A942" s="44" t="s">
        <v>2748</v>
      </c>
    </row>
    <row r="943" spans="1:1">
      <c r="A943" s="44" t="s">
        <v>2749</v>
      </c>
    </row>
    <row r="944" spans="1:1">
      <c r="A944" s="44" t="s">
        <v>2750</v>
      </c>
    </row>
    <row r="945" spans="1:1">
      <c r="A945" s="44" t="s">
        <v>2751</v>
      </c>
    </row>
    <row r="946" spans="1:1">
      <c r="A946" s="44" t="s">
        <v>2752</v>
      </c>
    </row>
    <row r="947" spans="1:1">
      <c r="A947" s="44" t="s">
        <v>2753</v>
      </c>
    </row>
    <row r="948" spans="1:1">
      <c r="A948" s="44" t="s">
        <v>2754</v>
      </c>
    </row>
    <row r="949" spans="1:1">
      <c r="A949" s="44" t="s">
        <v>2755</v>
      </c>
    </row>
    <row r="950" spans="1:1">
      <c r="A950" s="44" t="s">
        <v>2756</v>
      </c>
    </row>
    <row r="951" spans="1:1">
      <c r="A951" s="44" t="s">
        <v>2757</v>
      </c>
    </row>
    <row r="952" spans="1:1">
      <c r="A952" s="44" t="s">
        <v>2758</v>
      </c>
    </row>
    <row r="953" spans="1:1">
      <c r="A953" s="44" t="s">
        <v>2759</v>
      </c>
    </row>
    <row r="954" spans="1:1">
      <c r="A954" s="44" t="s">
        <v>2760</v>
      </c>
    </row>
    <row r="955" spans="1:1">
      <c r="A955" s="44" t="s">
        <v>2761</v>
      </c>
    </row>
    <row r="956" spans="1:1">
      <c r="A956" s="44" t="s">
        <v>2762</v>
      </c>
    </row>
    <row r="957" spans="1:1">
      <c r="A957" s="44" t="s">
        <v>2763</v>
      </c>
    </row>
    <row r="958" spans="1:1">
      <c r="A958" s="44" t="s">
        <v>2764</v>
      </c>
    </row>
    <row r="959" spans="1:1">
      <c r="A959" s="44" t="s">
        <v>2765</v>
      </c>
    </row>
    <row r="960" spans="1:1">
      <c r="A960" s="44" t="s">
        <v>2766</v>
      </c>
    </row>
    <row r="961" spans="1:1">
      <c r="A961" s="44" t="s">
        <v>2767</v>
      </c>
    </row>
    <row r="962" spans="1:1">
      <c r="A962" s="44" t="s">
        <v>2768</v>
      </c>
    </row>
    <row r="963" spans="1:1">
      <c r="A963" s="44" t="s">
        <v>2769</v>
      </c>
    </row>
    <row r="964" spans="1:1">
      <c r="A964" s="44" t="s">
        <v>2770</v>
      </c>
    </row>
    <row r="965" spans="1:1">
      <c r="A965" s="44" t="s">
        <v>2771</v>
      </c>
    </row>
    <row r="966" spans="1:1">
      <c r="A966" s="44" t="s">
        <v>2772</v>
      </c>
    </row>
    <row r="967" spans="1:1">
      <c r="A967" s="44" t="s">
        <v>2773</v>
      </c>
    </row>
    <row r="968" spans="1:1">
      <c r="A968" s="44" t="s">
        <v>2774</v>
      </c>
    </row>
    <row r="969" spans="1:1">
      <c r="A969" s="44" t="s">
        <v>2775</v>
      </c>
    </row>
    <row r="970" spans="1:1">
      <c r="A970" s="44" t="s">
        <v>2776</v>
      </c>
    </row>
    <row r="971" spans="1:1">
      <c r="A971" s="44" t="s">
        <v>2777</v>
      </c>
    </row>
    <row r="972" spans="1:1">
      <c r="A972" s="44" t="s">
        <v>2778</v>
      </c>
    </row>
    <row r="973" spans="1:1">
      <c r="A973" s="44" t="s">
        <v>2779</v>
      </c>
    </row>
    <row r="974" spans="1:1">
      <c r="A974" s="44" t="s">
        <v>2780</v>
      </c>
    </row>
    <row r="975" spans="1:1">
      <c r="A975" s="44" t="s">
        <v>2781</v>
      </c>
    </row>
    <row r="976" spans="1:1">
      <c r="A976" s="44" t="s">
        <v>2782</v>
      </c>
    </row>
    <row r="977" spans="1:1">
      <c r="A977" s="44" t="s">
        <v>2783</v>
      </c>
    </row>
    <row r="978" spans="1:1">
      <c r="A978" s="44" t="s">
        <v>2784</v>
      </c>
    </row>
    <row r="979" spans="1:1">
      <c r="A979" s="44" t="s">
        <v>2785</v>
      </c>
    </row>
    <row r="980" spans="1:1">
      <c r="A980" s="44" t="s">
        <v>2786</v>
      </c>
    </row>
    <row r="981" spans="1:1">
      <c r="A981" s="44" t="s">
        <v>2787</v>
      </c>
    </row>
    <row r="982" spans="1:1">
      <c r="A982" s="44" t="s">
        <v>2788</v>
      </c>
    </row>
    <row r="983" spans="1:1">
      <c r="A983" s="44" t="s">
        <v>2789</v>
      </c>
    </row>
    <row r="984" spans="1:1">
      <c r="A984" s="44" t="s">
        <v>2790</v>
      </c>
    </row>
    <row r="985" spans="1:1">
      <c r="A985" s="44" t="s">
        <v>2791</v>
      </c>
    </row>
    <row r="986" spans="1:1">
      <c r="A986" s="44" t="s">
        <v>2792</v>
      </c>
    </row>
    <row r="987" spans="1:1">
      <c r="A987" s="44" t="s">
        <v>2793</v>
      </c>
    </row>
    <row r="988" spans="1:1">
      <c r="A988" s="44" t="s">
        <v>2794</v>
      </c>
    </row>
    <row r="989" spans="1:1">
      <c r="A989" s="44" t="s">
        <v>2795</v>
      </c>
    </row>
    <row r="990" spans="1:1">
      <c r="A990" s="44" t="s">
        <v>2796</v>
      </c>
    </row>
    <row r="991" spans="1:1">
      <c r="A991" s="44" t="s">
        <v>2797</v>
      </c>
    </row>
    <row r="992" spans="1:1">
      <c r="A992" s="44" t="s">
        <v>2798</v>
      </c>
    </row>
    <row r="993" spans="1:1">
      <c r="A993" s="44" t="s">
        <v>2799</v>
      </c>
    </row>
    <row r="994" spans="1:1">
      <c r="A994" s="44" t="s">
        <v>2800</v>
      </c>
    </row>
    <row r="995" spans="1:1">
      <c r="A995" s="44" t="s">
        <v>2801</v>
      </c>
    </row>
    <row r="996" spans="1:1">
      <c r="A996" s="44" t="s">
        <v>2802</v>
      </c>
    </row>
    <row r="997" spans="1:1">
      <c r="A997" s="44" t="s">
        <v>2803</v>
      </c>
    </row>
    <row r="998" spans="1:1">
      <c r="A998" s="44" t="s">
        <v>2804</v>
      </c>
    </row>
    <row r="999" spans="1:1">
      <c r="A999" s="44" t="s">
        <v>2805</v>
      </c>
    </row>
    <row r="1000" spans="1:1">
      <c r="A1000" s="44" t="s">
        <v>2806</v>
      </c>
    </row>
    <row r="1001" spans="1:1">
      <c r="A1001" s="44" t="s">
        <v>2807</v>
      </c>
    </row>
    <row r="1002" spans="1:1">
      <c r="A1002" s="44" t="s">
        <v>2808</v>
      </c>
    </row>
    <row r="1003" spans="1:1">
      <c r="A1003" s="44" t="s">
        <v>2809</v>
      </c>
    </row>
    <row r="1004" spans="1:1">
      <c r="A1004" s="44" t="s">
        <v>2810</v>
      </c>
    </row>
    <row r="1005" spans="1:1">
      <c r="A1005" s="44" t="s">
        <v>2811</v>
      </c>
    </row>
    <row r="1006" spans="1:1">
      <c r="A1006" s="44" t="s">
        <v>2812</v>
      </c>
    </row>
    <row r="1007" spans="1:1">
      <c r="A1007" s="44" t="s">
        <v>2813</v>
      </c>
    </row>
    <row r="1008" spans="1:1">
      <c r="A1008" s="44" t="s">
        <v>2814</v>
      </c>
    </row>
    <row r="1009" spans="1:1">
      <c r="A1009" s="44" t="s">
        <v>2815</v>
      </c>
    </row>
    <row r="1010" spans="1:1">
      <c r="A1010" s="44" t="s">
        <v>2816</v>
      </c>
    </row>
    <row r="1011" spans="1:1">
      <c r="A1011" s="44" t="s">
        <v>2817</v>
      </c>
    </row>
    <row r="1012" spans="1:1">
      <c r="A1012" s="44" t="s">
        <v>2818</v>
      </c>
    </row>
    <row r="1013" spans="1:1">
      <c r="A1013" s="44" t="s">
        <v>2819</v>
      </c>
    </row>
    <row r="1014" spans="1:1">
      <c r="A1014" s="44" t="s">
        <v>2820</v>
      </c>
    </row>
    <row r="1015" spans="1:1">
      <c r="A1015" s="44" t="s">
        <v>2821</v>
      </c>
    </row>
    <row r="1016" spans="1:1">
      <c r="A1016" s="44" t="s">
        <v>2822</v>
      </c>
    </row>
    <row r="1017" spans="1:1">
      <c r="A1017" s="44" t="s">
        <v>2823</v>
      </c>
    </row>
    <row r="1018" spans="1:1">
      <c r="A1018" s="44" t="s">
        <v>2824</v>
      </c>
    </row>
    <row r="1019" spans="1:1">
      <c r="A1019" s="44" t="s">
        <v>2825</v>
      </c>
    </row>
    <row r="1020" spans="1:1">
      <c r="A1020" s="44" t="s">
        <v>2826</v>
      </c>
    </row>
    <row r="1021" spans="1:1">
      <c r="A1021" s="44" t="s">
        <v>2827</v>
      </c>
    </row>
    <row r="1022" spans="1:1">
      <c r="A1022" s="44" t="s">
        <v>2828</v>
      </c>
    </row>
    <row r="1023" spans="1:1">
      <c r="A1023" s="44" t="s">
        <v>2829</v>
      </c>
    </row>
    <row r="1024" spans="1:1">
      <c r="A1024" s="44" t="s">
        <v>2830</v>
      </c>
    </row>
    <row r="1025" spans="1:1">
      <c r="A1025" s="44" t="s">
        <v>2831</v>
      </c>
    </row>
    <row r="1026" spans="1:1">
      <c r="A1026" s="44" t="s">
        <v>2832</v>
      </c>
    </row>
    <row r="1027" spans="1:1">
      <c r="A1027" s="44" t="s">
        <v>2833</v>
      </c>
    </row>
    <row r="1028" spans="1:1">
      <c r="A1028" s="44" t="s">
        <v>2834</v>
      </c>
    </row>
    <row r="1029" spans="1:1">
      <c r="A1029" s="44" t="s">
        <v>2835</v>
      </c>
    </row>
    <row r="1030" spans="1:1">
      <c r="A1030" s="44" t="s">
        <v>2836</v>
      </c>
    </row>
    <row r="1031" spans="1:1">
      <c r="A1031" s="44" t="s">
        <v>2837</v>
      </c>
    </row>
    <row r="1032" spans="1:1">
      <c r="A1032" s="44" t="s">
        <v>2838</v>
      </c>
    </row>
    <row r="1033" spans="1:1">
      <c r="A1033" s="44" t="s">
        <v>2839</v>
      </c>
    </row>
    <row r="1034" spans="1:1">
      <c r="A1034" s="44" t="s">
        <v>2840</v>
      </c>
    </row>
    <row r="1035" spans="1:1">
      <c r="A1035" s="44" t="s">
        <v>2841</v>
      </c>
    </row>
    <row r="1036" spans="1:1">
      <c r="A1036" s="44" t="s">
        <v>2842</v>
      </c>
    </row>
    <row r="1037" spans="1:1">
      <c r="A1037" s="44" t="s">
        <v>2843</v>
      </c>
    </row>
    <row r="1038" spans="1:1">
      <c r="A1038" s="44" t="s">
        <v>2844</v>
      </c>
    </row>
    <row r="1039" spans="1:1">
      <c r="A1039" s="44" t="s">
        <v>2845</v>
      </c>
    </row>
    <row r="1040" spans="1:1">
      <c r="A1040" s="44" t="s">
        <v>2846</v>
      </c>
    </row>
    <row r="1041" spans="1:1">
      <c r="A1041" s="44" t="s">
        <v>2847</v>
      </c>
    </row>
    <row r="1042" spans="1:1">
      <c r="A1042" s="44" t="s">
        <v>2848</v>
      </c>
    </row>
    <row r="1043" spans="1:1">
      <c r="A1043" s="44" t="s">
        <v>2849</v>
      </c>
    </row>
    <row r="1044" spans="1:1">
      <c r="A1044" s="44" t="s">
        <v>2850</v>
      </c>
    </row>
    <row r="1045" spans="1:1">
      <c r="A1045" s="44" t="s">
        <v>2851</v>
      </c>
    </row>
    <row r="1046" spans="1:1">
      <c r="A1046" s="44" t="s">
        <v>2852</v>
      </c>
    </row>
    <row r="1047" spans="1:1">
      <c r="A1047" s="44" t="s">
        <v>2853</v>
      </c>
    </row>
    <row r="1048" spans="1:1">
      <c r="A1048" s="44" t="s">
        <v>2854</v>
      </c>
    </row>
    <row r="1049" spans="1:1">
      <c r="A1049" s="44" t="s">
        <v>2855</v>
      </c>
    </row>
    <row r="1050" spans="1:1">
      <c r="A1050" s="44" t="s">
        <v>2856</v>
      </c>
    </row>
    <row r="1051" spans="1:1">
      <c r="A1051" s="44" t="s">
        <v>2857</v>
      </c>
    </row>
    <row r="1052" spans="1:1">
      <c r="A1052" s="44" t="s">
        <v>2858</v>
      </c>
    </row>
    <row r="1053" spans="1:1">
      <c r="A1053" s="44" t="s">
        <v>2859</v>
      </c>
    </row>
    <row r="1054" spans="1:1">
      <c r="A1054" s="44" t="s">
        <v>2860</v>
      </c>
    </row>
    <row r="1055" spans="1:1">
      <c r="A1055" s="44" t="s">
        <v>2861</v>
      </c>
    </row>
    <row r="1056" spans="1:1">
      <c r="A1056" s="44" t="s">
        <v>2862</v>
      </c>
    </row>
    <row r="1057" spans="1:1">
      <c r="A1057" s="44" t="s">
        <v>2863</v>
      </c>
    </row>
    <row r="1058" spans="1:1">
      <c r="A1058" s="44" t="s">
        <v>2864</v>
      </c>
    </row>
    <row r="1059" spans="1:1">
      <c r="A1059" s="44" t="s">
        <v>2865</v>
      </c>
    </row>
    <row r="1060" spans="1:1">
      <c r="A1060" s="44" t="s">
        <v>2866</v>
      </c>
    </row>
    <row r="1061" spans="1:1">
      <c r="A1061" s="44" t="s">
        <v>2867</v>
      </c>
    </row>
    <row r="1062" spans="1:1">
      <c r="A1062" s="44" t="s">
        <v>2868</v>
      </c>
    </row>
    <row r="1063" spans="1:1">
      <c r="A1063" s="44" t="s">
        <v>2869</v>
      </c>
    </row>
    <row r="1064" spans="1:1">
      <c r="A1064" s="44" t="s">
        <v>2870</v>
      </c>
    </row>
    <row r="1065" spans="1:1">
      <c r="A1065" s="44" t="s">
        <v>2871</v>
      </c>
    </row>
    <row r="1066" spans="1:1">
      <c r="A1066" s="44" t="s">
        <v>2872</v>
      </c>
    </row>
    <row r="1067" spans="1:1">
      <c r="A1067" s="44" t="s">
        <v>2873</v>
      </c>
    </row>
    <row r="1068" spans="1:1">
      <c r="A1068" s="44" t="s">
        <v>2874</v>
      </c>
    </row>
    <row r="1069" spans="1:1">
      <c r="A1069" s="44" t="s">
        <v>2875</v>
      </c>
    </row>
    <row r="1070" spans="1:1">
      <c r="A1070" s="44" t="s">
        <v>2876</v>
      </c>
    </row>
    <row r="1071" spans="1:1">
      <c r="A1071" s="44" t="s">
        <v>2877</v>
      </c>
    </row>
    <row r="1072" spans="1:1">
      <c r="A1072" s="44" t="s">
        <v>2878</v>
      </c>
    </row>
    <row r="1073" spans="1:1">
      <c r="A1073" s="44" t="s">
        <v>2879</v>
      </c>
    </row>
    <row r="1074" spans="1:1">
      <c r="A1074" s="44" t="s">
        <v>2880</v>
      </c>
    </row>
    <row r="1075" spans="1:1">
      <c r="A1075" s="44" t="s">
        <v>2881</v>
      </c>
    </row>
    <row r="1076" spans="1:1">
      <c r="A1076" s="44" t="s">
        <v>2882</v>
      </c>
    </row>
    <row r="1077" spans="1:1">
      <c r="A1077" s="44" t="s">
        <v>2883</v>
      </c>
    </row>
    <row r="1078" spans="1:1">
      <c r="A1078" s="44" t="s">
        <v>2884</v>
      </c>
    </row>
    <row r="1079" spans="1:1">
      <c r="A1079" s="44" t="s">
        <v>2885</v>
      </c>
    </row>
    <row r="1080" spans="1:1">
      <c r="A1080" s="44" t="s">
        <v>2886</v>
      </c>
    </row>
    <row r="1081" spans="1:1">
      <c r="A1081" s="44" t="s">
        <v>2887</v>
      </c>
    </row>
    <row r="1082" spans="1:1">
      <c r="A1082" s="44" t="s">
        <v>2888</v>
      </c>
    </row>
    <row r="1083" spans="1:1">
      <c r="A1083" s="44" t="s">
        <v>2889</v>
      </c>
    </row>
    <row r="1084" spans="1:1">
      <c r="A1084" s="44" t="s">
        <v>2890</v>
      </c>
    </row>
    <row r="1085" spans="1:1">
      <c r="A1085" s="44" t="s">
        <v>2891</v>
      </c>
    </row>
    <row r="1086" spans="1:1">
      <c r="A1086" s="44" t="s">
        <v>2892</v>
      </c>
    </row>
    <row r="1087" spans="1:1">
      <c r="A1087" s="44" t="s">
        <v>2893</v>
      </c>
    </row>
    <row r="1088" spans="1:1">
      <c r="A1088" s="44" t="s">
        <v>2894</v>
      </c>
    </row>
    <row r="1089" spans="1:1">
      <c r="A1089" s="44" t="s">
        <v>2895</v>
      </c>
    </row>
    <row r="1090" spans="1:1">
      <c r="A1090" s="44" t="s">
        <v>2896</v>
      </c>
    </row>
    <row r="1091" spans="1:1">
      <c r="A1091" s="44" t="s">
        <v>2897</v>
      </c>
    </row>
    <row r="1092" spans="1:1">
      <c r="A1092" s="44" t="s">
        <v>2898</v>
      </c>
    </row>
    <row r="1093" spans="1:1">
      <c r="A1093" s="44" t="s">
        <v>2899</v>
      </c>
    </row>
    <row r="1094" spans="1:1">
      <c r="A1094" s="44" t="s">
        <v>2900</v>
      </c>
    </row>
    <row r="1095" spans="1:1">
      <c r="A1095" s="44" t="s">
        <v>2901</v>
      </c>
    </row>
    <row r="1096" spans="1:1">
      <c r="A1096" s="44" t="s">
        <v>2902</v>
      </c>
    </row>
    <row r="1097" spans="1:1">
      <c r="A1097" s="44" t="s">
        <v>2903</v>
      </c>
    </row>
    <row r="1098" spans="1:1">
      <c r="A1098" s="44" t="s">
        <v>2904</v>
      </c>
    </row>
    <row r="1099" spans="1:1">
      <c r="A1099" s="44" t="s">
        <v>2905</v>
      </c>
    </row>
    <row r="1100" spans="1:1">
      <c r="A1100" s="44" t="s">
        <v>2906</v>
      </c>
    </row>
    <row r="1101" spans="1:1">
      <c r="A1101" s="44" t="s">
        <v>2907</v>
      </c>
    </row>
    <row r="1102" spans="1:1">
      <c r="A1102" s="44" t="s">
        <v>2908</v>
      </c>
    </row>
    <row r="1103" spans="1:1">
      <c r="A1103" s="44" t="s">
        <v>2909</v>
      </c>
    </row>
    <row r="1104" spans="1:1">
      <c r="A1104" s="44" t="s">
        <v>2910</v>
      </c>
    </row>
    <row r="1105" spans="1:1">
      <c r="A1105" s="44" t="s">
        <v>2911</v>
      </c>
    </row>
    <row r="1106" spans="1:1">
      <c r="A1106" s="44" t="s">
        <v>2912</v>
      </c>
    </row>
    <row r="1107" spans="1:1">
      <c r="A1107" s="44" t="s">
        <v>2913</v>
      </c>
    </row>
    <row r="1108" spans="1:1">
      <c r="A1108" s="44" t="s">
        <v>2914</v>
      </c>
    </row>
    <row r="1109" spans="1:1">
      <c r="A1109" s="44" t="s">
        <v>2915</v>
      </c>
    </row>
    <row r="1110" spans="1:1">
      <c r="A1110" s="44" t="s">
        <v>2916</v>
      </c>
    </row>
    <row r="1111" spans="1:1">
      <c r="A1111" s="44" t="s">
        <v>2917</v>
      </c>
    </row>
    <row r="1112" spans="1:1">
      <c r="A1112" s="44" t="s">
        <v>2918</v>
      </c>
    </row>
    <row r="1113" spans="1:1">
      <c r="A1113" s="44" t="s">
        <v>2919</v>
      </c>
    </row>
    <row r="1114" spans="1:1">
      <c r="A1114" s="44" t="s">
        <v>2920</v>
      </c>
    </row>
    <row r="1115" spans="1:1">
      <c r="A1115" s="44" t="s">
        <v>2921</v>
      </c>
    </row>
    <row r="1116" spans="1:1">
      <c r="A1116" s="44" t="s">
        <v>2922</v>
      </c>
    </row>
    <row r="1117" spans="1:1">
      <c r="A1117" s="44" t="s">
        <v>2923</v>
      </c>
    </row>
    <row r="1118" spans="1:1">
      <c r="A1118" s="44" t="s">
        <v>2924</v>
      </c>
    </row>
    <row r="1119" spans="1:1">
      <c r="A1119" s="44" t="s">
        <v>2925</v>
      </c>
    </row>
    <row r="1120" spans="1:1">
      <c r="A1120" s="44" t="s">
        <v>2926</v>
      </c>
    </row>
    <row r="1121" spans="1:1">
      <c r="A1121" s="44" t="s">
        <v>2927</v>
      </c>
    </row>
    <row r="1122" spans="1:1">
      <c r="A1122" s="44" t="s">
        <v>2928</v>
      </c>
    </row>
    <row r="1123" spans="1:1">
      <c r="A1123" s="44" t="s">
        <v>2929</v>
      </c>
    </row>
    <row r="1124" spans="1:1">
      <c r="A1124" s="44" t="s">
        <v>2930</v>
      </c>
    </row>
    <row r="1125" spans="1:1">
      <c r="A1125" s="44" t="s">
        <v>2931</v>
      </c>
    </row>
    <row r="1126" spans="1:1">
      <c r="A1126" s="44" t="s">
        <v>2932</v>
      </c>
    </row>
    <row r="1127" spans="1:1">
      <c r="A1127" s="44" t="s">
        <v>2933</v>
      </c>
    </row>
    <row r="1128" spans="1:1">
      <c r="A1128" s="44" t="s">
        <v>2934</v>
      </c>
    </row>
    <row r="1129" spans="1:1">
      <c r="A1129" s="44" t="s">
        <v>2935</v>
      </c>
    </row>
    <row r="1130" spans="1:1">
      <c r="A1130" s="44" t="s">
        <v>2936</v>
      </c>
    </row>
    <row r="1131" spans="1:1">
      <c r="A1131" s="44" t="s">
        <v>2937</v>
      </c>
    </row>
    <row r="1132" spans="1:1">
      <c r="A1132" s="44" t="s">
        <v>2938</v>
      </c>
    </row>
    <row r="1133" spans="1:1">
      <c r="A1133" s="44" t="s">
        <v>2939</v>
      </c>
    </row>
    <row r="1134" spans="1:1">
      <c r="A1134" s="44" t="s">
        <v>2940</v>
      </c>
    </row>
    <row r="1135" spans="1:1">
      <c r="A1135" s="44" t="s">
        <v>2941</v>
      </c>
    </row>
    <row r="1136" spans="1:1">
      <c r="A1136" s="44" t="s">
        <v>2942</v>
      </c>
    </row>
    <row r="1137" spans="1:2">
      <c r="A1137" s="44" t="s">
        <v>2943</v>
      </c>
    </row>
    <row r="1138" spans="1:2">
      <c r="A1138" s="44" t="s">
        <v>2944</v>
      </c>
    </row>
    <row r="1139" spans="1:2">
      <c r="A1139" s="44" t="s">
        <v>2945</v>
      </c>
    </row>
    <row r="1140" spans="1:2">
      <c r="A1140" s="44" t="s">
        <v>2946</v>
      </c>
    </row>
    <row r="1141" spans="1:2">
      <c r="A1141" s="44" t="s">
        <v>2947</v>
      </c>
    </row>
    <row r="1142" spans="1:2">
      <c r="A1142" s="44" t="s">
        <v>2948</v>
      </c>
    </row>
    <row r="1143" spans="1:2">
      <c r="A1143" s="44" t="s">
        <v>2949</v>
      </c>
    </row>
    <row r="1144" spans="1:2">
      <c r="A1144" s="44" t="s">
        <v>2950</v>
      </c>
    </row>
    <row r="1145" spans="1:2">
      <c r="A1145" s="44" t="s">
        <v>2951</v>
      </c>
    </row>
    <row r="1146" spans="1:2">
      <c r="A1146" s="44" t="s">
        <v>2952</v>
      </c>
    </row>
    <row r="1147" spans="1:2">
      <c r="A1147" s="44" t="s">
        <v>2953</v>
      </c>
    </row>
    <row r="1148" spans="1:2">
      <c r="A1148" s="44" t="s">
        <v>2953</v>
      </c>
    </row>
    <row r="1149" spans="1:2">
      <c r="A1149" s="44" t="s">
        <v>2954</v>
      </c>
    </row>
    <row r="1150" spans="1:2">
      <c r="A1150" s="44" t="s">
        <v>2955</v>
      </c>
    </row>
    <row r="1151" spans="1:2">
      <c r="A1151" s="44" t="s">
        <v>2956</v>
      </c>
    </row>
    <row r="1152" spans="1:2">
      <c r="A1152" s="44" t="s">
        <v>2957</v>
      </c>
      <c r="B1152" s="44" t="s">
        <v>458</v>
      </c>
    </row>
    <row r="1153" spans="1:2">
      <c r="A1153" s="44" t="s">
        <v>2958</v>
      </c>
      <c r="B1153" s="44" t="s">
        <v>462</v>
      </c>
    </row>
    <row r="1154" spans="1:2">
      <c r="A1154" s="44" t="s">
        <v>2959</v>
      </c>
      <c r="B1154" s="44" t="s">
        <v>466</v>
      </c>
    </row>
    <row r="1155" spans="1:2">
      <c r="A1155" s="44" t="s">
        <v>2960</v>
      </c>
      <c r="B1155" s="44" t="s">
        <v>470</v>
      </c>
    </row>
    <row r="1156" spans="1:2">
      <c r="A1156" s="44" t="s">
        <v>2961</v>
      </c>
    </row>
    <row r="1157" spans="1:2">
      <c r="A1157" s="44" t="s">
        <v>2962</v>
      </c>
      <c r="B1157" s="44" t="s">
        <v>478</v>
      </c>
    </row>
    <row r="1158" spans="1:2">
      <c r="A1158" s="44" t="s">
        <v>2963</v>
      </c>
      <c r="B1158" s="44" t="s">
        <v>482</v>
      </c>
    </row>
    <row r="1159" spans="1:2">
      <c r="A1159" s="44" t="s">
        <v>2964</v>
      </c>
      <c r="B1159" s="44" t="s">
        <v>486</v>
      </c>
    </row>
    <row r="1160" spans="1:2">
      <c r="A1160" s="44" t="s">
        <v>2965</v>
      </c>
      <c r="B1160" s="44" t="s">
        <v>2966</v>
      </c>
    </row>
    <row r="1161" spans="1:2">
      <c r="A1161" s="44" t="s">
        <v>2967</v>
      </c>
    </row>
    <row r="1162" spans="1:2">
      <c r="A1162" s="44" t="s">
        <v>2968</v>
      </c>
      <c r="B1162" s="44" t="s">
        <v>501</v>
      </c>
    </row>
    <row r="1163" spans="1:2">
      <c r="A1163" s="44" t="s">
        <v>2969</v>
      </c>
      <c r="B1163" s="44" t="s">
        <v>505</v>
      </c>
    </row>
    <row r="1164" spans="1:2">
      <c r="A1164" s="44" t="s">
        <v>2970</v>
      </c>
      <c r="B1164" s="44" t="s">
        <v>509</v>
      </c>
    </row>
    <row r="1165" spans="1:2">
      <c r="A1165" s="44" t="s">
        <v>2971</v>
      </c>
      <c r="B1165" s="44" t="s">
        <v>513</v>
      </c>
    </row>
    <row r="1166" spans="1:2">
      <c r="A1166" s="44" t="s">
        <v>2972</v>
      </c>
    </row>
    <row r="1167" spans="1:2">
      <c r="A1167" s="44" t="s">
        <v>2973</v>
      </c>
      <c r="B1167" s="44" t="s">
        <v>2562</v>
      </c>
    </row>
    <row r="1168" spans="1:2">
      <c r="A1168" s="44" t="s">
        <v>2974</v>
      </c>
    </row>
    <row r="1169" spans="1:1">
      <c r="A1169" s="44" t="s">
        <v>2975</v>
      </c>
    </row>
  </sheetData>
  <pageMargins left="0.7" right="0.7" top="0.75" bottom="0.75" header="0.3" footer="0.3"/>
  <pageSetup paperSize="9" scale="7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5297B-1D05-4325-ABD4-A1DE2E78E4CE}">
  <dimension ref="A1:AR75"/>
  <sheetViews>
    <sheetView workbookViewId="0">
      <selection activeCell="G21" sqref="G21"/>
    </sheetView>
  </sheetViews>
  <sheetFormatPr defaultRowHeight="14.5"/>
  <cols>
    <col min="1" max="1" width="33.54296875" customWidth="1"/>
    <col min="6" max="6" width="19.453125" customWidth="1"/>
    <col min="7" max="7" width="43.81640625" bestFit="1" customWidth="1"/>
  </cols>
  <sheetData>
    <row r="1" spans="1:44">
      <c r="A1" s="1" t="s">
        <v>31</v>
      </c>
      <c r="B1" s="1" t="s">
        <v>2976</v>
      </c>
      <c r="C1" s="1" t="s">
        <v>2977</v>
      </c>
      <c r="D1" s="102" t="s">
        <v>2978</v>
      </c>
      <c r="E1" s="103" t="s">
        <v>2979</v>
      </c>
      <c r="F1" s="103" t="s">
        <v>2980</v>
      </c>
      <c r="G1" s="1" t="s">
        <v>2981</v>
      </c>
      <c r="H1" s="38" t="s">
        <v>2982</v>
      </c>
    </row>
    <row r="2" spans="1:44">
      <c r="A2" s="114" t="s">
        <v>3619</v>
      </c>
      <c r="D2" s="115" t="s">
        <v>2983</v>
      </c>
      <c r="E2" s="110" t="s">
        <v>2984</v>
      </c>
      <c r="F2" s="110"/>
    </row>
    <row r="3" spans="1:44">
      <c r="A3" s="126"/>
      <c r="D3" s="115"/>
      <c r="E3" s="130" t="s">
        <v>2985</v>
      </c>
      <c r="F3" s="130"/>
      <c r="H3" s="44"/>
      <c r="T3" t="s">
        <v>2986</v>
      </c>
    </row>
    <row r="4" spans="1:44">
      <c r="A4" s="133" t="s">
        <v>2987</v>
      </c>
      <c r="B4" s="22"/>
      <c r="C4" s="1"/>
      <c r="D4" s="102" t="s">
        <v>2988</v>
      </c>
      <c r="E4" s="103" t="s">
        <v>2989</v>
      </c>
      <c r="F4" s="103"/>
      <c r="H4" s="44" t="s">
        <v>2990</v>
      </c>
      <c r="T4" t="s">
        <v>2991</v>
      </c>
    </row>
    <row r="5" spans="1:44" s="160" customFormat="1">
      <c r="A5" s="207" t="s">
        <v>2992</v>
      </c>
      <c r="B5" s="206" t="s">
        <v>2993</v>
      </c>
      <c r="C5" s="146"/>
      <c r="E5" s="201"/>
      <c r="F5" s="162"/>
      <c r="G5" s="146"/>
      <c r="H5" s="147"/>
      <c r="I5" s="207" t="s">
        <v>2994</v>
      </c>
      <c r="J5" s="146"/>
      <c r="K5" s="146"/>
      <c r="L5" s="146"/>
      <c r="M5" s="163"/>
      <c r="N5" s="163"/>
      <c r="O5" s="163"/>
      <c r="P5" s="163"/>
      <c r="Q5" s="164"/>
      <c r="R5" s="146"/>
      <c r="S5" s="146"/>
      <c r="T5" s="165"/>
      <c r="U5" s="165"/>
      <c r="V5" s="166"/>
      <c r="W5" s="167"/>
      <c r="X5" s="168"/>
      <c r="Y5" s="169"/>
      <c r="Z5" s="146"/>
      <c r="AA5" s="146"/>
      <c r="AB5" s="170"/>
      <c r="AC5" s="170"/>
      <c r="AD5" s="171"/>
      <c r="AE5" s="171"/>
      <c r="AG5" s="171"/>
      <c r="AH5" s="146"/>
      <c r="AJ5" s="146"/>
      <c r="AL5" s="146"/>
      <c r="AM5" s="202"/>
      <c r="AN5" s="203"/>
      <c r="AO5" s="146"/>
      <c r="AP5" s="146"/>
      <c r="AQ5" s="146"/>
      <c r="AR5" s="146"/>
    </row>
    <row r="6" spans="1:44">
      <c r="A6">
        <v>2022</v>
      </c>
      <c r="B6" t="s">
        <v>46</v>
      </c>
      <c r="C6" s="44" t="s">
        <v>2995</v>
      </c>
      <c r="D6" s="44">
        <v>4</v>
      </c>
      <c r="F6" s="148">
        <v>45083</v>
      </c>
      <c r="H6" t="s">
        <v>2996</v>
      </c>
    </row>
    <row r="7" spans="1:44">
      <c r="A7">
        <v>2022</v>
      </c>
      <c r="B7" t="s">
        <v>46</v>
      </c>
      <c r="C7" t="s">
        <v>2997</v>
      </c>
      <c r="D7">
        <v>3</v>
      </c>
      <c r="F7" s="148">
        <v>45083</v>
      </c>
      <c r="H7" t="s">
        <v>2996</v>
      </c>
    </row>
    <row r="8" spans="1:44">
      <c r="A8">
        <v>2022</v>
      </c>
      <c r="B8" t="s">
        <v>46</v>
      </c>
      <c r="C8" t="s">
        <v>2998</v>
      </c>
      <c r="D8">
        <v>4</v>
      </c>
      <c r="F8" s="148">
        <v>45083</v>
      </c>
      <c r="H8" t="s">
        <v>2996</v>
      </c>
    </row>
    <row r="9" spans="1:44" ht="29">
      <c r="A9">
        <v>2022</v>
      </c>
      <c r="B9" t="s">
        <v>46</v>
      </c>
      <c r="C9" s="44" t="s">
        <v>2999</v>
      </c>
      <c r="D9">
        <v>10</v>
      </c>
      <c r="F9" s="148">
        <v>45084</v>
      </c>
      <c r="G9" s="143" t="s">
        <v>3000</v>
      </c>
      <c r="H9" t="s">
        <v>2996</v>
      </c>
    </row>
    <row r="10" spans="1:44">
      <c r="A10">
        <v>2022</v>
      </c>
      <c r="B10" t="s">
        <v>46</v>
      </c>
      <c r="C10" t="s">
        <v>3001</v>
      </c>
      <c r="D10">
        <v>12</v>
      </c>
      <c r="F10" s="148">
        <v>45084</v>
      </c>
      <c r="H10" t="s">
        <v>2996</v>
      </c>
    </row>
    <row r="11" spans="1:44">
      <c r="A11">
        <v>2022</v>
      </c>
      <c r="B11" t="s">
        <v>46</v>
      </c>
      <c r="C11" t="s">
        <v>3002</v>
      </c>
      <c r="D11">
        <v>2</v>
      </c>
      <c r="F11" s="148">
        <v>45084</v>
      </c>
      <c r="H11" t="s">
        <v>2996</v>
      </c>
    </row>
    <row r="12" spans="1:44">
      <c r="A12">
        <v>2022</v>
      </c>
      <c r="B12" t="s">
        <v>46</v>
      </c>
      <c r="C12" s="44" t="s">
        <v>3003</v>
      </c>
      <c r="D12">
        <v>3</v>
      </c>
      <c r="F12" s="148">
        <v>45084</v>
      </c>
      <c r="H12" t="s">
        <v>2996</v>
      </c>
    </row>
    <row r="13" spans="1:44">
      <c r="A13">
        <v>2022</v>
      </c>
      <c r="B13" t="s">
        <v>46</v>
      </c>
      <c r="C13" t="s">
        <v>3004</v>
      </c>
      <c r="D13">
        <v>10</v>
      </c>
      <c r="F13" s="148">
        <v>45084</v>
      </c>
      <c r="H13" t="s">
        <v>2996</v>
      </c>
    </row>
    <row r="14" spans="1:44">
      <c r="A14">
        <v>2022</v>
      </c>
      <c r="B14" t="s">
        <v>46</v>
      </c>
      <c r="C14" t="s">
        <v>3005</v>
      </c>
      <c r="D14">
        <v>5</v>
      </c>
      <c r="F14" s="148">
        <v>45084</v>
      </c>
      <c r="H14" t="s">
        <v>2996</v>
      </c>
    </row>
    <row r="15" spans="1:44">
      <c r="A15">
        <v>2022</v>
      </c>
      <c r="B15" t="s">
        <v>46</v>
      </c>
      <c r="C15" s="44" t="s">
        <v>3006</v>
      </c>
      <c r="D15">
        <v>5</v>
      </c>
      <c r="F15" s="148">
        <v>45084</v>
      </c>
      <c r="H15" t="s">
        <v>2996</v>
      </c>
    </row>
    <row r="16" spans="1:44">
      <c r="A16">
        <v>2022</v>
      </c>
      <c r="B16" t="s">
        <v>46</v>
      </c>
      <c r="C16" t="s">
        <v>3007</v>
      </c>
      <c r="D16">
        <v>7</v>
      </c>
      <c r="F16" s="148">
        <v>45084</v>
      </c>
      <c r="H16" t="s">
        <v>2996</v>
      </c>
    </row>
    <row r="17" spans="1:9">
      <c r="A17">
        <v>2022</v>
      </c>
      <c r="B17" t="s">
        <v>46</v>
      </c>
      <c r="C17" t="s">
        <v>3008</v>
      </c>
      <c r="D17">
        <v>4</v>
      </c>
      <c r="F17" s="148">
        <v>45084</v>
      </c>
      <c r="H17" t="s">
        <v>2996</v>
      </c>
    </row>
    <row r="18" spans="1:9">
      <c r="A18">
        <v>2022</v>
      </c>
      <c r="B18" t="s">
        <v>46</v>
      </c>
      <c r="C18" s="44" t="s">
        <v>3009</v>
      </c>
      <c r="D18">
        <v>1</v>
      </c>
      <c r="F18" s="148">
        <v>45084</v>
      </c>
      <c r="H18" t="s">
        <v>2996</v>
      </c>
    </row>
    <row r="19" spans="1:9">
      <c r="A19">
        <v>2022</v>
      </c>
      <c r="B19" t="s">
        <v>46</v>
      </c>
      <c r="C19" t="s">
        <v>3010</v>
      </c>
      <c r="D19">
        <v>3</v>
      </c>
      <c r="F19" s="148">
        <v>45084</v>
      </c>
      <c r="H19" t="s">
        <v>2996</v>
      </c>
    </row>
    <row r="20" spans="1:9">
      <c r="A20">
        <v>2022</v>
      </c>
      <c r="B20" t="s">
        <v>46</v>
      </c>
      <c r="C20" t="s">
        <v>3011</v>
      </c>
      <c r="D20">
        <v>2</v>
      </c>
      <c r="F20" s="148">
        <v>45084</v>
      </c>
      <c r="H20" t="s">
        <v>2996</v>
      </c>
    </row>
    <row r="21" spans="1:9">
      <c r="A21">
        <v>2022</v>
      </c>
      <c r="B21" t="s">
        <v>46</v>
      </c>
      <c r="C21" s="44" t="s">
        <v>3012</v>
      </c>
      <c r="D21" t="s">
        <v>3013</v>
      </c>
      <c r="F21" s="148">
        <v>45085</v>
      </c>
      <c r="H21" t="s">
        <v>2996</v>
      </c>
    </row>
    <row r="22" spans="1:9">
      <c r="A22">
        <v>2022</v>
      </c>
      <c r="B22" t="s">
        <v>46</v>
      </c>
      <c r="C22" t="s">
        <v>3014</v>
      </c>
      <c r="D22" t="s">
        <v>3013</v>
      </c>
      <c r="F22" s="148">
        <v>45085</v>
      </c>
      <c r="G22" t="s">
        <v>3015</v>
      </c>
      <c r="H22" t="s">
        <v>2996</v>
      </c>
    </row>
    <row r="23" spans="1:9">
      <c r="A23">
        <v>2022</v>
      </c>
      <c r="B23" t="s">
        <v>46</v>
      </c>
      <c r="C23" t="s">
        <v>3016</v>
      </c>
      <c r="D23" t="s">
        <v>3013</v>
      </c>
      <c r="F23" s="148">
        <v>45085</v>
      </c>
      <c r="H23" t="s">
        <v>2996</v>
      </c>
    </row>
    <row r="24" spans="1:9">
      <c r="A24">
        <v>2022</v>
      </c>
      <c r="B24" t="s">
        <v>46</v>
      </c>
      <c r="C24" s="44" t="s">
        <v>3017</v>
      </c>
      <c r="D24" t="s">
        <v>3013</v>
      </c>
      <c r="F24" s="148">
        <v>45085</v>
      </c>
      <c r="H24" t="s">
        <v>2996</v>
      </c>
    </row>
    <row r="25" spans="1:9">
      <c r="A25">
        <v>2022</v>
      </c>
      <c r="B25" t="s">
        <v>46</v>
      </c>
      <c r="C25" t="s">
        <v>3018</v>
      </c>
      <c r="D25" t="s">
        <v>3013</v>
      </c>
      <c r="F25" s="148">
        <v>45085</v>
      </c>
      <c r="H25" t="s">
        <v>2996</v>
      </c>
    </row>
    <row r="26" spans="1:9">
      <c r="A26">
        <v>2022</v>
      </c>
      <c r="B26" t="s">
        <v>46</v>
      </c>
      <c r="C26" t="s">
        <v>3019</v>
      </c>
      <c r="D26" t="s">
        <v>3013</v>
      </c>
      <c r="F26" s="148">
        <v>45085</v>
      </c>
      <c r="H26" t="s">
        <v>2996</v>
      </c>
    </row>
    <row r="27" spans="1:9">
      <c r="A27" s="64" t="s">
        <v>3020</v>
      </c>
    </row>
    <row r="28" spans="1:9">
      <c r="A28" s="64"/>
    </row>
    <row r="29" spans="1:9" s="160" customFormat="1">
      <c r="A29" s="205" t="str">
        <f>A5</f>
        <v>Deployment 8/5/2022 IN2022_V03</v>
      </c>
      <c r="B29" s="206" t="s">
        <v>3021</v>
      </c>
      <c r="I29" s="205" t="s">
        <v>3022</v>
      </c>
    </row>
    <row r="30" spans="1:9">
      <c r="A30">
        <v>2022</v>
      </c>
      <c r="B30" t="s">
        <v>76</v>
      </c>
      <c r="C30" s="44" t="s">
        <v>3023</v>
      </c>
      <c r="D30">
        <v>3</v>
      </c>
      <c r="F30" s="148">
        <v>45085</v>
      </c>
      <c r="H30" t="s">
        <v>2996</v>
      </c>
    </row>
    <row r="31" spans="1:9">
      <c r="A31">
        <v>2022</v>
      </c>
      <c r="B31" t="s">
        <v>76</v>
      </c>
      <c r="C31" t="s">
        <v>3024</v>
      </c>
      <c r="D31">
        <v>5</v>
      </c>
      <c r="F31" s="148">
        <v>45085</v>
      </c>
      <c r="H31" t="s">
        <v>2996</v>
      </c>
    </row>
    <row r="32" spans="1:9">
      <c r="A32">
        <v>2022</v>
      </c>
      <c r="B32" t="s">
        <v>76</v>
      </c>
      <c r="C32" s="44" t="s">
        <v>3025</v>
      </c>
      <c r="D32">
        <v>2</v>
      </c>
      <c r="F32" s="148">
        <v>45085</v>
      </c>
      <c r="H32" t="s">
        <v>2996</v>
      </c>
    </row>
    <row r="33" spans="1:8">
      <c r="A33">
        <v>2022</v>
      </c>
      <c r="B33" t="s">
        <v>76</v>
      </c>
      <c r="C33" t="s">
        <v>3026</v>
      </c>
      <c r="D33">
        <v>1</v>
      </c>
      <c r="F33" s="148">
        <v>45085</v>
      </c>
      <c r="H33" t="s">
        <v>2996</v>
      </c>
    </row>
    <row r="34" spans="1:8">
      <c r="A34">
        <v>2022</v>
      </c>
      <c r="B34" t="s">
        <v>76</v>
      </c>
      <c r="C34" s="44" t="s">
        <v>3027</v>
      </c>
      <c r="D34">
        <v>3</v>
      </c>
      <c r="F34" s="148">
        <v>45085</v>
      </c>
      <c r="H34" t="s">
        <v>2996</v>
      </c>
    </row>
    <row r="35" spans="1:8">
      <c r="A35">
        <v>2022</v>
      </c>
      <c r="B35" t="s">
        <v>76</v>
      </c>
      <c r="C35" t="s">
        <v>3028</v>
      </c>
      <c r="D35">
        <v>2</v>
      </c>
      <c r="F35" s="148">
        <v>45085</v>
      </c>
      <c r="H35" t="s">
        <v>2996</v>
      </c>
    </row>
    <row r="36" spans="1:8">
      <c r="A36">
        <v>2022</v>
      </c>
      <c r="B36" t="s">
        <v>76</v>
      </c>
      <c r="C36" s="44" t="s">
        <v>3029</v>
      </c>
      <c r="D36">
        <v>4</v>
      </c>
      <c r="F36" s="148">
        <v>45085</v>
      </c>
      <c r="H36" t="s">
        <v>2996</v>
      </c>
    </row>
    <row r="37" spans="1:8">
      <c r="A37">
        <v>2022</v>
      </c>
      <c r="B37" t="s">
        <v>76</v>
      </c>
      <c r="C37" t="s">
        <v>3030</v>
      </c>
      <c r="D37">
        <v>5</v>
      </c>
      <c r="F37" s="148">
        <v>45085</v>
      </c>
      <c r="H37" t="s">
        <v>2996</v>
      </c>
    </row>
    <row r="38" spans="1:8">
      <c r="A38">
        <v>2022</v>
      </c>
      <c r="B38" t="s">
        <v>76</v>
      </c>
      <c r="C38" s="44" t="s">
        <v>3031</v>
      </c>
      <c r="D38">
        <v>2</v>
      </c>
      <c r="F38" s="148">
        <v>45085</v>
      </c>
      <c r="H38" t="s">
        <v>2996</v>
      </c>
    </row>
    <row r="39" spans="1:8">
      <c r="A39">
        <v>2022</v>
      </c>
      <c r="B39" t="s">
        <v>76</v>
      </c>
      <c r="C39" t="s">
        <v>3032</v>
      </c>
      <c r="D39">
        <v>3</v>
      </c>
      <c r="F39" s="148">
        <v>45085</v>
      </c>
      <c r="H39" t="s">
        <v>3033</v>
      </c>
    </row>
    <row r="40" spans="1:8">
      <c r="A40">
        <v>2022</v>
      </c>
      <c r="B40" t="s">
        <v>76</v>
      </c>
      <c r="C40" s="44" t="s">
        <v>3034</v>
      </c>
      <c r="D40">
        <v>3</v>
      </c>
      <c r="F40" s="148">
        <v>45085</v>
      </c>
      <c r="H40" t="s">
        <v>3033</v>
      </c>
    </row>
    <row r="41" spans="1:8">
      <c r="A41">
        <v>2022</v>
      </c>
      <c r="B41" t="s">
        <v>76</v>
      </c>
      <c r="C41" t="s">
        <v>3035</v>
      </c>
      <c r="D41">
        <v>2</v>
      </c>
      <c r="F41" s="148">
        <v>45085</v>
      </c>
      <c r="H41" t="s">
        <v>3033</v>
      </c>
    </row>
    <row r="42" spans="1:8">
      <c r="A42">
        <v>2022</v>
      </c>
      <c r="B42" t="s">
        <v>76</v>
      </c>
      <c r="C42" s="44" t="s">
        <v>3036</v>
      </c>
      <c r="D42">
        <v>1</v>
      </c>
      <c r="F42" s="148">
        <v>45085</v>
      </c>
      <c r="H42" t="s">
        <v>3033</v>
      </c>
    </row>
    <row r="43" spans="1:8">
      <c r="A43">
        <v>2022</v>
      </c>
      <c r="B43" t="s">
        <v>76</v>
      </c>
      <c r="C43" s="44" t="s">
        <v>3037</v>
      </c>
      <c r="F43" s="148"/>
    </row>
    <row r="44" spans="1:8">
      <c r="A44">
        <v>2022</v>
      </c>
      <c r="B44" t="s">
        <v>76</v>
      </c>
      <c r="C44" t="s">
        <v>3038</v>
      </c>
      <c r="D44" t="s">
        <v>3013</v>
      </c>
      <c r="F44" s="148">
        <v>45085</v>
      </c>
      <c r="H44" t="s">
        <v>3033</v>
      </c>
    </row>
    <row r="45" spans="1:8">
      <c r="A45">
        <v>2022</v>
      </c>
      <c r="B45" t="s">
        <v>76</v>
      </c>
      <c r="C45" t="s">
        <v>3039</v>
      </c>
      <c r="D45" t="s">
        <v>3013</v>
      </c>
      <c r="F45" s="148">
        <v>45085</v>
      </c>
      <c r="H45" t="s">
        <v>3033</v>
      </c>
    </row>
    <row r="46" spans="1:8">
      <c r="A46">
        <v>2022</v>
      </c>
      <c r="B46" t="s">
        <v>76</v>
      </c>
      <c r="C46" t="s">
        <v>3040</v>
      </c>
      <c r="D46" t="s">
        <v>3013</v>
      </c>
      <c r="F46" s="148">
        <v>45085</v>
      </c>
      <c r="H46" t="s">
        <v>3033</v>
      </c>
    </row>
    <row r="47" spans="1:8">
      <c r="A47">
        <v>2022</v>
      </c>
      <c r="B47" t="s">
        <v>76</v>
      </c>
      <c r="C47" t="s">
        <v>3041</v>
      </c>
      <c r="D47" t="s">
        <v>3013</v>
      </c>
      <c r="F47" s="148">
        <v>45086</v>
      </c>
      <c r="H47" t="s">
        <v>3033</v>
      </c>
    </row>
    <row r="48" spans="1:8">
      <c r="A48">
        <v>2022</v>
      </c>
      <c r="B48" t="s">
        <v>76</v>
      </c>
      <c r="C48" t="s">
        <v>3042</v>
      </c>
      <c r="D48" t="s">
        <v>3013</v>
      </c>
      <c r="F48" s="148">
        <v>45086</v>
      </c>
      <c r="G48" t="s">
        <v>3043</v>
      </c>
      <c r="H48" t="s">
        <v>3033</v>
      </c>
    </row>
    <row r="49" spans="1:9">
      <c r="A49">
        <v>2022</v>
      </c>
      <c r="B49" t="s">
        <v>76</v>
      </c>
      <c r="C49" t="s">
        <v>3044</v>
      </c>
      <c r="D49">
        <v>11</v>
      </c>
      <c r="F49" s="148">
        <v>45086</v>
      </c>
      <c r="H49" t="s">
        <v>3033</v>
      </c>
    </row>
    <row r="50" spans="1:9">
      <c r="A50">
        <v>2022</v>
      </c>
      <c r="B50" t="s">
        <v>76</v>
      </c>
      <c r="C50" t="s">
        <v>3045</v>
      </c>
      <c r="D50">
        <v>2</v>
      </c>
      <c r="F50" s="148">
        <v>45086</v>
      </c>
      <c r="H50" t="s">
        <v>3033</v>
      </c>
    </row>
    <row r="51" spans="1:9">
      <c r="A51" s="64" t="s">
        <v>3020</v>
      </c>
    </row>
    <row r="53" spans="1:9" s="160" customFormat="1">
      <c r="A53" s="205" t="str">
        <f>A29</f>
        <v>Deployment 8/5/2022 IN2022_V03</v>
      </c>
      <c r="B53" s="206" t="s">
        <v>3046</v>
      </c>
      <c r="I53" s="207" t="s">
        <v>2994</v>
      </c>
    </row>
    <row r="54" spans="1:9">
      <c r="A54">
        <v>2022</v>
      </c>
      <c r="B54" t="s">
        <v>93</v>
      </c>
      <c r="C54" s="44" t="s">
        <v>3047</v>
      </c>
      <c r="D54">
        <v>3</v>
      </c>
      <c r="F54" s="148">
        <v>45086</v>
      </c>
      <c r="H54" t="s">
        <v>3033</v>
      </c>
    </row>
    <row r="55" spans="1:9">
      <c r="A55">
        <v>2022</v>
      </c>
      <c r="B55" t="s">
        <v>93</v>
      </c>
      <c r="C55" t="s">
        <v>3048</v>
      </c>
      <c r="D55">
        <v>3</v>
      </c>
      <c r="F55" s="148">
        <v>45086</v>
      </c>
      <c r="H55" t="s">
        <v>3033</v>
      </c>
    </row>
    <row r="56" spans="1:9">
      <c r="A56">
        <v>2022</v>
      </c>
      <c r="B56" t="s">
        <v>93</v>
      </c>
      <c r="C56" t="s">
        <v>3049</v>
      </c>
      <c r="D56">
        <v>2</v>
      </c>
      <c r="F56" s="148">
        <v>45086</v>
      </c>
      <c r="H56" t="s">
        <v>3033</v>
      </c>
    </row>
    <row r="57" spans="1:9">
      <c r="A57">
        <v>2022</v>
      </c>
      <c r="B57" t="s">
        <v>93</v>
      </c>
      <c r="C57" s="44" t="s">
        <v>3050</v>
      </c>
      <c r="D57">
        <v>2</v>
      </c>
      <c r="F57" s="148">
        <v>45086</v>
      </c>
      <c r="H57" s="364" t="s">
        <v>3033</v>
      </c>
    </row>
    <row r="58" spans="1:9">
      <c r="A58">
        <v>2022</v>
      </c>
      <c r="B58" t="s">
        <v>93</v>
      </c>
      <c r="C58" t="s">
        <v>3051</v>
      </c>
      <c r="D58">
        <v>6</v>
      </c>
      <c r="F58" s="148">
        <v>45086</v>
      </c>
      <c r="H58" s="364" t="s">
        <v>3033</v>
      </c>
    </row>
    <row r="59" spans="1:9">
      <c r="A59">
        <v>2022</v>
      </c>
      <c r="B59" t="s">
        <v>93</v>
      </c>
      <c r="C59" t="s">
        <v>3052</v>
      </c>
      <c r="D59">
        <v>2</v>
      </c>
      <c r="F59" s="148">
        <v>45086</v>
      </c>
      <c r="H59" s="364" t="s">
        <v>3033</v>
      </c>
    </row>
    <row r="60" spans="1:9">
      <c r="A60">
        <v>2022</v>
      </c>
      <c r="B60" t="s">
        <v>93</v>
      </c>
      <c r="C60" s="44" t="s">
        <v>3053</v>
      </c>
      <c r="D60">
        <v>2</v>
      </c>
      <c r="F60" s="148">
        <v>45086</v>
      </c>
      <c r="H60" s="364" t="s">
        <v>3033</v>
      </c>
    </row>
    <row r="61" spans="1:9">
      <c r="A61">
        <v>2022</v>
      </c>
      <c r="B61" t="s">
        <v>93</v>
      </c>
      <c r="C61" t="s">
        <v>3054</v>
      </c>
      <c r="D61">
        <v>2</v>
      </c>
      <c r="F61" s="148">
        <v>45086</v>
      </c>
      <c r="H61" s="364" t="s">
        <v>3033</v>
      </c>
    </row>
    <row r="62" spans="1:9">
      <c r="A62">
        <v>2022</v>
      </c>
      <c r="B62" t="s">
        <v>93</v>
      </c>
      <c r="C62" t="s">
        <v>3055</v>
      </c>
      <c r="D62">
        <v>2</v>
      </c>
      <c r="F62" s="148">
        <v>45089</v>
      </c>
      <c r="H62" s="364" t="s">
        <v>3033</v>
      </c>
    </row>
    <row r="63" spans="1:9">
      <c r="A63">
        <v>2022</v>
      </c>
      <c r="B63" t="s">
        <v>93</v>
      </c>
      <c r="C63" s="44" t="s">
        <v>3056</v>
      </c>
      <c r="D63">
        <v>3</v>
      </c>
      <c r="F63" s="148">
        <v>45089</v>
      </c>
      <c r="H63" s="364" t="s">
        <v>3033</v>
      </c>
    </row>
    <row r="64" spans="1:9">
      <c r="A64">
        <v>2022</v>
      </c>
      <c r="B64" t="s">
        <v>93</v>
      </c>
      <c r="C64" t="s">
        <v>3057</v>
      </c>
      <c r="D64">
        <v>2</v>
      </c>
      <c r="F64" s="148">
        <v>45089</v>
      </c>
      <c r="H64" s="364" t="s">
        <v>3033</v>
      </c>
    </row>
    <row r="65" spans="1:8">
      <c r="A65">
        <v>2022</v>
      </c>
      <c r="B65" t="s">
        <v>93</v>
      </c>
      <c r="C65" t="s">
        <v>3058</v>
      </c>
      <c r="D65">
        <v>2</v>
      </c>
      <c r="F65" s="148">
        <v>45089</v>
      </c>
      <c r="H65" s="364" t="s">
        <v>3033</v>
      </c>
    </row>
    <row r="66" spans="1:8">
      <c r="A66">
        <v>2022</v>
      </c>
      <c r="B66" t="s">
        <v>93</v>
      </c>
      <c r="C66" s="44" t="s">
        <v>3059</v>
      </c>
      <c r="D66">
        <v>13</v>
      </c>
      <c r="F66" s="148">
        <v>45089</v>
      </c>
      <c r="H66" s="364" t="s">
        <v>3033</v>
      </c>
    </row>
    <row r="67" spans="1:8">
      <c r="A67">
        <v>2022</v>
      </c>
      <c r="B67" t="s">
        <v>93</v>
      </c>
      <c r="C67" t="s">
        <v>3060</v>
      </c>
      <c r="D67">
        <v>15</v>
      </c>
      <c r="F67" s="148">
        <v>45089</v>
      </c>
      <c r="H67" s="364" t="s">
        <v>3033</v>
      </c>
    </row>
    <row r="68" spans="1:8">
      <c r="A68">
        <v>2022</v>
      </c>
      <c r="B68" t="s">
        <v>93</v>
      </c>
      <c r="C68" t="s">
        <v>3061</v>
      </c>
      <c r="D68">
        <v>31</v>
      </c>
      <c r="F68" s="148">
        <v>45089</v>
      </c>
      <c r="G68" t="s">
        <v>3062</v>
      </c>
      <c r="H68" s="364" t="s">
        <v>3033</v>
      </c>
    </row>
    <row r="69" spans="1:8">
      <c r="A69">
        <v>2022</v>
      </c>
      <c r="B69" t="s">
        <v>93</v>
      </c>
      <c r="C69" s="44" t="s">
        <v>3063</v>
      </c>
      <c r="D69">
        <v>12</v>
      </c>
      <c r="F69" s="148">
        <v>45089</v>
      </c>
      <c r="G69" t="s">
        <v>3064</v>
      </c>
      <c r="H69" s="364" t="s">
        <v>3033</v>
      </c>
    </row>
    <row r="70" spans="1:8">
      <c r="A70">
        <v>2022</v>
      </c>
      <c r="B70" t="s">
        <v>93</v>
      </c>
      <c r="C70" t="s">
        <v>3065</v>
      </c>
      <c r="D70">
        <v>3</v>
      </c>
      <c r="F70" s="148">
        <v>45089</v>
      </c>
      <c r="H70" s="364" t="s">
        <v>3033</v>
      </c>
    </row>
    <row r="71" spans="1:8">
      <c r="A71">
        <v>2022</v>
      </c>
      <c r="B71" t="s">
        <v>93</v>
      </c>
      <c r="C71" t="s">
        <v>3066</v>
      </c>
      <c r="D71">
        <v>2</v>
      </c>
      <c r="F71" s="148">
        <v>45089</v>
      </c>
      <c r="H71" s="364" t="s">
        <v>3033</v>
      </c>
    </row>
    <row r="72" spans="1:8">
      <c r="A72">
        <v>2022</v>
      </c>
      <c r="B72" t="s">
        <v>93</v>
      </c>
      <c r="C72" s="44" t="s">
        <v>3067</v>
      </c>
      <c r="D72">
        <v>4</v>
      </c>
      <c r="F72" s="148">
        <v>45089</v>
      </c>
      <c r="H72" s="364" t="s">
        <v>3033</v>
      </c>
    </row>
    <row r="73" spans="1:8">
      <c r="A73">
        <v>2022</v>
      </c>
      <c r="B73" t="s">
        <v>93</v>
      </c>
      <c r="C73" t="s">
        <v>3068</v>
      </c>
      <c r="D73">
        <v>5</v>
      </c>
      <c r="F73" s="148">
        <v>45089</v>
      </c>
      <c r="H73" s="364" t="s">
        <v>3033</v>
      </c>
    </row>
    <row r="74" spans="1:8">
      <c r="A74">
        <v>2022</v>
      </c>
      <c r="B74" t="s">
        <v>93</v>
      </c>
      <c r="C74" t="s">
        <v>3069</v>
      </c>
      <c r="D74">
        <v>2</v>
      </c>
      <c r="F74" s="148">
        <v>45089</v>
      </c>
      <c r="H74" s="364" t="s">
        <v>3033</v>
      </c>
    </row>
    <row r="75" spans="1:8">
      <c r="A75" s="64" t="s">
        <v>3020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532EA-97DA-452F-9A47-58C1E9519117}">
  <dimension ref="A1:AK81"/>
  <sheetViews>
    <sheetView workbookViewId="0">
      <pane ySplit="3" topLeftCell="A4" activePane="bottomLeft" state="frozen"/>
      <selection pane="bottomLeft" activeCell="Y30" sqref="Y30"/>
    </sheetView>
  </sheetViews>
  <sheetFormatPr defaultRowHeight="14.5"/>
  <cols>
    <col min="4" max="7" width="9.1796875" customWidth="1"/>
    <col min="8" max="10" width="10.7265625" hidden="1" customWidth="1"/>
    <col min="11" max="11" width="9.7265625" hidden="1" customWidth="1"/>
    <col min="12" max="13" width="10.7265625" hidden="1" customWidth="1"/>
    <col min="14" max="20" width="9.1796875" hidden="1" customWidth="1"/>
    <col min="21" max="22" width="9.1796875" customWidth="1"/>
    <col min="23" max="23" width="9.1796875" style="364" customWidth="1"/>
    <col min="24" max="24" width="9.1796875" customWidth="1"/>
    <col min="34" max="34" width="8.7265625" style="364"/>
  </cols>
  <sheetData>
    <row r="1" spans="1:37" ht="15.5">
      <c r="B1" t="s">
        <v>32</v>
      </c>
      <c r="C1" t="s">
        <v>2984</v>
      </c>
      <c r="D1" t="s">
        <v>3070</v>
      </c>
      <c r="E1" t="s">
        <v>3070</v>
      </c>
      <c r="F1" s="110" t="s">
        <v>3071</v>
      </c>
      <c r="G1" s="113" t="s">
        <v>3071</v>
      </c>
      <c r="H1" s="209" t="s">
        <v>3072</v>
      </c>
      <c r="I1" s="209" t="s">
        <v>3072</v>
      </c>
      <c r="J1" t="s">
        <v>3073</v>
      </c>
      <c r="K1" s="121" t="s">
        <v>3074</v>
      </c>
      <c r="L1" s="121" t="s">
        <v>3075</v>
      </c>
      <c r="M1" t="s">
        <v>3073</v>
      </c>
      <c r="N1" s="121" t="s">
        <v>3074</v>
      </c>
      <c r="O1" s="121" t="s">
        <v>3075</v>
      </c>
      <c r="P1" s="121" t="s">
        <v>3076</v>
      </c>
      <c r="Q1" t="s">
        <v>3077</v>
      </c>
      <c r="R1" t="s">
        <v>3078</v>
      </c>
      <c r="S1" t="s">
        <v>25</v>
      </c>
      <c r="T1" t="s">
        <v>25</v>
      </c>
      <c r="U1" s="110" t="s">
        <v>3071</v>
      </c>
      <c r="V1" s="210" t="s">
        <v>3071</v>
      </c>
      <c r="W1" s="366" t="s">
        <v>3071</v>
      </c>
      <c r="X1" s="208" t="s">
        <v>3071</v>
      </c>
      <c r="Y1" s="211" t="s">
        <v>3071</v>
      </c>
      <c r="Z1" s="212" t="s">
        <v>3071</v>
      </c>
      <c r="AA1" s="212" t="s">
        <v>3079</v>
      </c>
      <c r="AB1" s="212" t="s">
        <v>3079</v>
      </c>
      <c r="AC1" s="213" t="s">
        <v>3073</v>
      </c>
      <c r="AD1" s="214" t="s">
        <v>3074</v>
      </c>
      <c r="AE1" s="214" t="s">
        <v>3075</v>
      </c>
      <c r="AF1" s="103" t="s">
        <v>3071</v>
      </c>
      <c r="AG1" s="103" t="s">
        <v>3071</v>
      </c>
      <c r="AH1" s="369" t="s">
        <v>3071</v>
      </c>
      <c r="AI1" s="213" t="s">
        <v>3073</v>
      </c>
      <c r="AJ1" s="214" t="s">
        <v>3074</v>
      </c>
      <c r="AK1" s="214" t="s">
        <v>3075</v>
      </c>
    </row>
    <row r="2" spans="1:37" ht="15.5">
      <c r="B2" t="s">
        <v>3080</v>
      </c>
      <c r="C2" t="s">
        <v>3081</v>
      </c>
      <c r="D2" t="s">
        <v>3082</v>
      </c>
      <c r="E2" t="s">
        <v>3083</v>
      </c>
      <c r="F2" s="110" t="s">
        <v>3084</v>
      </c>
      <c r="G2" s="113" t="s">
        <v>3085</v>
      </c>
      <c r="H2" s="209" t="s">
        <v>3084</v>
      </c>
      <c r="I2" s="209" t="s">
        <v>3086</v>
      </c>
      <c r="J2" t="s">
        <v>3087</v>
      </c>
      <c r="K2" s="121" t="s">
        <v>3088</v>
      </c>
      <c r="L2" s="121" t="s">
        <v>3089</v>
      </c>
      <c r="M2" t="s">
        <v>3087</v>
      </c>
      <c r="N2" s="121" t="s">
        <v>3088</v>
      </c>
      <c r="O2" s="121" t="s">
        <v>3089</v>
      </c>
      <c r="P2" s="121"/>
      <c r="Q2" t="s">
        <v>3090</v>
      </c>
      <c r="U2" s="110" t="s">
        <v>3091</v>
      </c>
      <c r="V2" s="210" t="s">
        <v>3092</v>
      </c>
      <c r="W2" s="366" t="s">
        <v>3093</v>
      </c>
      <c r="X2" s="208" t="s">
        <v>3094</v>
      </c>
      <c r="Y2" s="211" t="s">
        <v>3095</v>
      </c>
      <c r="Z2" s="212" t="s">
        <v>3096</v>
      </c>
      <c r="AA2" s="212" t="s">
        <v>3097</v>
      </c>
      <c r="AB2" s="212" t="s">
        <v>3088</v>
      </c>
      <c r="AC2" s="213" t="s">
        <v>3087</v>
      </c>
      <c r="AD2" s="214" t="s">
        <v>3088</v>
      </c>
      <c r="AE2" s="214" t="s">
        <v>3089</v>
      </c>
      <c r="AF2" s="103" t="s">
        <v>3098</v>
      </c>
      <c r="AG2" s="103" t="s">
        <v>3099</v>
      </c>
      <c r="AH2" s="369" t="s">
        <v>3099</v>
      </c>
      <c r="AI2" s="213" t="s">
        <v>3087</v>
      </c>
      <c r="AJ2" s="214" t="s">
        <v>3088</v>
      </c>
      <c r="AK2" s="214" t="s">
        <v>3089</v>
      </c>
    </row>
    <row r="3" spans="1:37">
      <c r="A3" s="53"/>
      <c r="B3" s="53"/>
      <c r="C3" s="151"/>
      <c r="D3" s="151"/>
      <c r="E3" s="53"/>
      <c r="F3" s="113" t="s">
        <v>3097</v>
      </c>
      <c r="G3" s="113" t="s">
        <v>3097</v>
      </c>
      <c r="H3" s="215"/>
      <c r="I3" s="215"/>
      <c r="J3" s="53" t="s">
        <v>3100</v>
      </c>
      <c r="K3" s="53" t="s">
        <v>3100</v>
      </c>
      <c r="L3" s="53" t="s">
        <v>3100</v>
      </c>
      <c r="M3" s="53" t="s">
        <v>3101</v>
      </c>
      <c r="N3" s="53" t="s">
        <v>3101</v>
      </c>
      <c r="O3" s="53" t="s">
        <v>3101</v>
      </c>
      <c r="P3" s="149"/>
      <c r="Q3" s="53"/>
      <c r="R3" s="53"/>
      <c r="S3" s="53"/>
      <c r="T3" s="53"/>
      <c r="U3" s="113" t="s">
        <v>3097</v>
      </c>
      <c r="V3" s="210" t="s">
        <v>3097</v>
      </c>
      <c r="W3" s="366" t="s">
        <v>3097</v>
      </c>
      <c r="X3" s="208"/>
      <c r="Y3" s="110" t="s">
        <v>3097</v>
      </c>
      <c r="Z3" s="1" t="s">
        <v>3097</v>
      </c>
      <c r="AA3" s="1" t="s">
        <v>3097</v>
      </c>
      <c r="AB3" s="1" t="s">
        <v>3088</v>
      </c>
      <c r="AC3" s="53"/>
      <c r="AD3" s="53"/>
      <c r="AE3" s="53"/>
      <c r="AF3" s="103" t="s">
        <v>3097</v>
      </c>
      <c r="AG3" s="103" t="s">
        <v>3097</v>
      </c>
      <c r="AH3" s="369" t="s">
        <v>3088</v>
      </c>
      <c r="AI3" s="53"/>
      <c r="AJ3" s="53"/>
      <c r="AK3" s="53"/>
    </row>
    <row r="5" spans="1:37" s="216" customFormat="1">
      <c r="A5" s="216" t="str">
        <f>Main!A6</f>
        <v>Deployment 8/5/2022 IN2022_V03</v>
      </c>
      <c r="B5" s="216" t="str">
        <f>Main!B6</f>
        <v>McLane-PARFLUX-Mark78H-21 ; frame# 12419-01, controller# 12419-01 and Motor # 12419-01 Cup set AAx21</v>
      </c>
      <c r="W5" s="364"/>
      <c r="AH5" s="364"/>
    </row>
    <row r="6" spans="1:37">
      <c r="A6">
        <v>2022</v>
      </c>
      <c r="B6" t="s">
        <v>46</v>
      </c>
      <c r="C6">
        <v>1</v>
      </c>
      <c r="D6">
        <v>4</v>
      </c>
      <c r="E6">
        <v>10</v>
      </c>
      <c r="F6">
        <v>40.799999999999997</v>
      </c>
      <c r="G6">
        <v>248</v>
      </c>
      <c r="H6" s="148">
        <v>45104</v>
      </c>
      <c r="I6" s="148">
        <v>45117</v>
      </c>
      <c r="J6" s="148">
        <f>I6</f>
        <v>45117</v>
      </c>
      <c r="K6" s="117">
        <v>32</v>
      </c>
      <c r="L6">
        <v>22.6</v>
      </c>
      <c r="M6" s="148">
        <v>45104</v>
      </c>
      <c r="R6" t="s">
        <v>54</v>
      </c>
      <c r="U6">
        <f>G6-F6</f>
        <v>207.2</v>
      </c>
      <c r="V6" s="110">
        <f>(U6/7)*10</f>
        <v>296</v>
      </c>
      <c r="W6" s="366">
        <f>U6/7</f>
        <v>29.599999999999998</v>
      </c>
      <c r="Y6">
        <v>14594.3</v>
      </c>
      <c r="AF6">
        <v>43.3</v>
      </c>
      <c r="AG6">
        <f>AF6-F6</f>
        <v>2.5</v>
      </c>
      <c r="AH6" s="364">
        <f>(AG6/U6)*100</f>
        <v>1.2065637065637065</v>
      </c>
      <c r="AI6" s="364">
        <f>AG6/(AG6+U6)*100</f>
        <v>1.1921793037672868</v>
      </c>
    </row>
    <row r="7" spans="1:37">
      <c r="A7">
        <v>2022</v>
      </c>
      <c r="B7" t="s">
        <v>46</v>
      </c>
      <c r="C7">
        <v>2</v>
      </c>
      <c r="D7">
        <v>4</v>
      </c>
      <c r="E7">
        <v>10</v>
      </c>
      <c r="F7">
        <v>41.300000000000004</v>
      </c>
      <c r="G7">
        <v>179.2</v>
      </c>
      <c r="H7" s="148">
        <v>45104</v>
      </c>
      <c r="I7" s="148">
        <v>45117</v>
      </c>
      <c r="J7" s="148">
        <f t="shared" ref="J7:J29" si="0">I7</f>
        <v>45117</v>
      </c>
      <c r="K7" s="117">
        <v>32</v>
      </c>
      <c r="L7">
        <v>22.6</v>
      </c>
      <c r="M7" s="148">
        <v>45104</v>
      </c>
      <c r="R7" t="s">
        <v>54</v>
      </c>
      <c r="U7">
        <f t="shared" ref="U7:U29" si="1">G7-F7</f>
        <v>137.89999999999998</v>
      </c>
      <c r="V7" s="110">
        <f t="shared" ref="V7:V29" si="2">(U7/7)*10</f>
        <v>196.99999999999994</v>
      </c>
      <c r="W7" s="366">
        <f t="shared" ref="W7:W29" si="3">U7/7</f>
        <v>19.699999999999996</v>
      </c>
      <c r="Y7">
        <v>15008.9</v>
      </c>
    </row>
    <row r="8" spans="1:37">
      <c r="A8">
        <v>2022</v>
      </c>
      <c r="B8" t="s">
        <v>46</v>
      </c>
      <c r="C8">
        <v>3</v>
      </c>
      <c r="D8">
        <v>4</v>
      </c>
      <c r="E8">
        <v>10</v>
      </c>
      <c r="F8">
        <v>39</v>
      </c>
      <c r="G8">
        <v>209.9</v>
      </c>
      <c r="H8" s="148">
        <v>45104</v>
      </c>
      <c r="I8" s="148">
        <v>45117</v>
      </c>
      <c r="J8" s="148">
        <f t="shared" si="0"/>
        <v>45117</v>
      </c>
      <c r="K8" s="117">
        <v>32</v>
      </c>
      <c r="L8">
        <v>22.6</v>
      </c>
      <c r="M8" s="148">
        <v>45104</v>
      </c>
      <c r="R8" t="s">
        <v>54</v>
      </c>
      <c r="U8">
        <f t="shared" si="1"/>
        <v>170.9</v>
      </c>
      <c r="V8" s="110">
        <f t="shared" si="2"/>
        <v>244.14285714285714</v>
      </c>
      <c r="W8" s="366">
        <f>U8/7</f>
        <v>24.414285714285715</v>
      </c>
      <c r="Y8">
        <v>14615.6</v>
      </c>
    </row>
    <row r="9" spans="1:37" s="217" customFormat="1">
      <c r="A9" s="217">
        <v>2022</v>
      </c>
      <c r="B9" s="217" t="s">
        <v>46</v>
      </c>
      <c r="C9" s="217">
        <v>4</v>
      </c>
      <c r="D9" s="217">
        <v>4</v>
      </c>
      <c r="E9" s="217">
        <v>5</v>
      </c>
      <c r="F9" s="217">
        <v>39</v>
      </c>
      <c r="G9" s="217">
        <v>133.80000000000001</v>
      </c>
      <c r="H9" s="218">
        <v>45104</v>
      </c>
      <c r="I9" s="218">
        <v>45117</v>
      </c>
      <c r="J9" s="218">
        <f t="shared" si="0"/>
        <v>45117</v>
      </c>
      <c r="K9" s="219">
        <v>32</v>
      </c>
      <c r="L9" s="217">
        <v>22.6</v>
      </c>
      <c r="M9" s="218">
        <v>45104</v>
      </c>
      <c r="R9" s="217" t="s">
        <v>54</v>
      </c>
      <c r="U9" s="217">
        <f t="shared" si="1"/>
        <v>94.800000000000011</v>
      </c>
      <c r="V9" s="110">
        <f>((U9+U10+U11)/7)*10</f>
        <v>491.42857142857144</v>
      </c>
      <c r="W9" s="366">
        <f>U9/2</f>
        <v>47.400000000000006</v>
      </c>
      <c r="X9" s="311">
        <f>ABS(W9-W10)</f>
        <v>0.69999999999999574</v>
      </c>
      <c r="Y9" s="217">
        <v>15106.2</v>
      </c>
      <c r="AF9" s="217">
        <v>42.6</v>
      </c>
      <c r="AG9" s="217">
        <f>AF9-F9</f>
        <v>3.6000000000000014</v>
      </c>
      <c r="AH9" s="364">
        <f>(AG9/U9)*100</f>
        <v>3.7974683544303804</v>
      </c>
    </row>
    <row r="10" spans="1:37" s="217" customFormat="1">
      <c r="A10" s="217">
        <v>2022</v>
      </c>
      <c r="B10" s="217" t="s">
        <v>46</v>
      </c>
      <c r="C10" s="217" t="s">
        <v>3102</v>
      </c>
      <c r="D10" s="217">
        <v>6</v>
      </c>
      <c r="E10" s="217">
        <v>8</v>
      </c>
      <c r="F10" s="217">
        <v>39.299999999999997</v>
      </c>
      <c r="G10" s="217">
        <v>183.6</v>
      </c>
      <c r="H10" s="218">
        <v>45104</v>
      </c>
      <c r="I10" s="218">
        <v>45117</v>
      </c>
      <c r="J10" s="218">
        <f t="shared" si="0"/>
        <v>45117</v>
      </c>
      <c r="K10" s="219">
        <v>32</v>
      </c>
      <c r="L10" s="217">
        <v>22.6</v>
      </c>
      <c r="M10" s="218">
        <v>45104</v>
      </c>
      <c r="R10" s="217" t="s">
        <v>54</v>
      </c>
      <c r="U10" s="217">
        <f t="shared" si="1"/>
        <v>144.30000000000001</v>
      </c>
      <c r="V10" s="110"/>
      <c r="W10" s="366">
        <f>U10/3</f>
        <v>48.1</v>
      </c>
      <c r="X10" s="311">
        <f>ABS(W10-W11)</f>
        <v>4.3499999999999943</v>
      </c>
      <c r="AH10" s="364"/>
    </row>
    <row r="11" spans="1:37" s="217" customFormat="1">
      <c r="A11" s="217">
        <v>2022</v>
      </c>
      <c r="B11" s="217" t="s">
        <v>46</v>
      </c>
      <c r="C11" s="217" t="s">
        <v>3103</v>
      </c>
      <c r="D11" s="217">
        <v>9</v>
      </c>
      <c r="E11" s="217">
        <v>10</v>
      </c>
      <c r="F11" s="217">
        <v>40.799999999999997</v>
      </c>
      <c r="G11" s="217">
        <v>145.69999999999999</v>
      </c>
      <c r="H11" s="218">
        <v>45104</v>
      </c>
      <c r="I11" s="218">
        <v>45117</v>
      </c>
      <c r="J11" s="218">
        <f t="shared" si="0"/>
        <v>45117</v>
      </c>
      <c r="K11" s="219">
        <v>32</v>
      </c>
      <c r="L11" s="217">
        <v>22.6</v>
      </c>
      <c r="M11" s="218">
        <v>45104</v>
      </c>
      <c r="R11" s="217" t="s">
        <v>54</v>
      </c>
      <c r="U11" s="217">
        <f t="shared" si="1"/>
        <v>104.89999999999999</v>
      </c>
      <c r="V11" s="110"/>
      <c r="W11" s="366">
        <f>U11/2</f>
        <v>52.449999999999996</v>
      </c>
      <c r="X11" s="311">
        <f>ABS(W11-W9)</f>
        <v>5.0499999999999901</v>
      </c>
      <c r="AH11" s="364"/>
    </row>
    <row r="12" spans="1:37">
      <c r="A12">
        <v>2022</v>
      </c>
      <c r="B12" t="s">
        <v>46</v>
      </c>
      <c r="C12">
        <v>5</v>
      </c>
      <c r="D12">
        <v>4</v>
      </c>
      <c r="E12">
        <v>10</v>
      </c>
      <c r="F12">
        <v>40.5</v>
      </c>
      <c r="G12">
        <v>181.2</v>
      </c>
      <c r="H12" s="148">
        <v>45110</v>
      </c>
      <c r="I12" s="148">
        <v>45117</v>
      </c>
      <c r="J12" s="148">
        <f t="shared" si="0"/>
        <v>45117</v>
      </c>
      <c r="K12" s="117">
        <v>32</v>
      </c>
      <c r="L12">
        <v>22.6</v>
      </c>
      <c r="M12" s="148">
        <v>45104</v>
      </c>
      <c r="R12" t="s">
        <v>54</v>
      </c>
      <c r="U12">
        <f t="shared" si="1"/>
        <v>140.69999999999999</v>
      </c>
      <c r="V12" s="110">
        <f t="shared" si="2"/>
        <v>200.99999999999997</v>
      </c>
      <c r="W12" s="366">
        <f t="shared" si="3"/>
        <v>20.099999999999998</v>
      </c>
      <c r="X12" s="365">
        <f>X9/SUM(U9,U10,U11)</f>
        <v>2.03488372093022E-3</v>
      </c>
      <c r="Y12">
        <v>14533.6</v>
      </c>
    </row>
    <row r="13" spans="1:37">
      <c r="A13">
        <v>2022</v>
      </c>
      <c r="B13" t="s">
        <v>46</v>
      </c>
      <c r="C13">
        <v>6</v>
      </c>
      <c r="D13">
        <v>4</v>
      </c>
      <c r="E13">
        <v>10</v>
      </c>
      <c r="F13">
        <v>39.6</v>
      </c>
      <c r="G13">
        <v>188.9</v>
      </c>
      <c r="H13" s="148">
        <v>45110</v>
      </c>
      <c r="I13" s="148">
        <v>45117</v>
      </c>
      <c r="J13" s="148">
        <f t="shared" si="0"/>
        <v>45117</v>
      </c>
      <c r="K13" s="117">
        <v>32</v>
      </c>
      <c r="L13">
        <v>22.6</v>
      </c>
      <c r="M13" s="148">
        <v>45104</v>
      </c>
      <c r="R13" t="s">
        <v>54</v>
      </c>
      <c r="U13">
        <f>G13-F13</f>
        <v>149.30000000000001</v>
      </c>
      <c r="V13" s="110">
        <f t="shared" si="2"/>
        <v>213.28571428571428</v>
      </c>
      <c r="W13" s="366">
        <f t="shared" si="3"/>
        <v>21.328571428571429</v>
      </c>
      <c r="X13" s="365">
        <f>X10/SUM(U9,U10,U11)</f>
        <v>1.2645348837209285E-2</v>
      </c>
      <c r="Y13">
        <v>15021.5</v>
      </c>
    </row>
    <row r="14" spans="1:37">
      <c r="A14">
        <v>2022</v>
      </c>
      <c r="B14" t="s">
        <v>46</v>
      </c>
      <c r="C14">
        <v>7</v>
      </c>
      <c r="D14">
        <v>4</v>
      </c>
      <c r="E14">
        <v>10</v>
      </c>
      <c r="F14">
        <v>42.9</v>
      </c>
      <c r="G14">
        <v>142.1</v>
      </c>
      <c r="H14" s="148">
        <v>45110</v>
      </c>
      <c r="I14" s="148">
        <v>45117</v>
      </c>
      <c r="J14" s="148">
        <f t="shared" si="0"/>
        <v>45117</v>
      </c>
      <c r="K14" s="117">
        <v>32</v>
      </c>
      <c r="L14">
        <v>22.6</v>
      </c>
      <c r="M14" s="148">
        <v>45105</v>
      </c>
      <c r="R14" t="s">
        <v>54</v>
      </c>
      <c r="U14">
        <f t="shared" si="1"/>
        <v>99.199999999999989</v>
      </c>
      <c r="V14" s="110">
        <f t="shared" si="2"/>
        <v>141.71428571428569</v>
      </c>
      <c r="W14" s="366">
        <f t="shared" si="3"/>
        <v>14.171428571428569</v>
      </c>
      <c r="X14" s="365">
        <f>X11/SUM(U9,U10,U11)</f>
        <v>1.4680232558139506E-2</v>
      </c>
      <c r="Y14">
        <v>15097.6</v>
      </c>
    </row>
    <row r="15" spans="1:37" s="217" customFormat="1">
      <c r="A15" s="217">
        <v>2022</v>
      </c>
      <c r="B15" s="217" t="s">
        <v>46</v>
      </c>
      <c r="C15" s="217">
        <v>8</v>
      </c>
      <c r="D15" s="217">
        <v>4</v>
      </c>
      <c r="E15" s="217">
        <v>7</v>
      </c>
      <c r="F15" s="217">
        <v>41.2</v>
      </c>
      <c r="G15" s="217">
        <v>330.79999999999995</v>
      </c>
      <c r="H15" s="218">
        <v>45110</v>
      </c>
      <c r="I15" s="218">
        <v>45117</v>
      </c>
      <c r="J15" s="218">
        <f t="shared" si="0"/>
        <v>45117</v>
      </c>
      <c r="K15" s="219">
        <v>32</v>
      </c>
      <c r="L15" s="217">
        <v>22.6</v>
      </c>
      <c r="M15" s="218">
        <v>45105</v>
      </c>
      <c r="R15" s="217" t="s">
        <v>54</v>
      </c>
      <c r="U15" s="217">
        <f t="shared" si="1"/>
        <v>289.59999999999997</v>
      </c>
      <c r="V15" s="110">
        <f>((U15+U16)/7)*10</f>
        <v>707.57142857142856</v>
      </c>
      <c r="W15" s="366">
        <f>U15/4</f>
        <v>72.399999999999991</v>
      </c>
      <c r="X15" s="311">
        <f>ABS(W15-W16)</f>
        <v>3.8333333333333286</v>
      </c>
      <c r="Y15" s="217">
        <v>14577.2</v>
      </c>
      <c r="AH15" s="364"/>
    </row>
    <row r="16" spans="1:37" s="217" customFormat="1">
      <c r="A16" s="217">
        <v>2022</v>
      </c>
      <c r="B16" s="217" t="s">
        <v>46</v>
      </c>
      <c r="C16" s="217" t="s">
        <v>3104</v>
      </c>
      <c r="D16" s="217">
        <v>8</v>
      </c>
      <c r="E16" s="217">
        <v>10</v>
      </c>
      <c r="F16" s="217">
        <v>43</v>
      </c>
      <c r="G16" s="217">
        <v>248.7</v>
      </c>
      <c r="H16" s="218">
        <v>45110</v>
      </c>
      <c r="I16" s="218">
        <v>45117</v>
      </c>
      <c r="J16" s="218">
        <f t="shared" si="0"/>
        <v>45117</v>
      </c>
      <c r="K16" s="219">
        <v>32</v>
      </c>
      <c r="L16" s="217">
        <v>22.6</v>
      </c>
      <c r="M16" s="218">
        <v>45105</v>
      </c>
      <c r="R16" s="217" t="s">
        <v>54</v>
      </c>
      <c r="U16" s="217">
        <f t="shared" si="1"/>
        <v>205.7</v>
      </c>
      <c r="V16" s="110"/>
      <c r="W16" s="366">
        <f>U16/3</f>
        <v>68.566666666666663</v>
      </c>
      <c r="X16" s="365">
        <f>X15/SUM(U15,U16)</f>
        <v>7.7394171882360771E-3</v>
      </c>
      <c r="AH16" s="364"/>
    </row>
    <row r="17" spans="1:34">
      <c r="A17">
        <v>2022</v>
      </c>
      <c r="B17" t="s">
        <v>46</v>
      </c>
      <c r="C17">
        <v>9</v>
      </c>
      <c r="D17">
        <v>4</v>
      </c>
      <c r="E17">
        <v>10</v>
      </c>
      <c r="F17">
        <f>0.0444*1000</f>
        <v>44.4</v>
      </c>
      <c r="G17">
        <f>1000*0.1926</f>
        <v>192.6</v>
      </c>
      <c r="H17" s="148">
        <v>45110</v>
      </c>
      <c r="I17" s="148">
        <v>45117</v>
      </c>
      <c r="J17" s="148">
        <f t="shared" si="0"/>
        <v>45117</v>
      </c>
      <c r="K17" s="117">
        <v>32</v>
      </c>
      <c r="L17">
        <v>22.6</v>
      </c>
      <c r="M17" s="148">
        <v>45105</v>
      </c>
      <c r="R17" t="s">
        <v>54</v>
      </c>
      <c r="U17">
        <f>G17-F17</f>
        <v>148.19999999999999</v>
      </c>
      <c r="V17" s="110">
        <f t="shared" si="2"/>
        <v>211.71428571428572</v>
      </c>
      <c r="W17" s="366">
        <f>U17/7</f>
        <v>21.171428571428571</v>
      </c>
      <c r="Y17">
        <v>15056.6</v>
      </c>
    </row>
    <row r="18" spans="1:34">
      <c r="A18">
        <v>2022</v>
      </c>
      <c r="B18" t="s">
        <v>46</v>
      </c>
      <c r="C18">
        <v>10</v>
      </c>
      <c r="D18">
        <v>4</v>
      </c>
      <c r="E18">
        <v>10</v>
      </c>
      <c r="F18">
        <f>0.042*1000</f>
        <v>42</v>
      </c>
      <c r="G18">
        <f>1000*0.2752</f>
        <v>275.2</v>
      </c>
      <c r="H18" s="148">
        <v>45110</v>
      </c>
      <c r="I18" s="148">
        <v>45117</v>
      </c>
      <c r="J18" s="148">
        <f t="shared" si="0"/>
        <v>45117</v>
      </c>
      <c r="K18" s="117">
        <v>32</v>
      </c>
      <c r="L18">
        <v>22.6</v>
      </c>
      <c r="M18" s="148">
        <v>45105</v>
      </c>
      <c r="R18" t="s">
        <v>54</v>
      </c>
      <c r="U18">
        <f t="shared" si="1"/>
        <v>233.2</v>
      </c>
      <c r="V18" s="110">
        <f t="shared" si="2"/>
        <v>333.14285714285711</v>
      </c>
      <c r="W18" s="366">
        <f t="shared" si="3"/>
        <v>33.31428571428571</v>
      </c>
      <c r="Y18">
        <v>14987.7</v>
      </c>
      <c r="AF18">
        <v>43.6</v>
      </c>
      <c r="AG18">
        <f>AF18-F18</f>
        <v>1.6000000000000014</v>
      </c>
      <c r="AH18" s="364">
        <f>(AG18/U18)*100</f>
        <v>0.68610634648370561</v>
      </c>
    </row>
    <row r="19" spans="1:34">
      <c r="A19">
        <v>2022</v>
      </c>
      <c r="B19" t="s">
        <v>46</v>
      </c>
      <c r="C19">
        <v>11</v>
      </c>
      <c r="D19">
        <v>4</v>
      </c>
      <c r="E19">
        <v>10</v>
      </c>
      <c r="F19">
        <f>0.0437*1000</f>
        <v>43.7</v>
      </c>
      <c r="G19">
        <f>1000*0.4846</f>
        <v>484.59999999999997</v>
      </c>
      <c r="H19" s="148">
        <v>45111</v>
      </c>
      <c r="I19" s="148">
        <v>45119</v>
      </c>
      <c r="J19" s="148">
        <f t="shared" si="0"/>
        <v>45119</v>
      </c>
      <c r="K19" s="117">
        <v>31</v>
      </c>
      <c r="L19">
        <v>22.5</v>
      </c>
      <c r="M19" s="148">
        <v>45105</v>
      </c>
      <c r="R19" t="s">
        <v>54</v>
      </c>
      <c r="U19">
        <f t="shared" si="1"/>
        <v>440.9</v>
      </c>
      <c r="V19" s="110">
        <f t="shared" si="2"/>
        <v>629.85714285714278</v>
      </c>
      <c r="W19" s="366">
        <f t="shared" si="3"/>
        <v>62.98571428571428</v>
      </c>
      <c r="Y19">
        <v>14593.9</v>
      </c>
      <c r="AF19">
        <v>45</v>
      </c>
      <c r="AG19">
        <f>AF19-F19</f>
        <v>1.2999999999999972</v>
      </c>
      <c r="AH19" s="364">
        <f>(AG19/U19)*100</f>
        <v>0.2948514402358805</v>
      </c>
    </row>
    <row r="20" spans="1:34">
      <c r="A20">
        <v>2022</v>
      </c>
      <c r="B20" t="s">
        <v>46</v>
      </c>
      <c r="C20">
        <v>12</v>
      </c>
      <c r="D20">
        <v>4</v>
      </c>
      <c r="E20">
        <v>10</v>
      </c>
      <c r="F20">
        <f>0.0411*1000</f>
        <v>41.099999999999994</v>
      </c>
      <c r="G20">
        <f>1000*0.2412</f>
        <v>241.2</v>
      </c>
      <c r="H20" s="148">
        <v>45111</v>
      </c>
      <c r="I20" s="148">
        <v>45119</v>
      </c>
      <c r="J20" s="148">
        <f t="shared" si="0"/>
        <v>45119</v>
      </c>
      <c r="K20" s="117">
        <v>31</v>
      </c>
      <c r="L20">
        <v>22.5</v>
      </c>
      <c r="M20" s="148">
        <v>45105</v>
      </c>
      <c r="R20" t="s">
        <v>54</v>
      </c>
      <c r="U20">
        <f t="shared" si="1"/>
        <v>200.1</v>
      </c>
      <c r="V20" s="110">
        <f t="shared" si="2"/>
        <v>285.85714285714283</v>
      </c>
      <c r="W20" s="366">
        <f t="shared" si="3"/>
        <v>28.585714285714285</v>
      </c>
      <c r="Y20">
        <v>14636.7</v>
      </c>
    </row>
    <row r="21" spans="1:34">
      <c r="A21">
        <v>2022</v>
      </c>
      <c r="B21" t="s">
        <v>46</v>
      </c>
      <c r="C21">
        <v>13</v>
      </c>
      <c r="D21">
        <v>4</v>
      </c>
      <c r="E21">
        <v>10</v>
      </c>
      <c r="F21">
        <f>0.0433*1000</f>
        <v>43.3</v>
      </c>
      <c r="G21">
        <f>1000*0.1229</f>
        <v>122.89999999999999</v>
      </c>
      <c r="H21" s="148">
        <v>45111</v>
      </c>
      <c r="I21" s="148">
        <v>45119</v>
      </c>
      <c r="J21" s="148">
        <f t="shared" si="0"/>
        <v>45119</v>
      </c>
      <c r="K21" s="117">
        <v>31</v>
      </c>
      <c r="L21">
        <v>22.5</v>
      </c>
      <c r="M21" s="148">
        <v>45105</v>
      </c>
      <c r="R21" t="s">
        <v>54</v>
      </c>
      <c r="U21">
        <f t="shared" si="1"/>
        <v>79.599999999999994</v>
      </c>
      <c r="V21" s="110">
        <f t="shared" si="2"/>
        <v>113.71428571428569</v>
      </c>
      <c r="W21" s="366">
        <f t="shared" si="3"/>
        <v>11.37142857142857</v>
      </c>
      <c r="Y21">
        <v>15140.5</v>
      </c>
    </row>
    <row r="22" spans="1:34">
      <c r="A22">
        <v>2022</v>
      </c>
      <c r="B22" t="s">
        <v>46</v>
      </c>
      <c r="C22">
        <v>14</v>
      </c>
      <c r="D22">
        <v>4</v>
      </c>
      <c r="E22">
        <v>10</v>
      </c>
      <c r="F22">
        <f>0.0434*1000</f>
        <v>43.4</v>
      </c>
      <c r="G22">
        <f>1000*0.2335</f>
        <v>233.5</v>
      </c>
      <c r="H22" s="148">
        <v>45111</v>
      </c>
      <c r="I22" s="148">
        <v>45119</v>
      </c>
      <c r="J22" s="148">
        <f t="shared" si="0"/>
        <v>45119</v>
      </c>
      <c r="K22" s="117">
        <v>31</v>
      </c>
      <c r="L22">
        <v>22.5</v>
      </c>
      <c r="M22" s="148">
        <v>45105</v>
      </c>
      <c r="R22" t="s">
        <v>54</v>
      </c>
      <c r="U22">
        <f t="shared" si="1"/>
        <v>190.1</v>
      </c>
      <c r="V22" s="110">
        <f t="shared" si="2"/>
        <v>271.57142857142856</v>
      </c>
      <c r="W22" s="366">
        <f t="shared" si="3"/>
        <v>27.157142857142855</v>
      </c>
      <c r="Y22">
        <v>14468.7</v>
      </c>
    </row>
    <row r="23" spans="1:34">
      <c r="A23">
        <v>2022</v>
      </c>
      <c r="B23" t="s">
        <v>46</v>
      </c>
      <c r="C23">
        <v>15</v>
      </c>
      <c r="D23">
        <v>4</v>
      </c>
      <c r="E23">
        <v>10</v>
      </c>
      <c r="F23">
        <f>0.0419*1000</f>
        <v>41.9</v>
      </c>
      <c r="G23">
        <f>1000*0.0985</f>
        <v>98.5</v>
      </c>
      <c r="H23" s="148">
        <v>45111</v>
      </c>
      <c r="I23" s="148">
        <v>45119</v>
      </c>
      <c r="J23" s="148">
        <f t="shared" si="0"/>
        <v>45119</v>
      </c>
      <c r="K23" s="117">
        <v>31</v>
      </c>
      <c r="L23">
        <v>22.5</v>
      </c>
      <c r="M23" s="148">
        <v>45105</v>
      </c>
      <c r="R23" t="s">
        <v>54</v>
      </c>
      <c r="U23">
        <f t="shared" si="1"/>
        <v>56.6</v>
      </c>
      <c r="V23" s="110">
        <f t="shared" si="2"/>
        <v>80.857142857142861</v>
      </c>
      <c r="W23" s="366">
        <f t="shared" si="3"/>
        <v>8.0857142857142854</v>
      </c>
      <c r="Y23">
        <v>14492</v>
      </c>
    </row>
    <row r="24" spans="1:34">
      <c r="A24">
        <v>2022</v>
      </c>
      <c r="B24" t="s">
        <v>46</v>
      </c>
      <c r="C24">
        <v>16</v>
      </c>
      <c r="D24">
        <v>4</v>
      </c>
      <c r="E24">
        <v>10</v>
      </c>
      <c r="F24">
        <f>0.0432*1000</f>
        <v>43.2</v>
      </c>
      <c r="G24">
        <f>1000*0.0526</f>
        <v>52.6</v>
      </c>
      <c r="H24" s="148">
        <v>45111</v>
      </c>
      <c r="I24" s="148">
        <v>45119</v>
      </c>
      <c r="J24" s="148">
        <f t="shared" si="0"/>
        <v>45119</v>
      </c>
      <c r="K24" s="117">
        <v>31</v>
      </c>
      <c r="L24">
        <v>22.5</v>
      </c>
      <c r="M24" s="148">
        <v>45105</v>
      </c>
      <c r="R24" t="s">
        <v>54</v>
      </c>
      <c r="U24">
        <f t="shared" si="1"/>
        <v>9.3999999999999986</v>
      </c>
      <c r="V24" s="110">
        <f t="shared" si="2"/>
        <v>13.428571428571427</v>
      </c>
      <c r="W24" s="366">
        <f t="shared" si="3"/>
        <v>1.3428571428571427</v>
      </c>
      <c r="Y24">
        <v>14933.9</v>
      </c>
    </row>
    <row r="25" spans="1:34">
      <c r="A25">
        <v>2022</v>
      </c>
      <c r="B25" t="s">
        <v>46</v>
      </c>
      <c r="C25">
        <v>17</v>
      </c>
      <c r="D25">
        <v>4</v>
      </c>
      <c r="E25">
        <v>10</v>
      </c>
      <c r="F25">
        <f>0.0432*1000</f>
        <v>43.2</v>
      </c>
      <c r="G25">
        <f>1000*0.0474</f>
        <v>47.4</v>
      </c>
      <c r="H25" s="148">
        <v>45111</v>
      </c>
      <c r="I25" s="148">
        <v>45119</v>
      </c>
      <c r="J25" s="148">
        <f t="shared" si="0"/>
        <v>45119</v>
      </c>
      <c r="K25" s="117">
        <v>31</v>
      </c>
      <c r="L25">
        <v>22.5</v>
      </c>
      <c r="M25" s="148">
        <v>45105</v>
      </c>
      <c r="R25" t="s">
        <v>54</v>
      </c>
      <c r="U25">
        <f t="shared" si="1"/>
        <v>4.1999999999999957</v>
      </c>
      <c r="V25" s="110">
        <f t="shared" si="2"/>
        <v>5.9999999999999947</v>
      </c>
      <c r="W25" s="366">
        <f t="shared" si="3"/>
        <v>0.59999999999999942</v>
      </c>
      <c r="Y25">
        <v>14565.3</v>
      </c>
    </row>
    <row r="26" spans="1:34">
      <c r="A26">
        <v>2022</v>
      </c>
      <c r="B26" t="s">
        <v>46</v>
      </c>
      <c r="C26">
        <v>18</v>
      </c>
      <c r="D26">
        <v>4</v>
      </c>
      <c r="E26">
        <v>10</v>
      </c>
      <c r="F26">
        <f>0.0421*1000</f>
        <v>42.1</v>
      </c>
      <c r="G26">
        <f>1000*0.061</f>
        <v>61</v>
      </c>
      <c r="H26" s="148">
        <v>45111</v>
      </c>
      <c r="I26" s="148">
        <v>45119</v>
      </c>
      <c r="J26" s="148">
        <f t="shared" si="0"/>
        <v>45119</v>
      </c>
      <c r="K26" s="117">
        <v>31</v>
      </c>
      <c r="L26">
        <v>22.5</v>
      </c>
      <c r="M26" s="148">
        <v>45105</v>
      </c>
      <c r="R26" t="s">
        <v>54</v>
      </c>
      <c r="U26">
        <f t="shared" si="1"/>
        <v>18.899999999999999</v>
      </c>
      <c r="V26" s="110">
        <f t="shared" si="2"/>
        <v>26.999999999999996</v>
      </c>
      <c r="W26" s="366">
        <f t="shared" si="3"/>
        <v>2.6999999999999997</v>
      </c>
      <c r="Y26">
        <v>14571.3</v>
      </c>
      <c r="AF26">
        <v>43.8</v>
      </c>
      <c r="AG26">
        <f>AF26-F26</f>
        <v>1.6999999999999957</v>
      </c>
      <c r="AH26" s="364">
        <f>(AG26/U26)*100</f>
        <v>8.994708994708974</v>
      </c>
    </row>
    <row r="27" spans="1:34">
      <c r="A27">
        <v>2022</v>
      </c>
      <c r="B27" t="s">
        <v>46</v>
      </c>
      <c r="C27">
        <v>19</v>
      </c>
      <c r="D27">
        <v>4</v>
      </c>
      <c r="E27">
        <v>10</v>
      </c>
      <c r="F27">
        <f>0.0445*1000</f>
        <v>44.5</v>
      </c>
      <c r="G27">
        <f>1000*0.0644</f>
        <v>64.400000000000006</v>
      </c>
      <c r="H27" s="148">
        <v>45111</v>
      </c>
      <c r="I27" s="148">
        <v>45119</v>
      </c>
      <c r="J27" s="148">
        <f t="shared" si="0"/>
        <v>45119</v>
      </c>
      <c r="K27" s="117">
        <v>31</v>
      </c>
      <c r="L27">
        <v>22.5</v>
      </c>
      <c r="M27" s="148">
        <v>45105</v>
      </c>
      <c r="R27" t="s">
        <v>54</v>
      </c>
      <c r="U27">
        <f t="shared" si="1"/>
        <v>19.900000000000006</v>
      </c>
      <c r="V27" s="110">
        <f t="shared" si="2"/>
        <v>28.428571428571438</v>
      </c>
      <c r="W27" s="366">
        <f t="shared" si="3"/>
        <v>2.8428571428571439</v>
      </c>
      <c r="Y27">
        <v>15116</v>
      </c>
    </row>
    <row r="28" spans="1:34">
      <c r="A28">
        <v>2022</v>
      </c>
      <c r="B28" t="s">
        <v>46</v>
      </c>
      <c r="C28">
        <v>20</v>
      </c>
      <c r="D28">
        <v>4</v>
      </c>
      <c r="E28">
        <v>10</v>
      </c>
      <c r="F28">
        <f>0.043*1000</f>
        <v>43</v>
      </c>
      <c r="G28">
        <f>1000*0.0609</f>
        <v>60.900000000000006</v>
      </c>
      <c r="H28" s="148">
        <v>45111</v>
      </c>
      <c r="I28" s="148">
        <v>45119</v>
      </c>
      <c r="J28" s="148">
        <f t="shared" si="0"/>
        <v>45119</v>
      </c>
      <c r="K28" s="117">
        <v>31</v>
      </c>
      <c r="L28">
        <v>22.5</v>
      </c>
      <c r="M28" s="148">
        <v>45105</v>
      </c>
      <c r="R28" t="s">
        <v>54</v>
      </c>
      <c r="U28">
        <f t="shared" si="1"/>
        <v>17.900000000000006</v>
      </c>
      <c r="V28" s="110">
        <f t="shared" si="2"/>
        <v>25.571428571428577</v>
      </c>
      <c r="W28" s="366">
        <f t="shared" si="3"/>
        <v>2.5571428571428578</v>
      </c>
      <c r="Y28">
        <v>14875.1</v>
      </c>
    </row>
    <row r="29" spans="1:34">
      <c r="A29">
        <v>2022</v>
      </c>
      <c r="B29" t="s">
        <v>46</v>
      </c>
      <c r="C29">
        <v>21</v>
      </c>
      <c r="D29">
        <v>4</v>
      </c>
      <c r="E29">
        <v>10</v>
      </c>
      <c r="F29">
        <f>0.0438*1000</f>
        <v>43.8</v>
      </c>
      <c r="G29">
        <f>1000*0.0593</f>
        <v>59.3</v>
      </c>
      <c r="H29" s="148">
        <v>45111</v>
      </c>
      <c r="I29" s="148">
        <v>45119</v>
      </c>
      <c r="J29" s="148">
        <f t="shared" si="0"/>
        <v>45119</v>
      </c>
      <c r="K29" s="117">
        <v>31</v>
      </c>
      <c r="L29">
        <v>22.5</v>
      </c>
      <c r="M29" s="148">
        <v>45105</v>
      </c>
      <c r="R29" t="s">
        <v>54</v>
      </c>
      <c r="U29">
        <f t="shared" si="1"/>
        <v>15.5</v>
      </c>
      <c r="V29" s="110">
        <f t="shared" si="2"/>
        <v>22.142857142857146</v>
      </c>
      <c r="W29" s="366">
        <f t="shared" si="3"/>
        <v>2.2142857142857144</v>
      </c>
      <c r="Y29">
        <v>14594.3</v>
      </c>
    </row>
    <row r="31" spans="1:34" s="216" customFormat="1">
      <c r="A31" s="216" t="str">
        <f>Main!A30</f>
        <v>Deployment 8/5/2022 IN2022_V03</v>
      </c>
      <c r="B31" s="216" t="str">
        <f>Main!B30</f>
        <v>McLane-PARFLUX-Mark78H-21 ; frame# 12419-02, controller# 12419-02 and Motor # 12419-02 Cup set ABx21</v>
      </c>
      <c r="W31" s="364"/>
      <c r="AH31" s="364"/>
    </row>
    <row r="32" spans="1:34">
      <c r="A32">
        <v>2022</v>
      </c>
      <c r="B32" t="s">
        <v>76</v>
      </c>
      <c r="C32">
        <v>1</v>
      </c>
      <c r="D32">
        <v>4</v>
      </c>
      <c r="E32">
        <v>10</v>
      </c>
      <c r="F32">
        <v>41.8</v>
      </c>
      <c r="G32">
        <v>287.10000000000002</v>
      </c>
      <c r="H32" s="148">
        <v>45120</v>
      </c>
      <c r="I32" s="148">
        <v>45125</v>
      </c>
      <c r="J32" s="148">
        <v>45125</v>
      </c>
      <c r="K32" s="117">
        <v>29</v>
      </c>
      <c r="L32">
        <v>22.8</v>
      </c>
      <c r="M32" s="148">
        <v>45105</v>
      </c>
      <c r="R32" t="s">
        <v>54</v>
      </c>
      <c r="U32">
        <f>G32-F32</f>
        <v>245.3</v>
      </c>
      <c r="V32">
        <f>(U32/7)*10</f>
        <v>350.42857142857144</v>
      </c>
      <c r="W32" s="364">
        <f>U32/7</f>
        <v>35.042857142857144</v>
      </c>
      <c r="Y32">
        <v>15038.5</v>
      </c>
      <c r="AF32">
        <v>43</v>
      </c>
      <c r="AG32">
        <f>AF32-F32</f>
        <v>1.2000000000000028</v>
      </c>
      <c r="AH32" s="364">
        <f>(AG32/U32)*100</f>
        <v>0.48919690175295666</v>
      </c>
    </row>
    <row r="33" spans="1:34">
      <c r="A33">
        <v>2022</v>
      </c>
      <c r="B33" t="s">
        <v>76</v>
      </c>
      <c r="C33">
        <v>2</v>
      </c>
      <c r="D33">
        <v>4</v>
      </c>
      <c r="E33">
        <v>10</v>
      </c>
      <c r="F33">
        <v>43</v>
      </c>
      <c r="G33">
        <v>247.98</v>
      </c>
      <c r="H33" s="148">
        <v>45120</v>
      </c>
      <c r="I33" s="148">
        <v>45125</v>
      </c>
      <c r="J33" s="148">
        <v>45125</v>
      </c>
      <c r="K33" s="117">
        <v>29</v>
      </c>
      <c r="L33">
        <v>22.8</v>
      </c>
      <c r="M33" s="148">
        <v>45105</v>
      </c>
      <c r="R33" t="s">
        <v>54</v>
      </c>
      <c r="U33">
        <f t="shared" ref="U33:U48" si="4">G33-F33</f>
        <v>204.98</v>
      </c>
      <c r="V33">
        <f t="shared" ref="V33:V45" si="5">(U33/7)*10</f>
        <v>292.82857142857142</v>
      </c>
      <c r="W33" s="364">
        <f>U33/7</f>
        <v>29.282857142857143</v>
      </c>
      <c r="Y33">
        <v>15002.9</v>
      </c>
    </row>
    <row r="34" spans="1:34" s="217" customFormat="1">
      <c r="A34" s="217">
        <v>2022</v>
      </c>
      <c r="B34" s="217" t="s">
        <v>76</v>
      </c>
      <c r="C34" s="217">
        <v>3</v>
      </c>
      <c r="D34" s="217">
        <v>4</v>
      </c>
      <c r="E34" s="217">
        <v>7</v>
      </c>
      <c r="F34" s="217">
        <v>43.3</v>
      </c>
      <c r="G34" s="217">
        <v>127.66</v>
      </c>
      <c r="H34" s="218">
        <v>45120</v>
      </c>
      <c r="I34" s="218">
        <v>45125</v>
      </c>
      <c r="J34" s="218">
        <v>45125</v>
      </c>
      <c r="K34" s="219">
        <v>29</v>
      </c>
      <c r="L34" s="217">
        <v>22.8</v>
      </c>
      <c r="M34" s="218">
        <v>45105</v>
      </c>
      <c r="R34" s="217" t="s">
        <v>54</v>
      </c>
      <c r="S34" s="217" t="s">
        <v>3105</v>
      </c>
      <c r="U34" s="217">
        <f t="shared" si="4"/>
        <v>84.36</v>
      </c>
      <c r="V34">
        <f>((U34+U35)/7)*10</f>
        <v>196.11428571428573</v>
      </c>
      <c r="W34" s="364">
        <f>U34/4</f>
        <v>21.09</v>
      </c>
      <c r="X34" s="311">
        <f>ABS(W34-W35)</f>
        <v>3.4499999999999993</v>
      </c>
      <c r="Y34" s="217">
        <v>15068.8</v>
      </c>
      <c r="Z34" s="217" t="s">
        <v>3106</v>
      </c>
      <c r="AH34" s="364"/>
    </row>
    <row r="35" spans="1:34" s="217" customFormat="1">
      <c r="A35" s="217">
        <v>2022</v>
      </c>
      <c r="B35" s="217" t="s">
        <v>76</v>
      </c>
      <c r="C35" s="217" t="s">
        <v>3107</v>
      </c>
      <c r="D35" s="217">
        <v>8</v>
      </c>
      <c r="E35" s="217">
        <v>10</v>
      </c>
      <c r="F35" s="217">
        <v>42.2</v>
      </c>
      <c r="G35" s="217">
        <v>95.12</v>
      </c>
      <c r="H35" s="218">
        <v>45120</v>
      </c>
      <c r="I35" s="218">
        <v>45125</v>
      </c>
      <c r="J35" s="218">
        <v>45125</v>
      </c>
      <c r="K35" s="219">
        <v>29</v>
      </c>
      <c r="L35" s="217">
        <v>22.8</v>
      </c>
      <c r="M35" s="218">
        <v>45105</v>
      </c>
      <c r="R35" s="217" t="s">
        <v>54</v>
      </c>
      <c r="U35" s="217">
        <f t="shared" si="4"/>
        <v>52.92</v>
      </c>
      <c r="V35"/>
      <c r="W35" s="364">
        <f>U35/3</f>
        <v>17.64</v>
      </c>
      <c r="X35" s="365">
        <f>X34/SUM(U34,U35)</f>
        <v>2.5131118881118877E-2</v>
      </c>
      <c r="AH35" s="364"/>
    </row>
    <row r="36" spans="1:34">
      <c r="A36">
        <v>2022</v>
      </c>
      <c r="B36" t="s">
        <v>76</v>
      </c>
      <c r="C36">
        <v>4</v>
      </c>
      <c r="D36">
        <v>4</v>
      </c>
      <c r="E36">
        <v>10</v>
      </c>
      <c r="F36">
        <v>42.1</v>
      </c>
      <c r="G36">
        <v>131.85</v>
      </c>
      <c r="H36" s="148">
        <v>45121</v>
      </c>
      <c r="I36" s="148">
        <v>45125</v>
      </c>
      <c r="J36" s="148">
        <v>45125</v>
      </c>
      <c r="K36" s="117">
        <v>29</v>
      </c>
      <c r="L36">
        <v>22.8</v>
      </c>
      <c r="M36" s="148">
        <v>45105</v>
      </c>
      <c r="R36" t="s">
        <v>54</v>
      </c>
      <c r="U36">
        <f t="shared" si="4"/>
        <v>89.75</v>
      </c>
      <c r="V36">
        <f t="shared" si="5"/>
        <v>128.21428571428572</v>
      </c>
      <c r="W36" s="364">
        <f>U36/7</f>
        <v>12.821428571428571</v>
      </c>
      <c r="Y36">
        <v>15010.8</v>
      </c>
    </row>
    <row r="37" spans="1:34">
      <c r="A37">
        <v>2022</v>
      </c>
      <c r="B37" t="s">
        <v>76</v>
      </c>
      <c r="C37">
        <v>5</v>
      </c>
      <c r="D37">
        <v>4</v>
      </c>
      <c r="E37">
        <v>10</v>
      </c>
      <c r="F37">
        <v>42.8</v>
      </c>
      <c r="G37">
        <v>296.14999999999998</v>
      </c>
      <c r="H37" s="148">
        <v>45121</v>
      </c>
      <c r="I37" s="148">
        <v>45125</v>
      </c>
      <c r="J37" s="148">
        <v>45125</v>
      </c>
      <c r="K37" s="117">
        <v>29</v>
      </c>
      <c r="L37">
        <v>22.8</v>
      </c>
      <c r="M37" s="148">
        <v>45105</v>
      </c>
      <c r="R37" t="s">
        <v>54</v>
      </c>
      <c r="U37">
        <f t="shared" si="4"/>
        <v>253.34999999999997</v>
      </c>
      <c r="V37">
        <f t="shared" si="5"/>
        <v>361.92857142857133</v>
      </c>
      <c r="W37" s="364">
        <f t="shared" ref="W37:W45" si="6">U37/7</f>
        <v>36.192857142857136</v>
      </c>
      <c r="Y37">
        <v>15079.2</v>
      </c>
    </row>
    <row r="38" spans="1:34">
      <c r="A38">
        <v>2022</v>
      </c>
      <c r="B38" t="s">
        <v>76</v>
      </c>
      <c r="C38">
        <v>6</v>
      </c>
      <c r="D38">
        <v>4</v>
      </c>
      <c r="E38">
        <v>10</v>
      </c>
      <c r="F38">
        <v>43.3</v>
      </c>
      <c r="G38">
        <v>195.85</v>
      </c>
      <c r="H38" s="148">
        <v>45121</v>
      </c>
      <c r="I38" s="148">
        <v>45125</v>
      </c>
      <c r="J38" s="148">
        <v>45125</v>
      </c>
      <c r="K38" s="117">
        <v>29</v>
      </c>
      <c r="L38">
        <v>22.8</v>
      </c>
      <c r="M38" s="148">
        <v>45105</v>
      </c>
      <c r="R38" t="s">
        <v>54</v>
      </c>
      <c r="U38">
        <f t="shared" si="4"/>
        <v>152.55000000000001</v>
      </c>
      <c r="V38">
        <f t="shared" si="5"/>
        <v>217.92857142857144</v>
      </c>
      <c r="W38" s="364">
        <f t="shared" si="6"/>
        <v>21.792857142857144</v>
      </c>
      <c r="Y38">
        <v>14555.2</v>
      </c>
    </row>
    <row r="39" spans="1:34">
      <c r="A39">
        <v>2022</v>
      </c>
      <c r="B39" t="s">
        <v>76</v>
      </c>
      <c r="C39">
        <v>7</v>
      </c>
      <c r="D39">
        <v>4</v>
      </c>
      <c r="E39">
        <v>10</v>
      </c>
      <c r="F39">
        <v>42.3</v>
      </c>
      <c r="G39">
        <v>210.7</v>
      </c>
      <c r="H39" s="148">
        <v>45121</v>
      </c>
      <c r="I39" s="148">
        <v>45125</v>
      </c>
      <c r="J39" s="148">
        <v>45125</v>
      </c>
      <c r="K39" s="117">
        <v>29</v>
      </c>
      <c r="L39">
        <v>22.8</v>
      </c>
      <c r="M39" s="148">
        <v>45105</v>
      </c>
      <c r="R39" t="s">
        <v>54</v>
      </c>
      <c r="U39">
        <f t="shared" si="4"/>
        <v>168.39999999999998</v>
      </c>
      <c r="V39">
        <f t="shared" si="5"/>
        <v>240.57142857142853</v>
      </c>
      <c r="W39" s="364">
        <f t="shared" si="6"/>
        <v>24.057142857142853</v>
      </c>
      <c r="Y39">
        <v>14609.5</v>
      </c>
    </row>
    <row r="40" spans="1:34">
      <c r="A40">
        <v>2022</v>
      </c>
      <c r="B40" t="s">
        <v>76</v>
      </c>
      <c r="C40">
        <v>8</v>
      </c>
      <c r="D40">
        <v>4</v>
      </c>
      <c r="E40">
        <v>10</v>
      </c>
      <c r="F40">
        <v>43.4</v>
      </c>
      <c r="G40">
        <v>302.94</v>
      </c>
      <c r="H40" s="148">
        <v>45121</v>
      </c>
      <c r="I40" s="148">
        <v>45125</v>
      </c>
      <c r="J40" s="148">
        <v>45125</v>
      </c>
      <c r="K40" s="117">
        <v>29</v>
      </c>
      <c r="L40">
        <v>22.8</v>
      </c>
      <c r="M40" s="148">
        <v>45105</v>
      </c>
      <c r="R40" t="s">
        <v>54</v>
      </c>
      <c r="U40">
        <f t="shared" si="4"/>
        <v>259.54000000000002</v>
      </c>
      <c r="V40">
        <f t="shared" si="5"/>
        <v>370.7714285714286</v>
      </c>
      <c r="W40" s="364">
        <f t="shared" si="6"/>
        <v>37.07714285714286</v>
      </c>
      <c r="Y40">
        <v>15005.1</v>
      </c>
    </row>
    <row r="41" spans="1:34">
      <c r="A41">
        <v>2022</v>
      </c>
      <c r="B41" t="s">
        <v>76</v>
      </c>
      <c r="C41">
        <v>9</v>
      </c>
      <c r="D41">
        <v>4</v>
      </c>
      <c r="E41">
        <v>10</v>
      </c>
      <c r="F41">
        <v>44.1</v>
      </c>
      <c r="G41">
        <v>314.61</v>
      </c>
      <c r="H41" s="148">
        <v>45121</v>
      </c>
      <c r="I41" s="148">
        <v>45125</v>
      </c>
      <c r="J41" s="148">
        <v>45125</v>
      </c>
      <c r="K41" s="117">
        <v>29</v>
      </c>
      <c r="L41">
        <v>22.8</v>
      </c>
      <c r="M41" s="148">
        <v>45105</v>
      </c>
      <c r="R41" t="s">
        <v>54</v>
      </c>
      <c r="U41">
        <f t="shared" si="4"/>
        <v>270.51</v>
      </c>
      <c r="V41">
        <f t="shared" si="5"/>
        <v>386.44285714285718</v>
      </c>
      <c r="W41" s="364">
        <f t="shared" si="6"/>
        <v>38.644285714285715</v>
      </c>
      <c r="Y41">
        <v>14533</v>
      </c>
    </row>
    <row r="42" spans="1:34">
      <c r="A42">
        <v>2022</v>
      </c>
      <c r="B42" t="s">
        <v>76</v>
      </c>
      <c r="C42">
        <v>10</v>
      </c>
      <c r="D42">
        <v>4</v>
      </c>
      <c r="E42">
        <v>10</v>
      </c>
      <c r="F42">
        <v>43.5</v>
      </c>
      <c r="G42">
        <v>315.24</v>
      </c>
      <c r="H42" s="148">
        <v>45121</v>
      </c>
      <c r="I42" s="148">
        <v>45125</v>
      </c>
      <c r="J42" s="148">
        <v>45125</v>
      </c>
      <c r="K42" s="117">
        <v>29</v>
      </c>
      <c r="L42">
        <v>22.8</v>
      </c>
      <c r="M42" s="148">
        <v>45105</v>
      </c>
      <c r="R42" t="s">
        <v>54</v>
      </c>
      <c r="U42">
        <f>G42-F42</f>
        <v>271.74</v>
      </c>
      <c r="V42">
        <f t="shared" si="5"/>
        <v>388.2</v>
      </c>
      <c r="W42" s="364">
        <f t="shared" si="6"/>
        <v>38.82</v>
      </c>
      <c r="Y42">
        <v>15130.3</v>
      </c>
      <c r="AF42">
        <v>45</v>
      </c>
      <c r="AG42">
        <f>AF42-F42</f>
        <v>1.5</v>
      </c>
      <c r="AH42" s="364">
        <f>(AG42/U42)*100</f>
        <v>0.55199823360565248</v>
      </c>
    </row>
    <row r="43" spans="1:34">
      <c r="A43">
        <v>2022</v>
      </c>
      <c r="B43" t="s">
        <v>76</v>
      </c>
      <c r="C43">
        <v>11</v>
      </c>
      <c r="D43">
        <v>4</v>
      </c>
      <c r="E43">
        <v>10</v>
      </c>
      <c r="F43">
        <v>42</v>
      </c>
      <c r="G43">
        <v>250.9</v>
      </c>
      <c r="H43" s="148">
        <v>45125</v>
      </c>
      <c r="I43" s="148">
        <v>45128</v>
      </c>
      <c r="J43" s="148">
        <v>45128</v>
      </c>
      <c r="K43" s="117">
        <v>28</v>
      </c>
      <c r="L43">
        <v>21.6</v>
      </c>
      <c r="M43" s="148">
        <v>45105</v>
      </c>
      <c r="R43" t="s">
        <v>54</v>
      </c>
      <c r="U43">
        <f t="shared" si="4"/>
        <v>208.9</v>
      </c>
      <c r="V43">
        <f t="shared" si="5"/>
        <v>298.42857142857144</v>
      </c>
      <c r="W43" s="364">
        <f t="shared" si="6"/>
        <v>29.842857142857145</v>
      </c>
      <c r="Y43">
        <v>15159.6</v>
      </c>
      <c r="AF43">
        <v>42.93</v>
      </c>
      <c r="AG43">
        <f>AF43-F43</f>
        <v>0.92999999999999972</v>
      </c>
      <c r="AH43" s="364">
        <f>(AG43/U43)*100</f>
        <v>0.44518908568693144</v>
      </c>
    </row>
    <row r="44" spans="1:34">
      <c r="A44">
        <v>2022</v>
      </c>
      <c r="B44" t="s">
        <v>76</v>
      </c>
      <c r="C44">
        <v>12</v>
      </c>
      <c r="D44">
        <v>4</v>
      </c>
      <c r="E44">
        <v>10</v>
      </c>
      <c r="F44">
        <v>42.4</v>
      </c>
      <c r="G44">
        <v>415.89</v>
      </c>
      <c r="H44" s="148">
        <v>45125</v>
      </c>
      <c r="I44" s="148">
        <v>45128</v>
      </c>
      <c r="J44" s="148">
        <v>45128</v>
      </c>
      <c r="K44" s="117">
        <v>28</v>
      </c>
      <c r="L44">
        <v>21.6</v>
      </c>
      <c r="M44" s="148">
        <v>45105</v>
      </c>
      <c r="R44" t="s">
        <v>54</v>
      </c>
      <c r="U44">
        <f t="shared" si="4"/>
        <v>373.49</v>
      </c>
      <c r="V44">
        <f t="shared" si="5"/>
        <v>533.55714285714282</v>
      </c>
      <c r="W44" s="364">
        <f t="shared" si="6"/>
        <v>53.355714285714285</v>
      </c>
      <c r="Y44">
        <v>14561.7</v>
      </c>
    </row>
    <row r="45" spans="1:34">
      <c r="A45">
        <v>2022</v>
      </c>
      <c r="B45" t="s">
        <v>76</v>
      </c>
      <c r="C45">
        <v>13</v>
      </c>
      <c r="D45">
        <v>4</v>
      </c>
      <c r="E45">
        <v>10</v>
      </c>
      <c r="F45">
        <v>43.4</v>
      </c>
      <c r="G45">
        <v>685.18</v>
      </c>
      <c r="H45" s="148">
        <v>45125</v>
      </c>
      <c r="I45" s="148">
        <v>45128</v>
      </c>
      <c r="J45" s="148">
        <v>45128</v>
      </c>
      <c r="K45" s="117">
        <v>28</v>
      </c>
      <c r="L45">
        <v>21.6</v>
      </c>
      <c r="M45" s="148">
        <v>45105</v>
      </c>
      <c r="R45" t="s">
        <v>54</v>
      </c>
      <c r="U45">
        <f t="shared" si="4"/>
        <v>641.78</v>
      </c>
      <c r="V45">
        <f t="shared" si="5"/>
        <v>916.82857142857142</v>
      </c>
      <c r="W45" s="364">
        <f t="shared" si="6"/>
        <v>91.682857142857145</v>
      </c>
      <c r="Y45">
        <v>14551.7</v>
      </c>
    </row>
    <row r="46" spans="1:34">
      <c r="A46">
        <v>2022</v>
      </c>
      <c r="B46" t="s">
        <v>76</v>
      </c>
      <c r="C46">
        <v>14</v>
      </c>
      <c r="H46" s="148"/>
      <c r="I46" s="148"/>
      <c r="J46" s="148"/>
      <c r="K46" s="117"/>
      <c r="M46" s="148"/>
    </row>
    <row r="47" spans="1:34">
      <c r="A47">
        <v>2022</v>
      </c>
      <c r="B47" t="s">
        <v>76</v>
      </c>
      <c r="C47">
        <v>15</v>
      </c>
      <c r="H47" s="148"/>
      <c r="I47" s="148"/>
      <c r="J47" s="148"/>
      <c r="K47" s="117"/>
      <c r="M47" s="148"/>
    </row>
    <row r="48" spans="1:34">
      <c r="A48">
        <v>2022</v>
      </c>
      <c r="B48" t="s">
        <v>76</v>
      </c>
      <c r="C48">
        <v>16</v>
      </c>
      <c r="D48" s="27">
        <v>4</v>
      </c>
      <c r="E48" s="27">
        <v>10</v>
      </c>
      <c r="F48">
        <v>43.2</v>
      </c>
      <c r="G48">
        <v>67</v>
      </c>
      <c r="H48" s="148">
        <v>45125</v>
      </c>
      <c r="I48" s="148">
        <v>45128</v>
      </c>
      <c r="J48" s="148">
        <v>45128</v>
      </c>
      <c r="K48" s="117">
        <v>28</v>
      </c>
      <c r="L48">
        <v>21.6</v>
      </c>
      <c r="M48" s="148">
        <v>45105</v>
      </c>
      <c r="R48" t="s">
        <v>54</v>
      </c>
      <c r="S48" t="s">
        <v>3108</v>
      </c>
      <c r="U48">
        <f t="shared" si="4"/>
        <v>23.799999999999997</v>
      </c>
      <c r="V48" s="401">
        <f>(U48/28)*40</f>
        <v>33.999999999999993</v>
      </c>
      <c r="W48" s="364">
        <f>U48/28</f>
        <v>0.84999999999999987</v>
      </c>
      <c r="Y48">
        <v>14584.1</v>
      </c>
    </row>
    <row r="49" spans="1:34">
      <c r="A49">
        <v>2022</v>
      </c>
      <c r="B49" t="s">
        <v>76</v>
      </c>
      <c r="C49">
        <v>17</v>
      </c>
      <c r="D49" s="27">
        <v>4</v>
      </c>
      <c r="E49" s="27">
        <v>10</v>
      </c>
      <c r="F49">
        <v>42.6</v>
      </c>
      <c r="K49" s="117"/>
      <c r="M49" s="148">
        <v>45105</v>
      </c>
      <c r="R49" t="s">
        <v>54</v>
      </c>
      <c r="Y49">
        <v>15011.3</v>
      </c>
    </row>
    <row r="50" spans="1:34">
      <c r="A50">
        <v>2022</v>
      </c>
      <c r="B50" t="s">
        <v>76</v>
      </c>
      <c r="C50">
        <v>18</v>
      </c>
      <c r="D50" s="27">
        <v>4</v>
      </c>
      <c r="E50" s="27">
        <v>10</v>
      </c>
      <c r="F50">
        <v>43.3</v>
      </c>
      <c r="K50" s="117"/>
      <c r="M50" s="148">
        <v>45105</v>
      </c>
      <c r="R50" t="s">
        <v>54</v>
      </c>
      <c r="Y50">
        <v>14950.8</v>
      </c>
    </row>
    <row r="51" spans="1:34">
      <c r="A51">
        <v>2022</v>
      </c>
      <c r="B51" t="s">
        <v>76</v>
      </c>
      <c r="C51">
        <v>19</v>
      </c>
      <c r="D51" s="27">
        <v>4</v>
      </c>
      <c r="E51" s="27">
        <v>10</v>
      </c>
      <c r="F51">
        <v>44.4</v>
      </c>
      <c r="K51" s="117"/>
      <c r="M51" s="148">
        <v>45105</v>
      </c>
      <c r="R51" t="s">
        <v>54</v>
      </c>
      <c r="Y51">
        <v>14667.9</v>
      </c>
    </row>
    <row r="52" spans="1:34" s="217" customFormat="1">
      <c r="A52" s="217">
        <v>2022</v>
      </c>
      <c r="B52" s="217" t="s">
        <v>76</v>
      </c>
      <c r="C52" s="217">
        <v>20</v>
      </c>
      <c r="D52" s="217">
        <v>4</v>
      </c>
      <c r="E52" s="217">
        <v>7</v>
      </c>
      <c r="F52" s="217">
        <v>43.2</v>
      </c>
      <c r="G52" s="363">
        <v>136.30000000000001</v>
      </c>
      <c r="H52" s="148">
        <v>45125</v>
      </c>
      <c r="I52" s="148">
        <v>45128</v>
      </c>
      <c r="J52" s="148">
        <v>45128</v>
      </c>
      <c r="K52" s="117">
        <v>28</v>
      </c>
      <c r="L52">
        <v>21.6</v>
      </c>
      <c r="M52" s="218">
        <v>45105</v>
      </c>
      <c r="R52" t="s">
        <v>54</v>
      </c>
      <c r="U52">
        <f t="shared" ref="U52:U54" si="7">G52-F52</f>
        <v>93.100000000000009</v>
      </c>
      <c r="V52">
        <f>((U52+U53)/7)*10</f>
        <v>235.82857142857142</v>
      </c>
      <c r="W52" s="364">
        <f>U52/4</f>
        <v>23.275000000000002</v>
      </c>
      <c r="X52" s="311">
        <f>ABS(W52-W53)</f>
        <v>0.71833333333333371</v>
      </c>
      <c r="Y52" s="217">
        <v>14620.3</v>
      </c>
      <c r="AH52" s="364"/>
    </row>
    <row r="53" spans="1:34" s="217" customFormat="1">
      <c r="A53" s="217">
        <v>2022</v>
      </c>
      <c r="B53" s="217" t="s">
        <v>76</v>
      </c>
      <c r="C53" s="217" t="s">
        <v>3109</v>
      </c>
      <c r="D53" s="217">
        <v>8</v>
      </c>
      <c r="E53" s="217">
        <v>10</v>
      </c>
      <c r="F53" s="217">
        <v>44</v>
      </c>
      <c r="G53" s="217">
        <v>115.98</v>
      </c>
      <c r="H53" s="148">
        <v>45125</v>
      </c>
      <c r="I53" s="148">
        <v>45128</v>
      </c>
      <c r="J53" s="148">
        <v>45128</v>
      </c>
      <c r="K53" s="117">
        <v>28</v>
      </c>
      <c r="L53">
        <v>21.6</v>
      </c>
      <c r="M53" s="218">
        <v>45105</v>
      </c>
      <c r="R53" t="s">
        <v>54</v>
      </c>
      <c r="U53">
        <f t="shared" si="7"/>
        <v>71.98</v>
      </c>
      <c r="V53"/>
      <c r="W53" s="364">
        <f>U53/3</f>
        <v>23.993333333333336</v>
      </c>
      <c r="X53" s="365">
        <f>X52/SUM(U52,U53)</f>
        <v>4.3514255714401122E-3</v>
      </c>
      <c r="AH53" s="364"/>
    </row>
    <row r="54" spans="1:34">
      <c r="A54">
        <v>2022</v>
      </c>
      <c r="B54" t="s">
        <v>76</v>
      </c>
      <c r="C54">
        <v>21</v>
      </c>
      <c r="D54">
        <v>4</v>
      </c>
      <c r="E54">
        <v>10</v>
      </c>
      <c r="F54">
        <v>42.9</v>
      </c>
      <c r="G54">
        <v>61.9</v>
      </c>
      <c r="H54" s="148">
        <v>45125</v>
      </c>
      <c r="I54" s="148">
        <v>45128</v>
      </c>
      <c r="J54" s="148">
        <v>45128</v>
      </c>
      <c r="K54" s="117">
        <v>28</v>
      </c>
      <c r="L54">
        <v>21.6</v>
      </c>
      <c r="M54" s="148">
        <v>45105</v>
      </c>
      <c r="R54" t="s">
        <v>54</v>
      </c>
      <c r="U54">
        <f t="shared" si="7"/>
        <v>19</v>
      </c>
      <c r="V54">
        <f t="shared" ref="V54" si="8">(U54/7)*10</f>
        <v>27.142857142857146</v>
      </c>
      <c r="W54" s="364">
        <f t="shared" ref="W54" si="9">V54/10</f>
        <v>2.7142857142857144</v>
      </c>
      <c r="Y54">
        <v>14633</v>
      </c>
    </row>
    <row r="56" spans="1:34" s="216" customFormat="1">
      <c r="A56" s="216" t="str">
        <f>Main!A54</f>
        <v>Deployment 8/5/2022 IN2022_V03</v>
      </c>
      <c r="B56" s="216" t="str">
        <f>Main!B54</f>
        <v>McLane-PARFLUX-Mark78H-21 ; frame# 12993-01, controller# 12993-01 and Motor # 12993-01 Cup set ACx21</v>
      </c>
      <c r="W56" s="364"/>
      <c r="AH56" s="364"/>
    </row>
    <row r="57" spans="1:34">
      <c r="A57">
        <v>2022</v>
      </c>
      <c r="B57" t="s">
        <v>93</v>
      </c>
      <c r="C57">
        <v>1</v>
      </c>
      <c r="D57">
        <v>4</v>
      </c>
      <c r="E57">
        <v>10</v>
      </c>
      <c r="F57">
        <v>43.3</v>
      </c>
      <c r="G57">
        <v>289.57</v>
      </c>
      <c r="H57" s="148">
        <v>45131</v>
      </c>
      <c r="I57" s="148">
        <v>45135</v>
      </c>
      <c r="J57" s="148">
        <v>45135</v>
      </c>
      <c r="K57" s="117">
        <v>25</v>
      </c>
      <c r="L57">
        <v>21.9</v>
      </c>
      <c r="M57" s="148">
        <v>45105</v>
      </c>
      <c r="R57" t="s">
        <v>54</v>
      </c>
      <c r="U57">
        <f>G57-F57</f>
        <v>246.26999999999998</v>
      </c>
      <c r="V57">
        <f>(U57/7)*10</f>
        <v>351.81428571428569</v>
      </c>
      <c r="W57" s="364">
        <f>U57/7</f>
        <v>35.181428571428569</v>
      </c>
      <c r="Y57">
        <v>14637.7</v>
      </c>
      <c r="AF57">
        <v>42.82</v>
      </c>
      <c r="AG57">
        <f>AF57-F57</f>
        <v>-0.47999999999999687</v>
      </c>
      <c r="AH57" s="364">
        <f>(AG57/U57)*100</f>
        <v>-0.1949080277743927</v>
      </c>
    </row>
    <row r="58" spans="1:34">
      <c r="A58">
        <v>2022</v>
      </c>
      <c r="B58" t="s">
        <v>93</v>
      </c>
      <c r="C58">
        <v>2</v>
      </c>
      <c r="D58">
        <v>4</v>
      </c>
      <c r="E58">
        <v>10</v>
      </c>
      <c r="F58">
        <v>43</v>
      </c>
      <c r="G58" s="364">
        <v>248.74</v>
      </c>
      <c r="H58" s="148">
        <v>45131</v>
      </c>
      <c r="I58" s="148">
        <v>45135</v>
      </c>
      <c r="J58" s="148">
        <v>45135</v>
      </c>
      <c r="K58" s="117">
        <v>25</v>
      </c>
      <c r="L58">
        <v>21.9</v>
      </c>
      <c r="M58" s="148">
        <v>45105</v>
      </c>
      <c r="R58" t="s">
        <v>54</v>
      </c>
      <c r="U58">
        <f t="shared" ref="U58:U81" si="10">G58-F58</f>
        <v>205.74</v>
      </c>
      <c r="V58">
        <f t="shared" ref="V58:V81" si="11">(U58/7)*10</f>
        <v>293.91428571428571</v>
      </c>
      <c r="W58" s="364">
        <f t="shared" ref="W58:W69" si="12">U58/7</f>
        <v>29.391428571428573</v>
      </c>
      <c r="Y58">
        <v>15002.7</v>
      </c>
    </row>
    <row r="59" spans="1:34">
      <c r="A59">
        <v>2022</v>
      </c>
      <c r="B59" t="s">
        <v>93</v>
      </c>
      <c r="C59">
        <v>3</v>
      </c>
      <c r="D59">
        <v>4</v>
      </c>
      <c r="E59">
        <v>10</v>
      </c>
      <c r="F59">
        <v>42.5</v>
      </c>
      <c r="G59">
        <v>192.31</v>
      </c>
      <c r="H59" s="148">
        <v>45131</v>
      </c>
      <c r="I59" s="148">
        <v>45135</v>
      </c>
      <c r="J59" s="148">
        <v>45135</v>
      </c>
      <c r="K59" s="117">
        <v>25</v>
      </c>
      <c r="L59">
        <v>21.9</v>
      </c>
      <c r="M59" s="148">
        <v>45105</v>
      </c>
      <c r="R59" t="s">
        <v>54</v>
      </c>
      <c r="U59">
        <f t="shared" si="10"/>
        <v>149.81</v>
      </c>
      <c r="V59">
        <f t="shared" si="11"/>
        <v>214.01428571428571</v>
      </c>
      <c r="W59" s="364">
        <f t="shared" si="12"/>
        <v>21.401428571428571</v>
      </c>
      <c r="Y59">
        <v>14615.2</v>
      </c>
    </row>
    <row r="60" spans="1:34">
      <c r="A60">
        <v>2022</v>
      </c>
      <c r="B60" t="s">
        <v>93</v>
      </c>
      <c r="C60">
        <v>4</v>
      </c>
      <c r="D60">
        <v>4</v>
      </c>
      <c r="E60">
        <v>10</v>
      </c>
      <c r="F60">
        <v>42.5</v>
      </c>
      <c r="G60">
        <v>186.16</v>
      </c>
      <c r="H60" s="148">
        <v>45131</v>
      </c>
      <c r="I60" s="148">
        <v>45135</v>
      </c>
      <c r="J60" s="148">
        <v>45135</v>
      </c>
      <c r="K60" s="117">
        <v>25</v>
      </c>
      <c r="L60">
        <v>21.9</v>
      </c>
      <c r="M60" s="148">
        <v>45105</v>
      </c>
      <c r="R60" t="s">
        <v>54</v>
      </c>
      <c r="U60">
        <f t="shared" si="10"/>
        <v>143.66</v>
      </c>
      <c r="V60">
        <f t="shared" si="11"/>
        <v>205.2285714285714</v>
      </c>
      <c r="W60" s="364">
        <f t="shared" si="12"/>
        <v>20.522857142857141</v>
      </c>
      <c r="Y60">
        <v>14668.8</v>
      </c>
    </row>
    <row r="61" spans="1:34">
      <c r="A61">
        <v>2022</v>
      </c>
      <c r="B61" t="s">
        <v>93</v>
      </c>
      <c r="C61">
        <v>5</v>
      </c>
      <c r="D61">
        <v>4</v>
      </c>
      <c r="E61">
        <v>10</v>
      </c>
      <c r="F61">
        <v>43.3</v>
      </c>
      <c r="G61">
        <v>274.22000000000003</v>
      </c>
      <c r="H61" s="148">
        <v>45131</v>
      </c>
      <c r="I61" s="148">
        <v>45135</v>
      </c>
      <c r="J61" s="148">
        <v>45135</v>
      </c>
      <c r="K61" s="117">
        <v>25</v>
      </c>
      <c r="L61">
        <v>21.9</v>
      </c>
      <c r="M61" s="148">
        <v>45105</v>
      </c>
      <c r="R61" t="s">
        <v>54</v>
      </c>
      <c r="U61">
        <f t="shared" si="10"/>
        <v>230.92000000000002</v>
      </c>
      <c r="V61">
        <f t="shared" si="11"/>
        <v>329.88571428571436</v>
      </c>
      <c r="W61" s="364">
        <f t="shared" si="12"/>
        <v>32.988571428571433</v>
      </c>
      <c r="Y61">
        <v>14494</v>
      </c>
      <c r="AF61">
        <v>44.58</v>
      </c>
      <c r="AG61">
        <f t="shared" ref="AG61:AG76" si="13">AF61-F61</f>
        <v>1.2800000000000011</v>
      </c>
      <c r="AH61" s="364">
        <f>(AG61/U61)*100</f>
        <v>0.55430452104625028</v>
      </c>
    </row>
    <row r="62" spans="1:34">
      <c r="A62">
        <v>2022</v>
      </c>
      <c r="B62" t="s">
        <v>93</v>
      </c>
      <c r="C62">
        <v>6</v>
      </c>
      <c r="D62">
        <v>4</v>
      </c>
      <c r="E62">
        <v>10</v>
      </c>
      <c r="F62">
        <v>43.6</v>
      </c>
      <c r="G62">
        <v>180.8</v>
      </c>
      <c r="H62" s="148">
        <v>45131</v>
      </c>
      <c r="I62" s="148">
        <v>45135</v>
      </c>
      <c r="J62" s="148">
        <v>45135</v>
      </c>
      <c r="K62" s="117">
        <v>25</v>
      </c>
      <c r="L62">
        <v>21.9</v>
      </c>
      <c r="M62" s="148">
        <v>45105</v>
      </c>
      <c r="R62" t="s">
        <v>54</v>
      </c>
      <c r="U62">
        <f t="shared" si="10"/>
        <v>137.20000000000002</v>
      </c>
      <c r="V62">
        <f t="shared" si="11"/>
        <v>196</v>
      </c>
      <c r="W62" s="364">
        <f t="shared" si="12"/>
        <v>19.600000000000001</v>
      </c>
      <c r="Y62">
        <v>14574.4</v>
      </c>
    </row>
    <row r="63" spans="1:34">
      <c r="A63">
        <v>2022</v>
      </c>
      <c r="B63" t="s">
        <v>93</v>
      </c>
      <c r="C63">
        <v>7</v>
      </c>
      <c r="D63">
        <v>4</v>
      </c>
      <c r="E63">
        <v>10</v>
      </c>
      <c r="F63">
        <v>42.7</v>
      </c>
      <c r="G63">
        <v>237.26</v>
      </c>
      <c r="H63" s="148">
        <v>45132</v>
      </c>
      <c r="I63" s="148">
        <v>45135</v>
      </c>
      <c r="J63" s="148">
        <v>45135</v>
      </c>
      <c r="K63" s="117">
        <v>25</v>
      </c>
      <c r="L63">
        <v>21.9</v>
      </c>
      <c r="M63" s="148">
        <v>45105</v>
      </c>
      <c r="R63" t="s">
        <v>54</v>
      </c>
      <c r="U63">
        <f t="shared" si="10"/>
        <v>194.56</v>
      </c>
      <c r="V63">
        <f t="shared" si="11"/>
        <v>277.94285714285712</v>
      </c>
      <c r="W63" s="364">
        <f t="shared" si="12"/>
        <v>27.794285714285714</v>
      </c>
      <c r="Y63">
        <v>14647.8</v>
      </c>
    </row>
    <row r="64" spans="1:34">
      <c r="A64">
        <v>2022</v>
      </c>
      <c r="B64" t="s">
        <v>93</v>
      </c>
      <c r="C64">
        <v>8</v>
      </c>
      <c r="D64">
        <v>4</v>
      </c>
      <c r="E64">
        <v>10</v>
      </c>
      <c r="F64">
        <v>44.7</v>
      </c>
      <c r="G64">
        <v>191.72</v>
      </c>
      <c r="H64" s="148">
        <v>45132</v>
      </c>
      <c r="I64" s="148">
        <v>45135</v>
      </c>
      <c r="J64" s="148">
        <v>45135</v>
      </c>
      <c r="K64" s="117">
        <v>25</v>
      </c>
      <c r="L64">
        <v>21.9</v>
      </c>
      <c r="M64" s="148">
        <v>45105</v>
      </c>
      <c r="R64" t="s">
        <v>54</v>
      </c>
      <c r="U64">
        <f t="shared" si="10"/>
        <v>147.01999999999998</v>
      </c>
      <c r="V64">
        <f t="shared" si="11"/>
        <v>210.02857142857141</v>
      </c>
      <c r="W64" s="364">
        <f t="shared" si="12"/>
        <v>21.002857142857142</v>
      </c>
      <c r="Y64">
        <v>14594.3</v>
      </c>
    </row>
    <row r="65" spans="1:35">
      <c r="A65">
        <v>2022</v>
      </c>
      <c r="B65" t="s">
        <v>93</v>
      </c>
      <c r="C65">
        <v>9</v>
      </c>
      <c r="D65">
        <v>4</v>
      </c>
      <c r="E65">
        <v>10</v>
      </c>
      <c r="F65">
        <v>42.9</v>
      </c>
      <c r="G65">
        <v>258.52</v>
      </c>
      <c r="H65" s="148">
        <v>45132</v>
      </c>
      <c r="I65" s="148">
        <v>45135</v>
      </c>
      <c r="J65" s="148">
        <v>45135</v>
      </c>
      <c r="K65" s="117">
        <v>25</v>
      </c>
      <c r="L65">
        <v>21.9</v>
      </c>
      <c r="M65" s="148">
        <v>45105</v>
      </c>
      <c r="R65" t="s">
        <v>54</v>
      </c>
      <c r="U65">
        <f t="shared" si="10"/>
        <v>215.61999999999998</v>
      </c>
      <c r="V65">
        <f t="shared" si="11"/>
        <v>308.02857142857141</v>
      </c>
      <c r="W65" s="364">
        <f t="shared" si="12"/>
        <v>30.802857142857139</v>
      </c>
      <c r="Y65">
        <v>15056.6</v>
      </c>
    </row>
    <row r="66" spans="1:35">
      <c r="A66">
        <v>2022</v>
      </c>
      <c r="B66" t="s">
        <v>93</v>
      </c>
      <c r="C66">
        <v>10</v>
      </c>
      <c r="D66">
        <v>4</v>
      </c>
      <c r="E66">
        <v>10</v>
      </c>
      <c r="F66">
        <v>42.7</v>
      </c>
      <c r="G66">
        <v>238.32</v>
      </c>
      <c r="H66" s="148">
        <v>45132</v>
      </c>
      <c r="I66" s="148">
        <v>45139</v>
      </c>
      <c r="J66" s="148">
        <v>45139</v>
      </c>
      <c r="K66" s="117">
        <v>25</v>
      </c>
      <c r="L66">
        <v>22.8</v>
      </c>
      <c r="M66" s="148">
        <v>45139</v>
      </c>
      <c r="R66" t="s">
        <v>54</v>
      </c>
      <c r="U66">
        <f t="shared" si="10"/>
        <v>195.62</v>
      </c>
      <c r="V66">
        <f t="shared" si="11"/>
        <v>279.45714285714286</v>
      </c>
      <c r="W66" s="364">
        <f t="shared" si="12"/>
        <v>27.945714285714285</v>
      </c>
      <c r="Y66">
        <v>14550.6</v>
      </c>
    </row>
    <row r="67" spans="1:35">
      <c r="A67">
        <v>2022</v>
      </c>
      <c r="B67" t="s">
        <v>93</v>
      </c>
      <c r="C67">
        <v>11</v>
      </c>
      <c r="D67">
        <v>4</v>
      </c>
      <c r="E67">
        <v>10</v>
      </c>
      <c r="F67">
        <v>41.9</v>
      </c>
      <c r="G67">
        <v>202.02</v>
      </c>
      <c r="H67" s="148">
        <v>45132</v>
      </c>
      <c r="I67" s="148">
        <v>45139</v>
      </c>
      <c r="J67" s="148">
        <v>45139</v>
      </c>
      <c r="K67" s="117">
        <v>25</v>
      </c>
      <c r="L67">
        <v>22.8</v>
      </c>
      <c r="M67" s="148">
        <v>45139</v>
      </c>
      <c r="R67" t="s">
        <v>54</v>
      </c>
      <c r="U67">
        <f t="shared" si="10"/>
        <v>160.12</v>
      </c>
      <c r="V67">
        <f t="shared" si="11"/>
        <v>228.74285714285716</v>
      </c>
      <c r="W67" s="364">
        <f t="shared" si="12"/>
        <v>22.874285714285715</v>
      </c>
      <c r="Y67">
        <v>15070.1</v>
      </c>
    </row>
    <row r="68" spans="1:35">
      <c r="A68">
        <v>2022</v>
      </c>
      <c r="B68" t="s">
        <v>93</v>
      </c>
      <c r="C68">
        <v>12</v>
      </c>
      <c r="D68">
        <v>4</v>
      </c>
      <c r="E68">
        <v>10</v>
      </c>
      <c r="F68">
        <v>43.9</v>
      </c>
      <c r="G68">
        <v>181.66</v>
      </c>
      <c r="H68" s="148">
        <v>45132</v>
      </c>
      <c r="I68" s="148">
        <v>45139</v>
      </c>
      <c r="J68" s="148">
        <v>45139</v>
      </c>
      <c r="K68" s="117">
        <v>25</v>
      </c>
      <c r="L68">
        <v>22.8</v>
      </c>
      <c r="M68" s="148">
        <v>45139</v>
      </c>
      <c r="R68" t="s">
        <v>54</v>
      </c>
      <c r="U68">
        <f t="shared" si="10"/>
        <v>137.76</v>
      </c>
      <c r="V68">
        <f t="shared" si="11"/>
        <v>196.8</v>
      </c>
      <c r="W68" s="364">
        <f t="shared" si="12"/>
        <v>19.68</v>
      </c>
      <c r="Y68">
        <v>14461.7</v>
      </c>
    </row>
    <row r="69" spans="1:35">
      <c r="A69">
        <v>2022</v>
      </c>
      <c r="B69" t="s">
        <v>93</v>
      </c>
      <c r="C69">
        <v>13</v>
      </c>
      <c r="D69">
        <v>4</v>
      </c>
      <c r="E69">
        <v>10</v>
      </c>
      <c r="F69">
        <v>42.5</v>
      </c>
      <c r="G69">
        <v>399.51</v>
      </c>
      <c r="H69" s="148">
        <v>45132</v>
      </c>
      <c r="I69" s="148">
        <v>45139</v>
      </c>
      <c r="J69" s="148">
        <v>45139</v>
      </c>
      <c r="K69" s="117">
        <v>25</v>
      </c>
      <c r="L69">
        <v>22.8</v>
      </c>
      <c r="M69" s="148">
        <v>45139</v>
      </c>
      <c r="R69" t="s">
        <v>54</v>
      </c>
      <c r="U69">
        <f t="shared" si="10"/>
        <v>357.01</v>
      </c>
      <c r="V69">
        <f t="shared" si="11"/>
        <v>510.01428571428568</v>
      </c>
      <c r="W69" s="364">
        <f t="shared" si="12"/>
        <v>51.001428571428569</v>
      </c>
      <c r="Y69">
        <v>15020.9</v>
      </c>
    </row>
    <row r="70" spans="1:35" s="217" customFormat="1">
      <c r="A70" s="217">
        <v>2022</v>
      </c>
      <c r="B70" s="217" t="s">
        <v>93</v>
      </c>
      <c r="C70" s="217">
        <v>14</v>
      </c>
      <c r="D70" s="217">
        <v>4</v>
      </c>
      <c r="E70" s="217">
        <v>7</v>
      </c>
      <c r="F70" s="217">
        <v>42.3</v>
      </c>
      <c r="G70" s="217">
        <v>273.63</v>
      </c>
      <c r="H70" s="218">
        <v>45132</v>
      </c>
      <c r="I70" s="218">
        <v>45139</v>
      </c>
      <c r="J70" s="218">
        <v>45139</v>
      </c>
      <c r="K70" s="219">
        <v>25</v>
      </c>
      <c r="L70" s="217">
        <v>22.8</v>
      </c>
      <c r="M70" s="218">
        <v>45139</v>
      </c>
      <c r="R70" s="217" t="s">
        <v>54</v>
      </c>
      <c r="U70" s="217">
        <f t="shared" si="10"/>
        <v>231.32999999999998</v>
      </c>
      <c r="V70" s="217">
        <f>((U70+U71)/7)*10</f>
        <v>621.44285714285718</v>
      </c>
      <c r="W70" s="364">
        <f>U70/4</f>
        <v>57.832499999999996</v>
      </c>
      <c r="X70" s="311">
        <f>ABS(W70-W71)</f>
        <v>10.060833333333335</v>
      </c>
      <c r="Y70" s="217">
        <v>15032.2</v>
      </c>
      <c r="AH70" s="364"/>
    </row>
    <row r="71" spans="1:35" s="222" customFormat="1">
      <c r="C71" s="222" t="s">
        <v>3110</v>
      </c>
      <c r="D71" s="222">
        <v>8</v>
      </c>
      <c r="E71" s="222">
        <v>10</v>
      </c>
      <c r="F71" s="222">
        <v>44.4</v>
      </c>
      <c r="G71" s="222">
        <v>248.08</v>
      </c>
      <c r="H71" s="223">
        <v>45133</v>
      </c>
      <c r="I71" s="223">
        <v>45139</v>
      </c>
      <c r="J71" s="223">
        <v>45139</v>
      </c>
      <c r="K71" s="224">
        <v>25</v>
      </c>
      <c r="L71" s="222">
        <v>22.8</v>
      </c>
      <c r="M71" s="223">
        <v>45139</v>
      </c>
      <c r="R71" s="222" t="s">
        <v>54</v>
      </c>
      <c r="U71" s="222">
        <f t="shared" si="10"/>
        <v>203.68</v>
      </c>
      <c r="W71" s="364">
        <f>U71/3</f>
        <v>67.893333333333331</v>
      </c>
      <c r="X71" s="365">
        <f>X70/SUM(U70,U71)</f>
        <v>2.3127820816379704E-2</v>
      </c>
      <c r="AH71" s="367"/>
    </row>
    <row r="72" spans="1:35" s="225" customFormat="1">
      <c r="A72" s="225">
        <v>2022</v>
      </c>
      <c r="B72" s="225" t="s">
        <v>93</v>
      </c>
      <c r="C72" s="225">
        <v>15</v>
      </c>
      <c r="D72" s="225">
        <v>4</v>
      </c>
      <c r="E72" s="225">
        <v>6</v>
      </c>
      <c r="F72" s="225">
        <v>42.9</v>
      </c>
      <c r="G72" s="225">
        <v>417.7</v>
      </c>
      <c r="H72" s="226">
        <v>45132</v>
      </c>
      <c r="I72" s="226">
        <v>45135</v>
      </c>
      <c r="J72" s="226">
        <v>45135</v>
      </c>
      <c r="K72" s="227">
        <v>25</v>
      </c>
      <c r="L72" s="225">
        <v>21.9</v>
      </c>
      <c r="M72" s="226">
        <v>45105</v>
      </c>
      <c r="R72" s="225" t="s">
        <v>54</v>
      </c>
      <c r="U72" s="225">
        <f t="shared" si="10"/>
        <v>374.8</v>
      </c>
      <c r="V72" s="225">
        <f>((U72+U73+U74)/7)*10</f>
        <v>1272.8571428571429</v>
      </c>
      <c r="W72" s="366">
        <f>U72/3</f>
        <v>124.93333333333334</v>
      </c>
      <c r="X72" s="311">
        <f>ABS(W72-W73)</f>
        <v>33.893333333333331</v>
      </c>
      <c r="Y72" s="225">
        <v>14567.3</v>
      </c>
      <c r="Z72" s="365">
        <f>X72/SUM($U$72,$U$73,$U$74)</f>
        <v>3.8039655817433592E-2</v>
      </c>
      <c r="AH72" s="368"/>
      <c r="AI72" s="217"/>
    </row>
    <row r="73" spans="1:35" s="217" customFormat="1">
      <c r="C73" s="217" t="s">
        <v>3111</v>
      </c>
      <c r="D73" s="217">
        <v>7</v>
      </c>
      <c r="E73" s="217">
        <v>8</v>
      </c>
      <c r="F73" s="217">
        <v>42.8</v>
      </c>
      <c r="G73" s="217">
        <v>315.92</v>
      </c>
      <c r="H73" s="218">
        <v>45132</v>
      </c>
      <c r="I73" s="218">
        <v>45135</v>
      </c>
      <c r="J73" s="218">
        <v>45135</v>
      </c>
      <c r="K73" s="219">
        <v>25</v>
      </c>
      <c r="L73" s="217">
        <v>21.9</v>
      </c>
      <c r="M73" s="218">
        <v>45105</v>
      </c>
      <c r="R73" s="217" t="s">
        <v>54</v>
      </c>
      <c r="U73" s="217">
        <f t="shared" si="10"/>
        <v>273.12</v>
      </c>
      <c r="W73" s="366">
        <f>U73/3</f>
        <v>91.04</v>
      </c>
      <c r="X73" s="311">
        <f>ABS(W73-W74)</f>
        <v>30.499999999999986</v>
      </c>
      <c r="Z73" s="365">
        <f t="shared" ref="Z73:Z74" si="14">X73/SUM($U$72,$U$73,$U$74)</f>
        <v>3.4231200897867547E-2</v>
      </c>
      <c r="AH73" s="364"/>
    </row>
    <row r="74" spans="1:35" s="222" customFormat="1">
      <c r="C74" s="222" t="s">
        <v>3112</v>
      </c>
      <c r="D74" s="222">
        <v>9</v>
      </c>
      <c r="E74" s="222">
        <v>10</v>
      </c>
      <c r="F74" s="222">
        <v>41.7</v>
      </c>
      <c r="G74" s="222">
        <v>284.77999999999997</v>
      </c>
      <c r="H74" s="223">
        <v>45132</v>
      </c>
      <c r="I74" s="223">
        <v>45135</v>
      </c>
      <c r="J74" s="223">
        <v>45135</v>
      </c>
      <c r="K74" s="224">
        <v>25</v>
      </c>
      <c r="L74" s="222">
        <v>21.9</v>
      </c>
      <c r="M74" s="223">
        <v>45105</v>
      </c>
      <c r="R74" s="222" t="s">
        <v>54</v>
      </c>
      <c r="U74" s="222">
        <f t="shared" si="10"/>
        <v>243.07999999999998</v>
      </c>
      <c r="W74" s="366">
        <f>U74/2</f>
        <v>121.53999999999999</v>
      </c>
      <c r="X74" s="311">
        <f>ABS(W74-W72)</f>
        <v>3.3933333333333451</v>
      </c>
      <c r="Z74" s="365">
        <f t="shared" si="14"/>
        <v>3.8084549195660437E-3</v>
      </c>
      <c r="AH74" s="367"/>
    </row>
    <row r="75" spans="1:35" s="225" customFormat="1">
      <c r="A75" s="225">
        <v>2022</v>
      </c>
      <c r="B75" s="225" t="s">
        <v>93</v>
      </c>
      <c r="C75" s="225">
        <v>16</v>
      </c>
      <c r="D75" s="225">
        <v>4</v>
      </c>
      <c r="E75" s="225">
        <v>7</v>
      </c>
      <c r="F75" s="225">
        <v>42.2</v>
      </c>
      <c r="G75" s="225">
        <v>291.92</v>
      </c>
      <c r="H75" s="226">
        <v>45133</v>
      </c>
      <c r="I75" s="226">
        <v>45139</v>
      </c>
      <c r="J75" s="226">
        <v>45139</v>
      </c>
      <c r="K75" s="227">
        <v>25</v>
      </c>
      <c r="L75" s="225">
        <v>22.8</v>
      </c>
      <c r="M75" s="226">
        <v>45139</v>
      </c>
      <c r="R75" s="225" t="s">
        <v>54</v>
      </c>
      <c r="U75" s="225">
        <f t="shared" si="10"/>
        <v>249.72000000000003</v>
      </c>
      <c r="V75" s="225">
        <f>((U75+U76)/7)*10</f>
        <v>638.87142857142862</v>
      </c>
      <c r="W75" s="364">
        <f>U75/4</f>
        <v>62.430000000000007</v>
      </c>
      <c r="X75" s="311">
        <f>ABS(W75-W76)</f>
        <v>3.3999999999999915</v>
      </c>
      <c r="Y75" s="225">
        <v>14658</v>
      </c>
      <c r="AH75" s="368"/>
    </row>
    <row r="76" spans="1:35" s="222" customFormat="1">
      <c r="C76" s="222" t="s">
        <v>3113</v>
      </c>
      <c r="D76" s="222">
        <v>8</v>
      </c>
      <c r="E76" s="222">
        <v>10</v>
      </c>
      <c r="F76" s="222">
        <v>42.5</v>
      </c>
      <c r="G76" s="222">
        <v>239.99</v>
      </c>
      <c r="H76" s="223">
        <v>45133</v>
      </c>
      <c r="I76" s="223">
        <v>45139</v>
      </c>
      <c r="J76" s="223">
        <v>45139</v>
      </c>
      <c r="K76" s="224">
        <v>25</v>
      </c>
      <c r="L76" s="222">
        <v>22.8</v>
      </c>
      <c r="M76" s="223">
        <v>45139</v>
      </c>
      <c r="R76" s="222" t="s">
        <v>54</v>
      </c>
      <c r="U76" s="222">
        <f t="shared" si="10"/>
        <v>197.49</v>
      </c>
      <c r="W76" s="364">
        <f>U76/3</f>
        <v>65.83</v>
      </c>
      <c r="X76" s="365">
        <f>X75/SUM(U75,U76)</f>
        <v>7.6026922474899741E-3</v>
      </c>
      <c r="AF76" s="222">
        <v>43.28</v>
      </c>
      <c r="AG76" s="222">
        <f t="shared" si="13"/>
        <v>0.78000000000000114</v>
      </c>
      <c r="AH76" s="364">
        <f>(AG76/U76)*100</f>
        <v>0.39495670666869259</v>
      </c>
    </row>
    <row r="77" spans="1:35">
      <c r="A77">
        <v>2022</v>
      </c>
      <c r="B77" t="s">
        <v>93</v>
      </c>
      <c r="C77">
        <v>17</v>
      </c>
      <c r="D77">
        <v>4</v>
      </c>
      <c r="E77">
        <v>10</v>
      </c>
      <c r="F77">
        <v>44.5</v>
      </c>
      <c r="G77">
        <v>123.12</v>
      </c>
      <c r="H77" s="148">
        <v>45133</v>
      </c>
      <c r="I77" s="148">
        <v>45139</v>
      </c>
      <c r="J77" s="148">
        <v>45139</v>
      </c>
      <c r="K77" s="117">
        <v>25</v>
      </c>
      <c r="L77">
        <v>22.8</v>
      </c>
      <c r="M77" s="148">
        <v>45139</v>
      </c>
      <c r="R77" t="s">
        <v>54</v>
      </c>
      <c r="U77">
        <f t="shared" si="10"/>
        <v>78.62</v>
      </c>
      <c r="V77">
        <f t="shared" si="11"/>
        <v>112.31428571428572</v>
      </c>
      <c r="W77" s="364">
        <f t="shared" ref="W77:W81" si="15">U77/7</f>
        <v>11.231428571428571</v>
      </c>
      <c r="Y77">
        <v>15008.9</v>
      </c>
    </row>
    <row r="78" spans="1:35">
      <c r="A78">
        <v>2022</v>
      </c>
      <c r="B78" t="s">
        <v>93</v>
      </c>
      <c r="C78">
        <v>18</v>
      </c>
      <c r="D78">
        <v>4</v>
      </c>
      <c r="E78">
        <v>10</v>
      </c>
      <c r="F78">
        <v>42.2</v>
      </c>
      <c r="G78">
        <v>270.22000000000003</v>
      </c>
      <c r="H78" s="148">
        <v>45133</v>
      </c>
      <c r="I78" s="148">
        <v>45139</v>
      </c>
      <c r="J78" s="148">
        <v>45139</v>
      </c>
      <c r="K78" s="117">
        <v>25</v>
      </c>
      <c r="L78">
        <v>22.8</v>
      </c>
      <c r="M78" s="148">
        <v>45139</v>
      </c>
      <c r="R78" t="s">
        <v>54</v>
      </c>
      <c r="U78">
        <f t="shared" si="10"/>
        <v>228.02000000000004</v>
      </c>
      <c r="V78">
        <f t="shared" si="11"/>
        <v>325.74285714285725</v>
      </c>
      <c r="W78" s="364">
        <f t="shared" si="15"/>
        <v>32.574285714285722</v>
      </c>
      <c r="Y78">
        <v>14987.9</v>
      </c>
    </row>
    <row r="79" spans="1:35">
      <c r="A79">
        <v>2022</v>
      </c>
      <c r="B79" t="s">
        <v>93</v>
      </c>
      <c r="C79">
        <v>19</v>
      </c>
      <c r="D79">
        <v>4</v>
      </c>
      <c r="E79">
        <v>10</v>
      </c>
      <c r="F79">
        <v>44.9</v>
      </c>
      <c r="G79">
        <v>212.59</v>
      </c>
      <c r="H79" s="148">
        <v>45133</v>
      </c>
      <c r="I79" s="148">
        <v>45139</v>
      </c>
      <c r="J79" s="148">
        <v>45139</v>
      </c>
      <c r="K79" s="117">
        <v>25</v>
      </c>
      <c r="L79">
        <v>22.8</v>
      </c>
      <c r="M79" s="148">
        <v>45139</v>
      </c>
      <c r="R79" t="s">
        <v>54</v>
      </c>
      <c r="U79">
        <f t="shared" si="10"/>
        <v>167.69</v>
      </c>
      <c r="V79">
        <f t="shared" si="11"/>
        <v>239.55714285714288</v>
      </c>
      <c r="W79" s="364">
        <f t="shared" si="15"/>
        <v>23.955714285714286</v>
      </c>
      <c r="Y79">
        <v>14985</v>
      </c>
    </row>
    <row r="80" spans="1:35">
      <c r="A80">
        <v>2022</v>
      </c>
      <c r="B80" t="s">
        <v>93</v>
      </c>
      <c r="C80">
        <v>20</v>
      </c>
      <c r="D80">
        <v>4</v>
      </c>
      <c r="E80">
        <v>10</v>
      </c>
      <c r="F80">
        <v>41.8</v>
      </c>
      <c r="G80">
        <v>398.25</v>
      </c>
      <c r="H80" s="148">
        <v>45133</v>
      </c>
      <c r="I80" s="148">
        <v>45139</v>
      </c>
      <c r="J80" s="148">
        <v>45139</v>
      </c>
      <c r="K80" s="117">
        <v>25</v>
      </c>
      <c r="L80">
        <v>22.8</v>
      </c>
      <c r="M80" s="148">
        <v>45139</v>
      </c>
      <c r="R80" t="s">
        <v>54</v>
      </c>
      <c r="U80">
        <f t="shared" si="10"/>
        <v>356.45</v>
      </c>
      <c r="V80">
        <f t="shared" si="11"/>
        <v>509.21428571428572</v>
      </c>
      <c r="W80" s="364">
        <f t="shared" si="15"/>
        <v>50.921428571428571</v>
      </c>
      <c r="Y80">
        <v>15048.7</v>
      </c>
    </row>
    <row r="81" spans="1:34">
      <c r="A81">
        <v>2022</v>
      </c>
      <c r="B81" t="s">
        <v>93</v>
      </c>
      <c r="C81">
        <v>21</v>
      </c>
      <c r="D81">
        <v>4</v>
      </c>
      <c r="E81">
        <v>10</v>
      </c>
      <c r="F81">
        <v>46</v>
      </c>
      <c r="G81">
        <v>204.81</v>
      </c>
      <c r="H81" s="148">
        <v>45133</v>
      </c>
      <c r="I81" s="148">
        <v>45139</v>
      </c>
      <c r="J81" s="148">
        <v>45139</v>
      </c>
      <c r="K81" s="117">
        <v>25</v>
      </c>
      <c r="L81">
        <v>22.8</v>
      </c>
      <c r="M81" s="148">
        <v>45139</v>
      </c>
      <c r="R81" t="s">
        <v>54</v>
      </c>
      <c r="U81">
        <f t="shared" si="10"/>
        <v>158.81</v>
      </c>
      <c r="V81">
        <f t="shared" si="11"/>
        <v>226.87142857142857</v>
      </c>
      <c r="W81" s="364">
        <f t="shared" si="15"/>
        <v>22.687142857142856</v>
      </c>
      <c r="Y81">
        <v>15081.2</v>
      </c>
      <c r="AF81">
        <v>46.92</v>
      </c>
      <c r="AG81">
        <f>AF81-F81</f>
        <v>0.92000000000000171</v>
      </c>
      <c r="AH81" s="364">
        <f>(AG81/U81)*100</f>
        <v>0.57930860777029258</v>
      </c>
    </row>
  </sheetData>
  <phoneticPr fontId="15" type="noConversion"/>
  <conditionalFormatting sqref="U1:U3">
    <cfRule type="cellIs" dxfId="6" priority="1" operator="lessThan">
      <formula>10</formula>
    </cfRule>
  </conditionalFormatting>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44FB1-F680-4D6E-9228-C8ECFDC18D21}">
  <dimension ref="A1:AE71"/>
  <sheetViews>
    <sheetView zoomScale="80" zoomScaleNormal="80" workbookViewId="0">
      <selection activeCell="W51" sqref="W51"/>
    </sheetView>
  </sheetViews>
  <sheetFormatPr defaultRowHeight="14.5"/>
  <cols>
    <col min="7" max="7" width="11.54296875" customWidth="1"/>
    <col min="15" max="15" width="11.54296875" bestFit="1" customWidth="1"/>
    <col min="22" max="22" width="39.81640625" bestFit="1" customWidth="1"/>
    <col min="24" max="24" width="13.453125" bestFit="1" customWidth="1"/>
    <col min="27" max="27" width="10" bestFit="1" customWidth="1"/>
  </cols>
  <sheetData>
    <row r="1" spans="1:30" ht="15.5">
      <c r="A1" s="172" t="s">
        <v>31</v>
      </c>
      <c r="B1" s="172" t="s">
        <v>2976</v>
      </c>
      <c r="C1" s="172" t="s">
        <v>2977</v>
      </c>
      <c r="D1" s="173" t="s">
        <v>3114</v>
      </c>
      <c r="E1" s="173" t="s">
        <v>3114</v>
      </c>
      <c r="F1" s="173" t="s">
        <v>3075</v>
      </c>
      <c r="G1" s="173" t="s">
        <v>3115</v>
      </c>
      <c r="H1" s="174" t="s">
        <v>3114</v>
      </c>
      <c r="I1" s="174" t="s">
        <v>3116</v>
      </c>
      <c r="J1" s="175" t="s">
        <v>3117</v>
      </c>
      <c r="K1" s="174" t="s">
        <v>3114</v>
      </c>
      <c r="L1" s="176" t="s">
        <v>3088</v>
      </c>
      <c r="M1" s="177" t="s">
        <v>3118</v>
      </c>
      <c r="N1" s="175" t="s">
        <v>3117</v>
      </c>
      <c r="O1" s="178" t="s">
        <v>3118</v>
      </c>
      <c r="P1" s="173" t="s">
        <v>3118</v>
      </c>
      <c r="Q1" s="175" t="s">
        <v>3117</v>
      </c>
      <c r="R1" s="174" t="s">
        <v>3118</v>
      </c>
      <c r="S1" s="176" t="s">
        <v>3088</v>
      </c>
      <c r="T1" s="175" t="s">
        <v>3119</v>
      </c>
      <c r="U1" s="172" t="s">
        <v>3120</v>
      </c>
      <c r="V1" s="174" t="s">
        <v>3121</v>
      </c>
      <c r="W1" s="174" t="s">
        <v>3122</v>
      </c>
      <c r="X1" s="174"/>
      <c r="Y1" s="174"/>
      <c r="Z1" s="174"/>
      <c r="AA1" s="174"/>
      <c r="AB1" s="174"/>
      <c r="AC1" s="174"/>
      <c r="AD1" s="174"/>
    </row>
    <row r="2" spans="1:30" ht="15.5">
      <c r="A2" s="172"/>
      <c r="B2" s="172" t="s">
        <v>3123</v>
      </c>
      <c r="C2" s="172"/>
      <c r="D2" s="173" t="s">
        <v>3124</v>
      </c>
      <c r="E2" s="173" t="s">
        <v>3125</v>
      </c>
      <c r="F2" s="179" t="s">
        <v>3126</v>
      </c>
      <c r="G2" s="179"/>
      <c r="H2" s="174" t="s">
        <v>3127</v>
      </c>
      <c r="I2" s="174" t="s">
        <v>3125</v>
      </c>
      <c r="J2" s="179" t="s">
        <v>3126</v>
      </c>
      <c r="K2" s="174" t="s">
        <v>3128</v>
      </c>
      <c r="L2" s="176" t="s">
        <v>3128</v>
      </c>
      <c r="M2" s="180"/>
      <c r="N2" s="179" t="s">
        <v>3126</v>
      </c>
      <c r="O2" s="176" t="s">
        <v>3072</v>
      </c>
      <c r="P2" s="173" t="s">
        <v>3127</v>
      </c>
      <c r="Q2" s="179" t="s">
        <v>3126</v>
      </c>
      <c r="R2" s="174" t="s">
        <v>3128</v>
      </c>
      <c r="S2" s="176" t="s">
        <v>3128</v>
      </c>
      <c r="T2" s="175"/>
      <c r="U2" s="172"/>
      <c r="V2" s="172"/>
      <c r="W2" s="172" t="s">
        <v>3129</v>
      </c>
      <c r="X2" s="172"/>
      <c r="Y2" s="174"/>
      <c r="Z2" s="174"/>
      <c r="AA2" s="174"/>
      <c r="AB2" s="181"/>
      <c r="AC2" s="181"/>
      <c r="AD2" s="174"/>
    </row>
    <row r="3" spans="1:30" ht="15.5">
      <c r="A3" s="53">
        <v>2022</v>
      </c>
      <c r="B3" s="53">
        <v>1000</v>
      </c>
      <c r="C3" s="53">
        <v>1</v>
      </c>
      <c r="D3" s="53">
        <v>59.4</v>
      </c>
      <c r="E3" s="149">
        <f>POWER(D3,1.0878)*0.4665</f>
        <v>39.662176507611733</v>
      </c>
      <c r="F3" s="53">
        <v>25.6</v>
      </c>
      <c r="G3" s="148">
        <v>44727</v>
      </c>
      <c r="M3">
        <v>8.5500000000000007</v>
      </c>
      <c r="N3">
        <v>25.5</v>
      </c>
      <c r="O3" s="148">
        <f>G3</f>
        <v>44727</v>
      </c>
      <c r="T3" t="s">
        <v>54</v>
      </c>
      <c r="U3" s="204"/>
      <c r="V3" s="53" t="s">
        <v>3130</v>
      </c>
      <c r="W3" s="182"/>
      <c r="X3" s="183">
        <v>45092</v>
      </c>
      <c r="Y3" s="182"/>
      <c r="Z3" s="182"/>
      <c r="AA3" s="53"/>
      <c r="AB3" s="53"/>
      <c r="AC3" s="53"/>
      <c r="AD3" s="53"/>
    </row>
    <row r="4" spans="1:30" ht="15.5">
      <c r="A4" s="53">
        <v>2022</v>
      </c>
      <c r="B4" s="53">
        <v>1000</v>
      </c>
      <c r="C4" s="182">
        <v>2</v>
      </c>
      <c r="D4">
        <v>59.7</v>
      </c>
      <c r="E4" s="149">
        <f t="shared" ref="E4:E65" si="0">POWER(D4,1.0878)*0.4665</f>
        <v>39.880126340086932</v>
      </c>
      <c r="F4">
        <v>25.9</v>
      </c>
      <c r="G4" s="148">
        <v>44727</v>
      </c>
      <c r="M4">
        <v>8.6199999999999992</v>
      </c>
      <c r="N4">
        <v>26.1</v>
      </c>
      <c r="O4" s="148">
        <f t="shared" ref="O4:O65" si="1">G4</f>
        <v>44727</v>
      </c>
      <c r="T4" t="s">
        <v>54</v>
      </c>
      <c r="U4" s="204"/>
      <c r="V4" s="149" t="s">
        <v>3131</v>
      </c>
      <c r="W4" s="52"/>
      <c r="X4" s="182"/>
      <c r="Y4" s="185" t="s">
        <v>3132</v>
      </c>
      <c r="Z4" s="182"/>
      <c r="AA4" s="182"/>
      <c r="AB4" s="182"/>
      <c r="AC4" s="182"/>
      <c r="AD4" s="182"/>
    </row>
    <row r="5" spans="1:30" ht="15.5">
      <c r="A5" s="53">
        <v>2022</v>
      </c>
      <c r="B5" s="53">
        <v>1000</v>
      </c>
      <c r="C5" s="182">
        <v>3</v>
      </c>
      <c r="D5">
        <v>59.5</v>
      </c>
      <c r="E5" s="149">
        <f t="shared" si="0"/>
        <v>39.734815737579275</v>
      </c>
      <c r="F5">
        <v>26.1</v>
      </c>
      <c r="G5" s="148">
        <v>44727</v>
      </c>
      <c r="H5">
        <v>59.2</v>
      </c>
      <c r="I5">
        <f>POWER(H5,1.0878)*0.4665</f>
        <v>39.516930272554035</v>
      </c>
      <c r="J5">
        <v>26</v>
      </c>
      <c r="K5">
        <f>D5-H5</f>
        <v>0.29999999999999716</v>
      </c>
      <c r="L5" s="184">
        <f>(K5/AVERAGE(H5,D5))*100</f>
        <v>0.50547598989047537</v>
      </c>
      <c r="M5">
        <v>8.52</v>
      </c>
      <c r="N5">
        <v>25.9</v>
      </c>
      <c r="O5" s="148">
        <f t="shared" si="1"/>
        <v>44727</v>
      </c>
      <c r="P5">
        <v>8.51</v>
      </c>
      <c r="Q5">
        <v>25.5</v>
      </c>
      <c r="R5">
        <f>M5-P5</f>
        <v>9.9999999999997868E-3</v>
      </c>
      <c r="S5" s="184">
        <f>(R5/AVERAGE(P5,M5))*100</f>
        <v>0.11743981209629813</v>
      </c>
      <c r="T5" t="s">
        <v>54</v>
      </c>
      <c r="U5" s="204"/>
      <c r="V5" s="53" t="s">
        <v>3133</v>
      </c>
      <c r="W5" s="53" t="s">
        <v>3134</v>
      </c>
      <c r="X5" s="182"/>
      <c r="Y5" s="53" t="s">
        <v>3135</v>
      </c>
      <c r="Z5" s="182"/>
      <c r="AA5" s="182" t="s">
        <v>3136</v>
      </c>
      <c r="AB5" s="182" t="s">
        <v>48</v>
      </c>
      <c r="AC5" s="182"/>
      <c r="AD5" s="182"/>
    </row>
    <row r="6" spans="1:30" ht="15.5">
      <c r="A6" s="53">
        <v>2022</v>
      </c>
      <c r="B6" s="53">
        <v>1000</v>
      </c>
      <c r="C6" s="182">
        <v>4</v>
      </c>
      <c r="D6">
        <v>55.5</v>
      </c>
      <c r="E6" s="149">
        <f t="shared" si="0"/>
        <v>36.837788925598666</v>
      </c>
      <c r="F6">
        <v>26.3</v>
      </c>
      <c r="G6" s="148">
        <v>44727</v>
      </c>
      <c r="K6" s="121">
        <f>E5-I5</f>
        <v>0.21788546502524042</v>
      </c>
      <c r="L6" s="184">
        <f>(K6/AVERAGE(I5,E5))*100</f>
        <v>0.54985656719129217</v>
      </c>
      <c r="M6">
        <v>8.61</v>
      </c>
      <c r="N6">
        <v>25.6</v>
      </c>
      <c r="O6" s="148">
        <f t="shared" si="1"/>
        <v>44727</v>
      </c>
      <c r="S6" s="184"/>
      <c r="T6" t="s">
        <v>54</v>
      </c>
      <c r="U6" s="204"/>
      <c r="V6" s="53"/>
      <c r="W6" s="185"/>
      <c r="X6" s="186"/>
      <c r="Y6" s="182"/>
      <c r="Z6" s="182"/>
      <c r="AA6" s="185"/>
      <c r="AB6" s="182">
        <f>_xlfn.STDEV.P(AA7:AA9,AA12:AA15)</f>
        <v>7.1814906379753423E-3</v>
      </c>
      <c r="AC6" s="182">
        <f>AB6/SQRT(COUNT(AA7:AA9,AA12:AA14))</f>
        <v>2.9318312759356708E-3</v>
      </c>
      <c r="AD6" s="187">
        <f>AC6</f>
        <v>2.9318312759356708E-3</v>
      </c>
    </row>
    <row r="7" spans="1:30" ht="15.5">
      <c r="A7" s="53">
        <v>2022</v>
      </c>
      <c r="B7" s="53">
        <v>1000</v>
      </c>
      <c r="C7" s="182">
        <v>5</v>
      </c>
      <c r="D7">
        <v>56.8</v>
      </c>
      <c r="E7" s="149">
        <f t="shared" si="0"/>
        <v>37.777374168095484</v>
      </c>
      <c r="F7">
        <v>26.4</v>
      </c>
      <c r="G7" s="148">
        <v>44727</v>
      </c>
      <c r="L7" s="184"/>
      <c r="M7">
        <v>8.1999999999999993</v>
      </c>
      <c r="N7">
        <v>25.7</v>
      </c>
      <c r="O7" s="148">
        <f t="shared" si="1"/>
        <v>44727</v>
      </c>
      <c r="S7" s="184"/>
      <c r="T7" t="s">
        <v>54</v>
      </c>
      <c r="U7" s="204"/>
      <c r="V7" s="53" t="s">
        <v>332</v>
      </c>
      <c r="W7" s="182">
        <v>49.4</v>
      </c>
      <c r="X7" s="186" t="s">
        <v>3124</v>
      </c>
      <c r="Y7" s="53">
        <v>25.9</v>
      </c>
      <c r="Z7" s="182"/>
      <c r="AA7" s="182">
        <f>(50-W7)/50</f>
        <v>1.2000000000000028E-2</v>
      </c>
      <c r="AB7" s="182"/>
      <c r="AC7" s="182"/>
      <c r="AD7" s="182"/>
    </row>
    <row r="8" spans="1:30" ht="15.5">
      <c r="A8" s="53">
        <v>2022</v>
      </c>
      <c r="B8" s="53">
        <v>1000</v>
      </c>
      <c r="C8" s="53">
        <v>6</v>
      </c>
      <c r="D8" s="53">
        <v>54.9</v>
      </c>
      <c r="E8" s="149">
        <f t="shared" si="0"/>
        <v>36.404782807461594</v>
      </c>
      <c r="F8">
        <v>26.3</v>
      </c>
      <c r="G8" s="148">
        <v>44727</v>
      </c>
      <c r="L8" s="184"/>
      <c r="M8">
        <v>8.58</v>
      </c>
      <c r="N8">
        <v>26.2</v>
      </c>
      <c r="O8" s="148">
        <f t="shared" si="1"/>
        <v>44727</v>
      </c>
      <c r="S8" s="184"/>
      <c r="T8" t="s">
        <v>54</v>
      </c>
      <c r="U8" s="204"/>
      <c r="V8" s="53" t="s">
        <v>3137</v>
      </c>
      <c r="W8" s="182">
        <v>52.5</v>
      </c>
      <c r="X8" s="186" t="s">
        <v>3124</v>
      </c>
      <c r="Y8" s="182">
        <v>25.8</v>
      </c>
      <c r="Z8" s="182"/>
      <c r="AA8" s="188">
        <f>(53-W8)/53</f>
        <v>9.433962264150943E-3</v>
      </c>
      <c r="AB8" s="182"/>
      <c r="AC8" s="182"/>
      <c r="AD8" s="182"/>
    </row>
    <row r="9" spans="1:30" ht="15.5">
      <c r="A9" s="53">
        <v>2022</v>
      </c>
      <c r="B9" s="53">
        <v>1000</v>
      </c>
      <c r="C9" s="182">
        <v>7</v>
      </c>
      <c r="D9">
        <v>58.8</v>
      </c>
      <c r="E9" s="149">
        <f t="shared" si="0"/>
        <v>39.226567166210792</v>
      </c>
      <c r="F9">
        <v>26.3</v>
      </c>
      <c r="G9" s="148">
        <v>44727</v>
      </c>
      <c r="L9" s="184"/>
      <c r="M9">
        <v>8.58</v>
      </c>
      <c r="N9">
        <v>25.9</v>
      </c>
      <c r="O9" s="148">
        <f t="shared" si="1"/>
        <v>44727</v>
      </c>
      <c r="S9" s="184"/>
      <c r="T9" t="s">
        <v>54</v>
      </c>
      <c r="U9" s="204"/>
      <c r="V9" s="182" t="s">
        <v>3138</v>
      </c>
      <c r="W9" s="182">
        <v>12.84</v>
      </c>
      <c r="X9" s="186" t="s">
        <v>3124</v>
      </c>
      <c r="Y9" s="182">
        <v>25.7</v>
      </c>
      <c r="Z9" s="182"/>
      <c r="AA9" s="188">
        <f>(12.8-W9)/12.8</f>
        <v>-3.1249999999999334E-3</v>
      </c>
      <c r="AB9" s="182"/>
      <c r="AC9" s="182"/>
      <c r="AD9" s="182"/>
    </row>
    <row r="10" spans="1:30" ht="15.5">
      <c r="A10" s="53">
        <v>2022</v>
      </c>
      <c r="B10" s="53">
        <v>1000</v>
      </c>
      <c r="C10" s="182">
        <v>8</v>
      </c>
      <c r="D10">
        <v>56.8</v>
      </c>
      <c r="E10" s="149">
        <f t="shared" si="0"/>
        <v>37.777374168095484</v>
      </c>
      <c r="F10">
        <v>26.2</v>
      </c>
      <c r="G10" s="148">
        <v>44727</v>
      </c>
      <c r="L10" s="184"/>
      <c r="M10">
        <v>8.5</v>
      </c>
      <c r="N10">
        <v>26.3</v>
      </c>
      <c r="O10" s="148">
        <f t="shared" si="1"/>
        <v>44727</v>
      </c>
      <c r="S10" s="184"/>
      <c r="T10" t="s">
        <v>54</v>
      </c>
      <c r="U10" s="38"/>
      <c r="Z10" s="182"/>
      <c r="AA10" s="182"/>
      <c r="AB10" s="182"/>
      <c r="AC10" s="182"/>
      <c r="AD10" s="182"/>
    </row>
    <row r="11" spans="1:30" ht="15.5">
      <c r="A11" s="53">
        <v>2022</v>
      </c>
      <c r="B11" s="53">
        <v>1000</v>
      </c>
      <c r="C11" s="182">
        <v>9</v>
      </c>
      <c r="D11">
        <v>58.2</v>
      </c>
      <c r="E11" s="149">
        <f t="shared" si="0"/>
        <v>38.791347926916671</v>
      </c>
      <c r="F11">
        <v>26.3</v>
      </c>
      <c r="G11" s="148">
        <v>44727</v>
      </c>
      <c r="L11" s="184"/>
      <c r="M11">
        <v>8.59</v>
      </c>
      <c r="N11">
        <v>26.3</v>
      </c>
      <c r="O11" s="148">
        <f t="shared" si="1"/>
        <v>44727</v>
      </c>
      <c r="S11" s="184"/>
      <c r="T11" t="s">
        <v>54</v>
      </c>
      <c r="U11" s="204"/>
      <c r="V11" s="53" t="s">
        <v>3139</v>
      </c>
      <c r="W11" s="53" t="s">
        <v>3134</v>
      </c>
      <c r="X11" s="182"/>
      <c r="Y11" s="53" t="s">
        <v>3135</v>
      </c>
      <c r="Z11" s="182"/>
      <c r="AA11" s="189"/>
      <c r="AB11" s="182"/>
      <c r="AC11" s="182"/>
      <c r="AD11" s="182"/>
    </row>
    <row r="12" spans="1:30" ht="15.5">
      <c r="A12" s="53">
        <v>2022</v>
      </c>
      <c r="B12" s="53">
        <v>1000</v>
      </c>
      <c r="C12" s="182">
        <v>10</v>
      </c>
      <c r="D12">
        <v>59.4</v>
      </c>
      <c r="E12" s="149">
        <f t="shared" si="0"/>
        <v>39.662176507611733</v>
      </c>
      <c r="F12">
        <v>26.3</v>
      </c>
      <c r="G12" s="148">
        <v>44727</v>
      </c>
      <c r="L12" s="184"/>
      <c r="M12">
        <v>8.56</v>
      </c>
      <c r="N12">
        <v>26</v>
      </c>
      <c r="O12" s="148">
        <f t="shared" si="1"/>
        <v>44727</v>
      </c>
      <c r="S12" s="184"/>
      <c r="T12" t="s">
        <v>54</v>
      </c>
      <c r="U12" s="204"/>
      <c r="V12" s="53" t="s">
        <v>332</v>
      </c>
      <c r="W12" s="182">
        <v>49.4</v>
      </c>
      <c r="X12" s="186" t="s">
        <v>3124</v>
      </c>
      <c r="Y12" s="182">
        <v>25.7</v>
      </c>
      <c r="Z12" s="182"/>
      <c r="AA12" s="188">
        <f>(50-W12)/50</f>
        <v>1.2000000000000028E-2</v>
      </c>
      <c r="AB12" s="182"/>
      <c r="AC12" s="182"/>
      <c r="AD12" s="182"/>
    </row>
    <row r="13" spans="1:30" ht="15.5">
      <c r="A13" s="53">
        <v>2022</v>
      </c>
      <c r="B13" s="53">
        <v>1000</v>
      </c>
      <c r="C13" s="53">
        <v>11</v>
      </c>
      <c r="D13" s="53">
        <v>59.6</v>
      </c>
      <c r="E13" s="149">
        <f t="shared" si="0"/>
        <v>39.807465687206999</v>
      </c>
      <c r="F13" s="53">
        <v>26.1</v>
      </c>
      <c r="G13" s="148">
        <v>44727</v>
      </c>
      <c r="L13" s="184"/>
      <c r="M13">
        <v>8.58</v>
      </c>
      <c r="N13">
        <v>25.9</v>
      </c>
      <c r="O13" s="148">
        <f t="shared" si="1"/>
        <v>44727</v>
      </c>
      <c r="S13" s="184"/>
      <c r="T13" t="s">
        <v>54</v>
      </c>
      <c r="U13" s="204"/>
      <c r="V13" s="53" t="s">
        <v>3137</v>
      </c>
      <c r="W13" s="182">
        <v>52.4</v>
      </c>
      <c r="X13" s="186" t="s">
        <v>3124</v>
      </c>
      <c r="Y13" s="182">
        <v>25.8</v>
      </c>
      <c r="Z13" s="182"/>
      <c r="AA13" s="188">
        <f>(53-W13)/53</f>
        <v>1.1320754716981159E-2</v>
      </c>
      <c r="AB13" s="182"/>
      <c r="AC13" s="182"/>
      <c r="AD13" s="182"/>
    </row>
    <row r="14" spans="1:30" ht="15.5">
      <c r="A14" s="53">
        <v>2022</v>
      </c>
      <c r="B14" s="53">
        <v>1000</v>
      </c>
      <c r="C14" s="182">
        <v>12</v>
      </c>
      <c r="D14">
        <v>59.3</v>
      </c>
      <c r="E14" s="149">
        <f t="shared" si="0"/>
        <v>39.589548013765331</v>
      </c>
      <c r="F14">
        <v>26.1</v>
      </c>
      <c r="G14" s="148">
        <v>44727</v>
      </c>
      <c r="H14">
        <v>58.9</v>
      </c>
      <c r="I14">
        <f t="shared" ref="I14:I56" si="2">POWER(H14,1.0878)*0.4665</f>
        <v>39.299141730671622</v>
      </c>
      <c r="J14">
        <v>25.8</v>
      </c>
      <c r="K14">
        <f>D14-H14</f>
        <v>0.39999999999999858</v>
      </c>
      <c r="L14" s="184">
        <f>(K14/AVERAGE(H14,D14))*100</f>
        <v>0.67681895093062372</v>
      </c>
      <c r="M14">
        <v>8.6199999999999992</v>
      </c>
      <c r="N14">
        <v>25.9</v>
      </c>
      <c r="O14" s="148">
        <f t="shared" si="1"/>
        <v>44727</v>
      </c>
      <c r="P14">
        <v>8.61</v>
      </c>
      <c r="Q14">
        <v>25.6</v>
      </c>
      <c r="R14">
        <f>M14-P14</f>
        <v>9.9999999999997868E-3</v>
      </c>
      <c r="S14" s="184">
        <f>(R14/AVERAGE(P14,M14))*100</f>
        <v>0.11607661056296911</v>
      </c>
      <c r="T14" t="s">
        <v>54</v>
      </c>
      <c r="U14" s="204"/>
      <c r="V14" s="182" t="s">
        <v>3138</v>
      </c>
      <c r="W14" s="190">
        <v>12.86</v>
      </c>
      <c r="X14" s="186" t="s">
        <v>3124</v>
      </c>
      <c r="Y14" s="190">
        <v>25.7</v>
      </c>
      <c r="Z14" s="190"/>
      <c r="AA14" s="188">
        <f>(12.8-W14)/12.8</f>
        <v>-4.6874999999999001E-3</v>
      </c>
      <c r="AB14" s="182"/>
      <c r="AC14" s="182"/>
      <c r="AD14" s="182"/>
    </row>
    <row r="15" spans="1:30" ht="15.5">
      <c r="A15" s="53">
        <v>2022</v>
      </c>
      <c r="B15" s="53">
        <v>1000</v>
      </c>
      <c r="C15" s="182">
        <v>13</v>
      </c>
      <c r="D15">
        <v>60</v>
      </c>
      <c r="E15" s="149">
        <f t="shared" si="0"/>
        <v>40.098172354946087</v>
      </c>
      <c r="F15">
        <v>26.3</v>
      </c>
      <c r="G15" s="148">
        <v>44727</v>
      </c>
      <c r="M15">
        <v>8.65</v>
      </c>
      <c r="N15">
        <v>26.1</v>
      </c>
      <c r="O15" s="148">
        <f t="shared" si="1"/>
        <v>44727</v>
      </c>
      <c r="T15" t="s">
        <v>54</v>
      </c>
      <c r="U15" s="204"/>
      <c r="V15" s="182"/>
      <c r="W15" s="182"/>
      <c r="X15" s="186"/>
      <c r="Y15" s="182"/>
      <c r="Z15" s="182"/>
      <c r="AA15" s="188"/>
      <c r="AB15" s="182"/>
      <c r="AC15" s="182"/>
      <c r="AD15" s="182"/>
    </row>
    <row r="16" spans="1:30" ht="15.5">
      <c r="A16" s="53">
        <v>2022</v>
      </c>
      <c r="B16" s="53">
        <v>1000</v>
      </c>
      <c r="C16" s="182">
        <v>14</v>
      </c>
      <c r="D16">
        <v>59.5</v>
      </c>
      <c r="E16" s="149">
        <f t="shared" si="0"/>
        <v>39.734815737579275</v>
      </c>
      <c r="F16">
        <v>26.1</v>
      </c>
      <c r="G16" s="148">
        <v>44727</v>
      </c>
      <c r="M16">
        <v>8.6300000000000008</v>
      </c>
      <c r="N16">
        <v>25.9</v>
      </c>
      <c r="O16" s="148">
        <f t="shared" si="1"/>
        <v>44727</v>
      </c>
      <c r="T16" t="s">
        <v>54</v>
      </c>
      <c r="U16" s="204"/>
      <c r="V16" s="182"/>
      <c r="W16" s="182"/>
      <c r="X16" s="182"/>
      <c r="Y16" s="182"/>
      <c r="Z16" s="182"/>
      <c r="AA16" s="182"/>
      <c r="AB16" s="182"/>
      <c r="AC16" s="182"/>
      <c r="AD16" s="182"/>
    </row>
    <row r="17" spans="1:31" ht="15.5">
      <c r="A17" s="53">
        <v>2022</v>
      </c>
      <c r="B17" s="53">
        <v>1000</v>
      </c>
      <c r="C17" s="182">
        <v>15</v>
      </c>
      <c r="D17">
        <v>59.9</v>
      </c>
      <c r="E17" s="149">
        <f t="shared" si="0"/>
        <v>40.025479690233652</v>
      </c>
      <c r="F17">
        <v>26.3</v>
      </c>
      <c r="G17" s="148">
        <v>44727</v>
      </c>
      <c r="M17">
        <v>8.67</v>
      </c>
      <c r="N17">
        <v>25.9</v>
      </c>
      <c r="O17" s="148">
        <f t="shared" si="1"/>
        <v>44727</v>
      </c>
      <c r="T17" t="s">
        <v>54</v>
      </c>
      <c r="U17" s="204"/>
      <c r="V17" s="53" t="s">
        <v>3118</v>
      </c>
      <c r="W17" s="182"/>
      <c r="X17" s="182"/>
      <c r="Y17" s="182"/>
      <c r="Z17" s="182"/>
      <c r="AA17" s="182"/>
      <c r="AB17" s="182"/>
      <c r="AC17" s="182"/>
      <c r="AD17" s="182"/>
    </row>
    <row r="18" spans="1:31" ht="15.5">
      <c r="A18" s="53">
        <v>2022</v>
      </c>
      <c r="B18" s="53">
        <v>1000</v>
      </c>
      <c r="C18" s="53">
        <v>16</v>
      </c>
      <c r="D18" s="53">
        <v>59.4</v>
      </c>
      <c r="E18" s="149">
        <f t="shared" si="0"/>
        <v>39.662176507611733</v>
      </c>
      <c r="F18">
        <v>26.4</v>
      </c>
      <c r="G18" s="148">
        <v>44727</v>
      </c>
      <c r="M18">
        <v>8.65</v>
      </c>
      <c r="N18">
        <v>26</v>
      </c>
      <c r="O18" s="148">
        <f t="shared" si="1"/>
        <v>44727</v>
      </c>
      <c r="T18" t="s">
        <v>54</v>
      </c>
      <c r="V18" s="149" t="s">
        <v>3140</v>
      </c>
      <c r="W18" s="52"/>
      <c r="X18" s="182"/>
      <c r="Y18" s="182"/>
      <c r="Z18" s="182"/>
      <c r="AA18" s="182"/>
      <c r="AB18" s="182"/>
      <c r="AC18" s="182"/>
      <c r="AD18" s="182"/>
    </row>
    <row r="19" spans="1:31" ht="15.5">
      <c r="A19" s="53">
        <v>2022</v>
      </c>
      <c r="B19" s="53">
        <v>1000</v>
      </c>
      <c r="C19" s="182">
        <v>17</v>
      </c>
      <c r="D19">
        <v>59.2</v>
      </c>
      <c r="E19" s="149">
        <f t="shared" si="0"/>
        <v>39.516930272554035</v>
      </c>
      <c r="F19">
        <v>26.4</v>
      </c>
      <c r="G19" s="148">
        <v>44727</v>
      </c>
      <c r="M19">
        <v>8.65</v>
      </c>
      <c r="N19">
        <v>25.9</v>
      </c>
      <c r="O19" s="148">
        <f t="shared" si="1"/>
        <v>44727</v>
      </c>
      <c r="T19" t="s">
        <v>54</v>
      </c>
      <c r="V19" s="53" t="s">
        <v>3141</v>
      </c>
      <c r="W19" s="53" t="s">
        <v>3134</v>
      </c>
      <c r="X19" s="182"/>
      <c r="Y19" s="53" t="s">
        <v>3135</v>
      </c>
      <c r="Z19" s="182"/>
      <c r="AA19" s="182" t="s">
        <v>3136</v>
      </c>
      <c r="AB19" s="182" t="s">
        <v>48</v>
      </c>
      <c r="AC19" s="182"/>
      <c r="AD19" s="182"/>
    </row>
    <row r="20" spans="1:31" ht="15.5">
      <c r="A20" s="53">
        <v>2022</v>
      </c>
      <c r="B20" s="53">
        <v>1000</v>
      </c>
      <c r="C20" s="182">
        <v>18</v>
      </c>
      <c r="D20">
        <v>58</v>
      </c>
      <c r="E20" s="149">
        <f t="shared" si="0"/>
        <v>38.646362168235825</v>
      </c>
      <c r="F20">
        <v>26.5</v>
      </c>
      <c r="G20" s="148">
        <v>44727</v>
      </c>
      <c r="M20">
        <v>8.66</v>
      </c>
      <c r="N20">
        <v>25.7</v>
      </c>
      <c r="O20" s="148">
        <f t="shared" si="1"/>
        <v>44727</v>
      </c>
      <c r="T20" t="s">
        <v>54</v>
      </c>
      <c r="V20" s="53" t="s">
        <v>3142</v>
      </c>
      <c r="AA20" s="191"/>
    </row>
    <row r="21" spans="1:31" ht="15.5">
      <c r="A21" s="53">
        <v>2022</v>
      </c>
      <c r="B21" s="53">
        <v>1000</v>
      </c>
      <c r="C21" s="182">
        <v>19</v>
      </c>
      <c r="D21">
        <v>59.1</v>
      </c>
      <c r="E21" s="149">
        <f t="shared" si="0"/>
        <v>39.444323300545072</v>
      </c>
      <c r="F21">
        <v>26.5</v>
      </c>
      <c r="G21" s="148">
        <v>44727</v>
      </c>
      <c r="M21">
        <v>8.67</v>
      </c>
      <c r="N21">
        <v>25.8</v>
      </c>
      <c r="O21" s="148">
        <f t="shared" si="1"/>
        <v>44727</v>
      </c>
      <c r="T21" t="s">
        <v>54</v>
      </c>
      <c r="V21" s="53">
        <v>7.01</v>
      </c>
      <c r="W21">
        <v>7.03</v>
      </c>
      <c r="Y21">
        <v>24.6</v>
      </c>
      <c r="AA21" s="191">
        <f>(W21-V21)/V21</f>
        <v>2.8530670470756723E-3</v>
      </c>
      <c r="AB21" s="191">
        <f>_xlfn.STDEV.P(AA21:AA29)</f>
        <v>3.8289467107930548E-3</v>
      </c>
      <c r="AC21" s="191">
        <f>AB21/SQRT(2)</f>
        <v>2.7074741840036952E-3</v>
      </c>
      <c r="AD21" s="187">
        <f>AC21</f>
        <v>2.7074741840036952E-3</v>
      </c>
    </row>
    <row r="22" spans="1:31" ht="15.5">
      <c r="A22" s="53">
        <v>2022</v>
      </c>
      <c r="B22" s="53">
        <v>1000</v>
      </c>
      <c r="C22" s="182">
        <v>20</v>
      </c>
      <c r="D22">
        <v>59.2</v>
      </c>
      <c r="E22" s="149">
        <f t="shared" si="0"/>
        <v>39.516930272554035</v>
      </c>
      <c r="F22">
        <v>26.5</v>
      </c>
      <c r="G22" s="148">
        <v>44727</v>
      </c>
      <c r="M22">
        <v>8.66</v>
      </c>
      <c r="N22">
        <v>25.9</v>
      </c>
      <c r="O22" s="148">
        <f t="shared" si="1"/>
        <v>44727</v>
      </c>
      <c r="T22" t="s">
        <v>54</v>
      </c>
      <c r="V22" s="53">
        <v>10.01</v>
      </c>
      <c r="W22">
        <v>10</v>
      </c>
      <c r="Y22">
        <v>24.4</v>
      </c>
      <c r="AA22" s="191">
        <f>(W22-V22)/V22</f>
        <v>-9.9900099900097775E-4</v>
      </c>
    </row>
    <row r="23" spans="1:31" ht="15.5">
      <c r="A23" s="53">
        <v>2022</v>
      </c>
      <c r="B23" s="192">
        <v>1000</v>
      </c>
      <c r="C23" s="192">
        <v>21</v>
      </c>
      <c r="D23" s="192">
        <v>59.2</v>
      </c>
      <c r="E23" s="149">
        <f t="shared" si="0"/>
        <v>39.516930272554035</v>
      </c>
      <c r="F23" s="192">
        <v>26.4</v>
      </c>
      <c r="G23" s="148">
        <v>44727</v>
      </c>
      <c r="H23" s="193"/>
      <c r="J23" s="193"/>
      <c r="K23" s="193"/>
      <c r="L23" s="193"/>
      <c r="M23" s="193">
        <v>8.65</v>
      </c>
      <c r="N23" s="193">
        <v>26</v>
      </c>
      <c r="O23" s="148">
        <f t="shared" si="1"/>
        <v>44727</v>
      </c>
      <c r="P23" s="193"/>
      <c r="Q23" s="193"/>
      <c r="R23" s="193"/>
      <c r="S23" s="193"/>
      <c r="T23" t="s">
        <v>54</v>
      </c>
      <c r="V23" s="53">
        <v>12.45</v>
      </c>
      <c r="W23">
        <v>12.5</v>
      </c>
      <c r="Y23">
        <v>23.3</v>
      </c>
      <c r="AA23" s="191">
        <f>(W23-V23)/V23</f>
        <v>4.0160642570281693E-3</v>
      </c>
    </row>
    <row r="24" spans="1:31" ht="16" thickBot="1">
      <c r="A24" s="53">
        <v>2022</v>
      </c>
      <c r="B24" s="53">
        <v>2000</v>
      </c>
      <c r="C24" s="53">
        <v>1</v>
      </c>
      <c r="D24" s="53">
        <v>59.2</v>
      </c>
      <c r="E24" s="149">
        <f t="shared" si="0"/>
        <v>39.516930272554035</v>
      </c>
      <c r="F24" s="53">
        <v>25.7</v>
      </c>
      <c r="G24" s="148">
        <v>44727</v>
      </c>
      <c r="M24">
        <v>8.5299999999999994</v>
      </c>
      <c r="N24">
        <v>25.6</v>
      </c>
      <c r="O24" s="148">
        <f t="shared" si="1"/>
        <v>44727</v>
      </c>
      <c r="T24" t="s">
        <v>54</v>
      </c>
      <c r="V24" s="194">
        <v>9.18</v>
      </c>
      <c r="W24" s="182">
        <v>9.16</v>
      </c>
      <c r="X24" s="186"/>
      <c r="Y24" s="182">
        <v>23.3</v>
      </c>
      <c r="Z24" s="182"/>
      <c r="AA24" s="191">
        <f>(W24-V24)/V24</f>
        <v>-2.1786492374727207E-3</v>
      </c>
    </row>
    <row r="25" spans="1:31" ht="16" thickBot="1">
      <c r="A25" s="53">
        <v>2022</v>
      </c>
      <c r="B25" s="53">
        <v>2000</v>
      </c>
      <c r="C25" s="182">
        <v>2</v>
      </c>
      <c r="D25">
        <v>58.7</v>
      </c>
      <c r="E25" s="149">
        <f t="shared" si="0"/>
        <v>39.154003437760188</v>
      </c>
      <c r="F25">
        <v>26.1</v>
      </c>
      <c r="G25" s="148">
        <v>44727</v>
      </c>
      <c r="M25">
        <v>8.5399999999999991</v>
      </c>
      <c r="N25">
        <v>26</v>
      </c>
      <c r="O25" s="148">
        <f t="shared" si="1"/>
        <v>44727</v>
      </c>
      <c r="T25" t="s">
        <v>54</v>
      </c>
      <c r="V25" s="53" t="s">
        <v>3143</v>
      </c>
      <c r="W25" s="53" t="s">
        <v>3134</v>
      </c>
      <c r="X25" s="182"/>
      <c r="Y25" s="53" t="s">
        <v>3135</v>
      </c>
      <c r="Z25" s="182"/>
      <c r="AA25" s="191"/>
      <c r="AB25" s="191"/>
      <c r="AD25" s="182"/>
      <c r="AE25" s="195"/>
    </row>
    <row r="26" spans="1:31" ht="15.5">
      <c r="A26" s="53">
        <v>2022</v>
      </c>
      <c r="B26" s="53">
        <v>2000</v>
      </c>
      <c r="C26" s="182">
        <v>3</v>
      </c>
      <c r="D26">
        <v>59.4</v>
      </c>
      <c r="E26" s="149">
        <f t="shared" si="0"/>
        <v>39.662176507611733</v>
      </c>
      <c r="F26">
        <v>26</v>
      </c>
      <c r="G26" s="148">
        <v>44727</v>
      </c>
      <c r="H26">
        <v>59.4</v>
      </c>
      <c r="I26">
        <f t="shared" si="2"/>
        <v>39.662176507611733</v>
      </c>
      <c r="J26">
        <v>25.7</v>
      </c>
      <c r="K26">
        <f>D26-H26</f>
        <v>0</v>
      </c>
      <c r="L26" s="184">
        <f>(K26/AVERAGE(H26,D26))*100</f>
        <v>0</v>
      </c>
      <c r="M26">
        <v>8.6</v>
      </c>
      <c r="N26">
        <v>25.6</v>
      </c>
      <c r="O26" s="148">
        <f t="shared" si="1"/>
        <v>44727</v>
      </c>
      <c r="P26">
        <v>8.6</v>
      </c>
      <c r="Q26">
        <v>25.4</v>
      </c>
      <c r="R26">
        <f>M26-P26</f>
        <v>0</v>
      </c>
      <c r="S26" s="184">
        <f>(R26/AVERAGE(P26,M26))*100</f>
        <v>0</v>
      </c>
      <c r="T26" t="s">
        <v>54</v>
      </c>
      <c r="V26" s="53">
        <v>7.01</v>
      </c>
      <c r="W26" s="182">
        <v>7.08</v>
      </c>
      <c r="X26" s="186"/>
      <c r="Y26" s="182">
        <v>25.7</v>
      </c>
      <c r="Z26" s="182"/>
      <c r="AA26" s="191">
        <f>(W26-V26)/V26</f>
        <v>9.985734664764663E-3</v>
      </c>
      <c r="AB26" s="191"/>
      <c r="AC26" s="191"/>
      <c r="AD26" s="182"/>
    </row>
    <row r="27" spans="1:31" ht="15.5">
      <c r="A27" s="53">
        <v>2022</v>
      </c>
      <c r="B27" s="53">
        <v>2000</v>
      </c>
      <c r="C27" s="182">
        <v>4</v>
      </c>
      <c r="D27">
        <v>59.5</v>
      </c>
      <c r="E27" s="149">
        <f t="shared" si="0"/>
        <v>39.734815737579275</v>
      </c>
      <c r="F27">
        <v>26.1</v>
      </c>
      <c r="G27" s="148">
        <v>44727</v>
      </c>
      <c r="M27">
        <v>8.59</v>
      </c>
      <c r="N27">
        <v>25.4</v>
      </c>
      <c r="O27" s="148">
        <f t="shared" si="1"/>
        <v>44727</v>
      </c>
      <c r="T27" t="s">
        <v>54</v>
      </c>
      <c r="V27" s="53">
        <v>10.01</v>
      </c>
      <c r="W27" s="182">
        <v>10.07</v>
      </c>
      <c r="X27" s="186"/>
      <c r="Y27" s="182">
        <v>25.3</v>
      </c>
      <c r="Z27" s="182"/>
      <c r="AA27" s="191">
        <f>(W27-V27)/V27</f>
        <v>5.9940059940060434E-3</v>
      </c>
      <c r="AB27" s="191"/>
      <c r="AC27" s="191"/>
      <c r="AD27" s="182"/>
    </row>
    <row r="28" spans="1:31" ht="15.5">
      <c r="A28" s="53">
        <v>2022</v>
      </c>
      <c r="B28" s="53">
        <v>2000</v>
      </c>
      <c r="C28" s="182">
        <v>5</v>
      </c>
      <c r="D28">
        <v>58.2</v>
      </c>
      <c r="E28" s="149">
        <f t="shared" si="0"/>
        <v>38.791347926916671</v>
      </c>
      <c r="F28">
        <v>26.1</v>
      </c>
      <c r="G28" s="148">
        <v>44727</v>
      </c>
      <c r="M28">
        <v>8.59</v>
      </c>
      <c r="N28">
        <v>25.6</v>
      </c>
      <c r="O28" s="148">
        <f t="shared" si="1"/>
        <v>44727</v>
      </c>
      <c r="T28" t="s">
        <v>54</v>
      </c>
      <c r="V28" s="53">
        <v>12.45</v>
      </c>
      <c r="W28" s="182">
        <v>12.45</v>
      </c>
      <c r="X28" s="186"/>
      <c r="Y28" s="182">
        <v>24.8</v>
      </c>
      <c r="Z28" s="190"/>
      <c r="AA28" s="191">
        <f>(W28-V28)/V28</f>
        <v>0</v>
      </c>
      <c r="AB28" s="196"/>
      <c r="AC28" s="196"/>
      <c r="AD28" s="190"/>
    </row>
    <row r="29" spans="1:31" ht="16" thickBot="1">
      <c r="A29" s="53">
        <v>2022</v>
      </c>
      <c r="B29" s="53">
        <v>2000</v>
      </c>
      <c r="C29" s="53">
        <v>6</v>
      </c>
      <c r="D29" s="53">
        <v>58.9</v>
      </c>
      <c r="E29" s="149">
        <f t="shared" si="0"/>
        <v>39.299141730671622</v>
      </c>
      <c r="F29" s="53">
        <v>26.1</v>
      </c>
      <c r="G29" s="148">
        <v>44727</v>
      </c>
      <c r="M29">
        <v>8.6</v>
      </c>
      <c r="N29">
        <v>25.9</v>
      </c>
      <c r="O29" s="148">
        <f t="shared" si="1"/>
        <v>44727</v>
      </c>
      <c r="T29" t="s">
        <v>54</v>
      </c>
      <c r="V29" s="194">
        <v>9.18</v>
      </c>
      <c r="W29" s="197">
        <v>9.18</v>
      </c>
      <c r="X29" s="198"/>
      <c r="Y29" s="197">
        <v>24.9</v>
      </c>
      <c r="Z29" s="197"/>
      <c r="AA29" s="191">
        <f>(W29-V29)/V29</f>
        <v>0</v>
      </c>
      <c r="AB29" s="199"/>
      <c r="AC29" s="199"/>
      <c r="AD29" s="197"/>
    </row>
    <row r="30" spans="1:31" ht="15.5">
      <c r="A30" s="53">
        <v>2022</v>
      </c>
      <c r="B30" s="53">
        <v>2000</v>
      </c>
      <c r="C30" s="182">
        <v>7</v>
      </c>
      <c r="D30">
        <v>59.6</v>
      </c>
      <c r="E30" s="149">
        <f t="shared" si="0"/>
        <v>39.807465687206999</v>
      </c>
      <c r="F30" s="53">
        <v>26</v>
      </c>
      <c r="G30" s="148">
        <v>44727</v>
      </c>
      <c r="M30">
        <v>8.6199999999999992</v>
      </c>
      <c r="N30">
        <v>25.7</v>
      </c>
      <c r="O30" s="148">
        <f t="shared" si="1"/>
        <v>44727</v>
      </c>
      <c r="T30" t="s">
        <v>54</v>
      </c>
    </row>
    <row r="31" spans="1:31" ht="15.5">
      <c r="A31" s="53">
        <v>2022</v>
      </c>
      <c r="B31" s="53">
        <v>2000</v>
      </c>
      <c r="C31" s="182">
        <v>8</v>
      </c>
      <c r="D31">
        <v>59.6</v>
      </c>
      <c r="E31" s="149">
        <f t="shared" si="0"/>
        <v>39.807465687206999</v>
      </c>
      <c r="F31" s="53">
        <v>25.7</v>
      </c>
      <c r="G31" s="148">
        <v>44727</v>
      </c>
      <c r="M31">
        <v>8.6</v>
      </c>
      <c r="N31">
        <v>25.8</v>
      </c>
      <c r="O31" s="148">
        <f t="shared" si="1"/>
        <v>44727</v>
      </c>
      <c r="T31" t="s">
        <v>54</v>
      </c>
      <c r="V31" s="53"/>
      <c r="W31" s="182"/>
      <c r="X31" s="183"/>
      <c r="Y31" s="182"/>
      <c r="Z31" s="182"/>
      <c r="AA31" s="53"/>
      <c r="AB31" s="53"/>
      <c r="AC31" s="53"/>
      <c r="AD31" s="53"/>
    </row>
    <row r="32" spans="1:31" ht="15.5">
      <c r="A32" s="53">
        <v>2022</v>
      </c>
      <c r="B32" s="53">
        <v>2000</v>
      </c>
      <c r="C32" s="182">
        <v>9</v>
      </c>
      <c r="D32">
        <v>59.2</v>
      </c>
      <c r="E32" s="149">
        <f t="shared" si="0"/>
        <v>39.516930272554035</v>
      </c>
      <c r="F32" s="53">
        <v>26.1</v>
      </c>
      <c r="G32" s="148">
        <v>44727</v>
      </c>
      <c r="M32">
        <v>8.61</v>
      </c>
      <c r="N32">
        <v>25.9</v>
      </c>
      <c r="O32" s="148">
        <f t="shared" si="1"/>
        <v>44727</v>
      </c>
      <c r="T32" t="s">
        <v>54</v>
      </c>
      <c r="V32" s="149"/>
      <c r="W32" s="182"/>
      <c r="X32" s="182"/>
      <c r="Y32" s="182"/>
      <c r="Z32" s="182"/>
      <c r="AA32" s="182"/>
      <c r="AB32" s="182"/>
      <c r="AC32" s="182"/>
      <c r="AD32" s="182"/>
    </row>
    <row r="33" spans="1:30" ht="15.5">
      <c r="A33" s="53">
        <v>2022</v>
      </c>
      <c r="B33" s="53">
        <v>2000</v>
      </c>
      <c r="C33" s="182">
        <v>10</v>
      </c>
      <c r="D33">
        <v>59.4</v>
      </c>
      <c r="E33" s="149">
        <f t="shared" si="0"/>
        <v>39.662176507611733</v>
      </c>
      <c r="F33" s="53">
        <v>26</v>
      </c>
      <c r="G33" s="148">
        <v>44727</v>
      </c>
      <c r="M33">
        <v>8.52</v>
      </c>
      <c r="N33">
        <v>25.9</v>
      </c>
      <c r="O33" s="148">
        <f t="shared" si="1"/>
        <v>44727</v>
      </c>
      <c r="T33" t="s">
        <v>54</v>
      </c>
      <c r="V33" s="53"/>
      <c r="W33" s="53"/>
      <c r="X33" s="182"/>
      <c r="Y33" s="53"/>
      <c r="Z33" s="182"/>
      <c r="AA33" s="182"/>
      <c r="AB33" s="182"/>
      <c r="AC33" s="182"/>
      <c r="AD33" s="182"/>
    </row>
    <row r="34" spans="1:30" ht="15.5">
      <c r="A34" s="53">
        <v>2022</v>
      </c>
      <c r="B34" s="53">
        <v>2000</v>
      </c>
      <c r="C34" s="53">
        <v>11</v>
      </c>
      <c r="D34" s="53">
        <v>59.7</v>
      </c>
      <c r="E34" s="149">
        <f t="shared" si="0"/>
        <v>39.880126340086932</v>
      </c>
      <c r="F34" s="53">
        <v>26</v>
      </c>
      <c r="G34" s="148">
        <v>44727</v>
      </c>
      <c r="M34">
        <v>8.59</v>
      </c>
      <c r="N34">
        <v>25.7</v>
      </c>
      <c r="O34" s="148">
        <f t="shared" si="1"/>
        <v>44727</v>
      </c>
      <c r="T34" t="s">
        <v>54</v>
      </c>
      <c r="V34" s="53"/>
      <c r="W34" s="185"/>
      <c r="X34" s="186"/>
      <c r="Y34" s="182"/>
      <c r="Z34" s="182"/>
      <c r="AA34" s="185"/>
      <c r="AB34" s="182"/>
      <c r="AC34" s="182"/>
      <c r="AD34" s="187"/>
    </row>
    <row r="35" spans="1:30" ht="15.5">
      <c r="A35" s="53">
        <v>2022</v>
      </c>
      <c r="B35" s="53">
        <v>2000</v>
      </c>
      <c r="C35" s="182">
        <v>12</v>
      </c>
      <c r="D35">
        <v>59.6</v>
      </c>
      <c r="E35" s="149">
        <f t="shared" si="0"/>
        <v>39.807465687206999</v>
      </c>
      <c r="F35" s="53">
        <v>26</v>
      </c>
      <c r="G35" s="148">
        <v>44727</v>
      </c>
      <c r="M35">
        <v>8.56</v>
      </c>
      <c r="N35">
        <v>25.8</v>
      </c>
      <c r="O35" s="148">
        <f t="shared" si="1"/>
        <v>44727</v>
      </c>
      <c r="T35" t="s">
        <v>54</v>
      </c>
      <c r="V35" s="53"/>
      <c r="W35" s="182"/>
      <c r="X35" s="186"/>
      <c r="Y35" s="53"/>
      <c r="Z35" s="182"/>
      <c r="AA35" s="182"/>
      <c r="AB35" s="182"/>
      <c r="AC35" s="182"/>
      <c r="AD35" s="182"/>
    </row>
    <row r="36" spans="1:30" ht="15.5">
      <c r="A36" s="53">
        <v>2022</v>
      </c>
      <c r="B36" s="53">
        <v>2000</v>
      </c>
      <c r="C36" s="182">
        <v>13</v>
      </c>
      <c r="D36">
        <v>58.8</v>
      </c>
      <c r="E36" s="149">
        <f t="shared" si="0"/>
        <v>39.226567166210792</v>
      </c>
      <c r="F36" s="53">
        <v>26</v>
      </c>
      <c r="G36" s="148">
        <v>44727</v>
      </c>
      <c r="H36">
        <v>58.8</v>
      </c>
      <c r="I36">
        <f t="shared" si="2"/>
        <v>39.226567166210792</v>
      </c>
      <c r="J36">
        <v>25.8</v>
      </c>
      <c r="K36" s="110">
        <f>D36-H36</f>
        <v>0</v>
      </c>
      <c r="L36" s="184">
        <f>(K36/AVERAGE(H36,D36))*100</f>
        <v>0</v>
      </c>
      <c r="M36">
        <v>8.59</v>
      </c>
      <c r="N36">
        <v>25.6</v>
      </c>
      <c r="O36" s="148">
        <f t="shared" si="1"/>
        <v>44727</v>
      </c>
      <c r="P36">
        <v>8.6</v>
      </c>
      <c r="Q36">
        <v>25.1</v>
      </c>
      <c r="R36">
        <f>M36-P36</f>
        <v>-9.9999999999997868E-3</v>
      </c>
      <c r="S36" s="184">
        <f>(R36/AVERAGE(P36,M36))*100</f>
        <v>-0.11634671320534949</v>
      </c>
      <c r="T36" t="s">
        <v>54</v>
      </c>
      <c r="V36" s="53"/>
      <c r="W36" s="182"/>
      <c r="X36" s="186"/>
      <c r="Y36" s="182"/>
      <c r="Z36" s="182"/>
      <c r="AA36" s="188"/>
      <c r="AB36" s="182"/>
      <c r="AC36" s="182"/>
      <c r="AD36" s="182"/>
    </row>
    <row r="37" spans="1:30" ht="15.5">
      <c r="A37" s="53"/>
      <c r="B37" s="53">
        <v>2000</v>
      </c>
      <c r="C37" s="182">
        <v>14</v>
      </c>
      <c r="E37" s="149"/>
      <c r="F37" s="53"/>
      <c r="G37" s="148"/>
      <c r="K37" s="110"/>
      <c r="L37" s="184"/>
      <c r="O37" s="148"/>
      <c r="S37" s="184"/>
      <c r="V37" s="53"/>
      <c r="W37" s="182"/>
      <c r="X37" s="186"/>
      <c r="Y37" s="182"/>
      <c r="Z37" s="182"/>
      <c r="AA37" s="188"/>
      <c r="AB37" s="182"/>
      <c r="AC37" s="182"/>
      <c r="AD37" s="182"/>
    </row>
    <row r="38" spans="1:30" ht="15.5">
      <c r="A38" s="53">
        <v>2022</v>
      </c>
      <c r="B38" s="53">
        <v>2000</v>
      </c>
      <c r="C38" s="182">
        <v>15</v>
      </c>
      <c r="D38">
        <v>59.2</v>
      </c>
      <c r="E38" s="149">
        <f t="shared" si="0"/>
        <v>39.516930272554035</v>
      </c>
      <c r="F38" s="53">
        <v>25.9</v>
      </c>
      <c r="G38" s="148">
        <v>44727</v>
      </c>
      <c r="M38">
        <v>8.64</v>
      </c>
      <c r="N38">
        <v>25.5</v>
      </c>
      <c r="O38" s="148">
        <f t="shared" si="1"/>
        <v>44727</v>
      </c>
      <c r="T38" t="s">
        <v>54</v>
      </c>
      <c r="Z38" s="182"/>
      <c r="AA38" s="182"/>
      <c r="AB38" s="182"/>
      <c r="AC38" s="182"/>
      <c r="AD38" s="182"/>
    </row>
    <row r="39" spans="1:30" ht="15.5">
      <c r="A39" s="53">
        <v>2022</v>
      </c>
      <c r="B39" s="53">
        <v>2000</v>
      </c>
      <c r="C39" s="53">
        <v>16</v>
      </c>
      <c r="D39" s="53">
        <v>58.2</v>
      </c>
      <c r="E39" s="149">
        <f t="shared" si="0"/>
        <v>38.791347926916671</v>
      </c>
      <c r="F39" s="53">
        <v>25.8</v>
      </c>
      <c r="G39" s="148">
        <v>44727</v>
      </c>
      <c r="M39">
        <v>8.66</v>
      </c>
      <c r="N39">
        <v>25.4</v>
      </c>
      <c r="O39" s="148">
        <f t="shared" si="1"/>
        <v>44727</v>
      </c>
      <c r="T39" t="s">
        <v>54</v>
      </c>
      <c r="V39" s="53"/>
      <c r="W39" s="53"/>
      <c r="X39" s="182"/>
      <c r="Y39" s="53"/>
      <c r="Z39" s="182"/>
      <c r="AA39" s="189"/>
      <c r="AB39" s="182"/>
      <c r="AC39" s="182"/>
      <c r="AD39" s="182"/>
    </row>
    <row r="40" spans="1:30" ht="15.5">
      <c r="A40" s="53">
        <v>2022</v>
      </c>
      <c r="B40" s="53">
        <v>2000</v>
      </c>
      <c r="C40" s="182">
        <v>17</v>
      </c>
      <c r="D40">
        <v>60.2</v>
      </c>
      <c r="E40" s="149">
        <f t="shared" si="0"/>
        <v>40.24358958265212</v>
      </c>
      <c r="F40" s="53">
        <v>25.3</v>
      </c>
      <c r="G40" s="148">
        <v>44727</v>
      </c>
      <c r="M40">
        <v>8.64</v>
      </c>
      <c r="N40">
        <v>25.8</v>
      </c>
      <c r="O40" s="148">
        <f t="shared" si="1"/>
        <v>44727</v>
      </c>
      <c r="T40" t="s">
        <v>54</v>
      </c>
      <c r="V40" s="53"/>
      <c r="W40" s="2"/>
      <c r="X40" s="186"/>
      <c r="Y40" s="2"/>
      <c r="Z40" s="182"/>
      <c r="AA40" s="188"/>
      <c r="AB40" s="182"/>
      <c r="AC40" s="182"/>
      <c r="AD40" s="182"/>
    </row>
    <row r="41" spans="1:30" ht="15.5">
      <c r="A41" s="53">
        <v>2022</v>
      </c>
      <c r="B41" s="53">
        <v>2000</v>
      </c>
      <c r="C41" s="182">
        <v>18</v>
      </c>
      <c r="D41">
        <v>59.2</v>
      </c>
      <c r="E41" s="149">
        <f t="shared" si="0"/>
        <v>39.516930272554035</v>
      </c>
      <c r="F41" s="53">
        <v>25.5</v>
      </c>
      <c r="G41" s="148">
        <v>44727</v>
      </c>
      <c r="M41">
        <v>8.66</v>
      </c>
      <c r="N41">
        <v>25.6</v>
      </c>
      <c r="O41" s="148">
        <f t="shared" si="1"/>
        <v>44727</v>
      </c>
      <c r="T41" t="s">
        <v>54</v>
      </c>
      <c r="V41" s="53"/>
      <c r="W41" s="2"/>
      <c r="X41" s="186"/>
      <c r="Y41" s="2"/>
      <c r="Z41" s="182"/>
      <c r="AA41" s="188"/>
      <c r="AB41" s="182"/>
      <c r="AC41" s="182"/>
      <c r="AD41" s="182"/>
    </row>
    <row r="42" spans="1:30" ht="15.5">
      <c r="A42" s="53">
        <v>2022</v>
      </c>
      <c r="B42" s="53">
        <v>2000</v>
      </c>
      <c r="C42" s="182">
        <v>19</v>
      </c>
      <c r="D42">
        <v>60.2</v>
      </c>
      <c r="E42" s="149">
        <f t="shared" si="0"/>
        <v>40.24358958265212</v>
      </c>
      <c r="F42" s="53">
        <v>25.7</v>
      </c>
      <c r="G42" s="148">
        <v>44727</v>
      </c>
      <c r="M42">
        <v>8.65</v>
      </c>
      <c r="N42">
        <v>25.9</v>
      </c>
      <c r="O42" s="148">
        <f t="shared" si="1"/>
        <v>44727</v>
      </c>
      <c r="T42" t="s">
        <v>54</v>
      </c>
      <c r="V42" s="182"/>
      <c r="W42" s="200"/>
      <c r="X42" s="186"/>
      <c r="Y42" s="200"/>
      <c r="Z42" s="190"/>
      <c r="AA42" s="188"/>
      <c r="AB42" s="182"/>
      <c r="AC42" s="182"/>
      <c r="AD42" s="182"/>
    </row>
    <row r="43" spans="1:30" ht="15.5">
      <c r="A43" s="53">
        <v>2022</v>
      </c>
      <c r="B43" s="53">
        <v>2000</v>
      </c>
      <c r="C43" s="182">
        <v>20</v>
      </c>
      <c r="D43">
        <v>59.5</v>
      </c>
      <c r="E43" s="149">
        <f t="shared" si="0"/>
        <v>39.734815737579275</v>
      </c>
      <c r="F43" s="53">
        <v>26.1</v>
      </c>
      <c r="G43" s="148">
        <v>44727</v>
      </c>
      <c r="M43">
        <v>8.61</v>
      </c>
      <c r="N43" s="193">
        <v>26.1</v>
      </c>
      <c r="O43" s="148">
        <f t="shared" si="1"/>
        <v>44727</v>
      </c>
      <c r="T43" t="s">
        <v>54</v>
      </c>
      <c r="V43" s="182"/>
      <c r="W43" s="182"/>
      <c r="X43" s="186"/>
      <c r="Y43" s="182"/>
      <c r="Z43" s="182"/>
      <c r="AA43" s="188"/>
      <c r="AB43" s="182"/>
      <c r="AC43" s="182"/>
      <c r="AD43" s="182"/>
    </row>
    <row r="44" spans="1:30" s="193" customFormat="1" ht="15.5">
      <c r="A44" s="53">
        <v>2022</v>
      </c>
      <c r="B44" s="192">
        <v>2000</v>
      </c>
      <c r="C44" s="192">
        <v>21</v>
      </c>
      <c r="D44" s="193">
        <v>59.8</v>
      </c>
      <c r="E44" s="149">
        <f t="shared" si="0"/>
        <v>39.952797679863593</v>
      </c>
      <c r="F44" s="193">
        <v>26</v>
      </c>
      <c r="G44" s="148">
        <v>44727</v>
      </c>
      <c r="I44"/>
      <c r="M44" s="193">
        <v>8.66</v>
      </c>
      <c r="N44" s="193">
        <v>25.7</v>
      </c>
      <c r="O44" s="148">
        <f t="shared" si="1"/>
        <v>44727</v>
      </c>
      <c r="T44" t="s">
        <v>54</v>
      </c>
      <c r="V44" s="182"/>
      <c r="W44" s="182"/>
      <c r="X44" s="182"/>
      <c r="Y44" s="182"/>
      <c r="Z44" s="182"/>
      <c r="AA44" s="182"/>
      <c r="AB44" s="182"/>
      <c r="AC44" s="182"/>
      <c r="AD44" s="182"/>
    </row>
    <row r="45" spans="1:30" ht="15.5">
      <c r="A45" s="53">
        <v>2022</v>
      </c>
      <c r="B45" s="53">
        <v>3800</v>
      </c>
      <c r="C45" s="53">
        <v>1</v>
      </c>
      <c r="D45" s="53">
        <v>58.2</v>
      </c>
      <c r="E45" s="149">
        <f t="shared" si="0"/>
        <v>38.791347926916671</v>
      </c>
      <c r="F45" s="53">
        <v>26.4</v>
      </c>
      <c r="G45" s="148">
        <v>45093</v>
      </c>
      <c r="M45">
        <v>8.5399999999999991</v>
      </c>
      <c r="N45">
        <v>26.5</v>
      </c>
      <c r="O45" s="148">
        <f t="shared" si="1"/>
        <v>45093</v>
      </c>
      <c r="T45" t="s">
        <v>54</v>
      </c>
      <c r="V45" s="53" t="s">
        <v>3130</v>
      </c>
      <c r="W45" s="182"/>
      <c r="X45" s="183">
        <v>45093</v>
      </c>
      <c r="Y45" s="182"/>
      <c r="Z45" s="182"/>
      <c r="AA45" s="53"/>
      <c r="AB45" s="53"/>
      <c r="AC45" s="53"/>
      <c r="AD45" s="53"/>
    </row>
    <row r="46" spans="1:30" ht="15.5">
      <c r="A46" s="53">
        <v>2022</v>
      </c>
      <c r="B46" s="53">
        <v>3800</v>
      </c>
      <c r="C46" s="182">
        <v>2</v>
      </c>
      <c r="D46">
        <v>58.4</v>
      </c>
      <c r="E46" s="149">
        <f t="shared" si="0"/>
        <v>38.936377437123824</v>
      </c>
      <c r="F46" s="53">
        <v>26.7</v>
      </c>
      <c r="G46" s="148">
        <v>45093</v>
      </c>
      <c r="M46">
        <v>8.56</v>
      </c>
      <c r="N46">
        <v>26.6</v>
      </c>
      <c r="O46" s="148">
        <f t="shared" si="1"/>
        <v>45093</v>
      </c>
      <c r="T46" t="s">
        <v>54</v>
      </c>
      <c r="V46" s="149" t="s">
        <v>3131</v>
      </c>
      <c r="W46" s="52"/>
      <c r="X46" s="182"/>
      <c r="Y46" s="185" t="s">
        <v>3132</v>
      </c>
      <c r="Z46" s="182"/>
      <c r="AA46" s="182"/>
      <c r="AB46" s="182"/>
      <c r="AC46" s="182"/>
      <c r="AD46" s="182"/>
    </row>
    <row r="47" spans="1:30" ht="15.5">
      <c r="A47" s="53">
        <v>2022</v>
      </c>
      <c r="B47" s="53">
        <v>3800</v>
      </c>
      <c r="C47" s="182">
        <v>3</v>
      </c>
      <c r="D47">
        <v>58.7</v>
      </c>
      <c r="E47" s="149">
        <f t="shared" si="0"/>
        <v>39.154003437760188</v>
      </c>
      <c r="F47" s="53">
        <v>26.5</v>
      </c>
      <c r="G47" s="148">
        <v>45093</v>
      </c>
      <c r="H47">
        <v>58.5</v>
      </c>
      <c r="I47">
        <f t="shared" si="2"/>
        <v>39.008908556296177</v>
      </c>
      <c r="J47">
        <v>26.4</v>
      </c>
      <c r="K47" s="110">
        <f>D47-H47</f>
        <v>0.20000000000000284</v>
      </c>
      <c r="L47" s="184">
        <f>(K47/AVERAGE(H47,D47))*100</f>
        <v>0.34129692832764991</v>
      </c>
      <c r="M47">
        <v>8.58</v>
      </c>
      <c r="N47">
        <v>26.3</v>
      </c>
      <c r="O47" s="148">
        <f t="shared" si="1"/>
        <v>45093</v>
      </c>
      <c r="P47">
        <v>8.61</v>
      </c>
      <c r="Q47">
        <v>26.1</v>
      </c>
      <c r="R47">
        <f>M47-P47</f>
        <v>-2.9999999999999361E-2</v>
      </c>
      <c r="S47" s="184">
        <f>(R47/AVERAGE(P47,M47))*100</f>
        <v>-0.34904013961604846</v>
      </c>
      <c r="T47" t="s">
        <v>54</v>
      </c>
      <c r="V47" s="53" t="s">
        <v>3144</v>
      </c>
      <c r="W47" s="53" t="s">
        <v>3134</v>
      </c>
      <c r="X47" s="182"/>
      <c r="Y47" s="53" t="s">
        <v>3135</v>
      </c>
      <c r="Z47" s="182"/>
      <c r="AA47" s="182" t="s">
        <v>3136</v>
      </c>
      <c r="AB47" s="182" t="s">
        <v>48</v>
      </c>
      <c r="AC47" s="182"/>
      <c r="AD47" s="182"/>
    </row>
    <row r="48" spans="1:30" ht="15.5">
      <c r="A48" s="53">
        <v>2022</v>
      </c>
      <c r="B48" s="53">
        <v>3800</v>
      </c>
      <c r="C48" s="182">
        <v>4</v>
      </c>
      <c r="D48">
        <v>58.5</v>
      </c>
      <c r="E48" s="149">
        <f t="shared" si="0"/>
        <v>39.008908556296177</v>
      </c>
      <c r="F48" s="53">
        <v>26.6</v>
      </c>
      <c r="G48" s="148">
        <v>45093</v>
      </c>
      <c r="M48">
        <v>8.56</v>
      </c>
      <c r="N48">
        <v>26.6</v>
      </c>
      <c r="O48" s="148">
        <f t="shared" si="1"/>
        <v>45093</v>
      </c>
      <c r="T48" t="s">
        <v>54</v>
      </c>
      <c r="V48" s="53"/>
      <c r="W48" s="185"/>
      <c r="X48" s="186"/>
      <c r="Y48" s="182"/>
      <c r="Z48" s="182"/>
      <c r="AA48" s="185"/>
      <c r="AB48" s="182">
        <f>_xlfn.STDEV.P(AA49:AA51,AA54:AA57)</f>
        <v>1.0446336204958391E-2</v>
      </c>
      <c r="AC48" s="182">
        <f>AB48/SQRT(COUNT(AA49:AA51,AA54:AA56))</f>
        <v>4.2646988972850223E-3</v>
      </c>
      <c r="AD48" s="187">
        <f>AC48</f>
        <v>4.2646988972850223E-3</v>
      </c>
    </row>
    <row r="49" spans="1:30" ht="15.5">
      <c r="A49" s="53">
        <v>2022</v>
      </c>
      <c r="B49" s="53">
        <v>3800</v>
      </c>
      <c r="C49" s="182">
        <v>5</v>
      </c>
      <c r="D49">
        <v>57.8</v>
      </c>
      <c r="E49" s="149">
        <f t="shared" si="0"/>
        <v>38.501420298682284</v>
      </c>
      <c r="F49" s="53">
        <v>26.5</v>
      </c>
      <c r="G49" s="148">
        <v>45093</v>
      </c>
      <c r="M49">
        <v>8.56</v>
      </c>
      <c r="N49">
        <v>26.4</v>
      </c>
      <c r="O49" s="148">
        <f t="shared" si="1"/>
        <v>45093</v>
      </c>
      <c r="T49" t="s">
        <v>54</v>
      </c>
      <c r="V49" s="53" t="s">
        <v>332</v>
      </c>
      <c r="W49" s="182">
        <v>48</v>
      </c>
      <c r="X49" s="186" t="s">
        <v>3124</v>
      </c>
      <c r="Y49" s="53">
        <v>26.7</v>
      </c>
      <c r="Z49" s="182"/>
      <c r="AA49" s="182">
        <f>(50-W49)/50</f>
        <v>0.04</v>
      </c>
      <c r="AB49" s="182"/>
      <c r="AC49" s="182"/>
      <c r="AD49" s="182"/>
    </row>
    <row r="50" spans="1:30" ht="15.5">
      <c r="A50" s="53">
        <v>2022</v>
      </c>
      <c r="B50" s="53">
        <v>3800</v>
      </c>
      <c r="C50" s="53">
        <v>6</v>
      </c>
      <c r="D50" s="53">
        <v>58.5</v>
      </c>
      <c r="E50" s="149">
        <f t="shared" si="0"/>
        <v>39.008908556296177</v>
      </c>
      <c r="F50" s="53">
        <v>26.4</v>
      </c>
      <c r="G50" s="148">
        <v>45093</v>
      </c>
      <c r="M50">
        <v>8.61</v>
      </c>
      <c r="N50">
        <v>26.5</v>
      </c>
      <c r="O50" s="148">
        <f t="shared" si="1"/>
        <v>45093</v>
      </c>
      <c r="T50" t="s">
        <v>54</v>
      </c>
      <c r="V50" s="53" t="s">
        <v>3137</v>
      </c>
      <c r="W50" s="182">
        <v>51.9</v>
      </c>
      <c r="X50" s="186" t="s">
        <v>3124</v>
      </c>
      <c r="Y50" s="182">
        <v>26</v>
      </c>
      <c r="Z50" s="182"/>
      <c r="AA50" s="188">
        <f>(53-W50)/53</f>
        <v>2.0754716981132102E-2</v>
      </c>
      <c r="AB50" s="182"/>
      <c r="AC50" s="182"/>
      <c r="AD50" s="182"/>
    </row>
    <row r="51" spans="1:30" ht="15.5">
      <c r="A51" s="53">
        <v>2022</v>
      </c>
      <c r="B51" s="53">
        <v>3800</v>
      </c>
      <c r="C51" s="182">
        <v>7</v>
      </c>
      <c r="D51">
        <v>58.4</v>
      </c>
      <c r="E51" s="149">
        <f t="shared" si="0"/>
        <v>38.936377437123824</v>
      </c>
      <c r="F51" s="53">
        <v>26.6</v>
      </c>
      <c r="G51" s="148">
        <v>45093</v>
      </c>
      <c r="M51">
        <v>8.6300000000000008</v>
      </c>
      <c r="N51">
        <v>26.5</v>
      </c>
      <c r="O51" s="148">
        <f t="shared" si="1"/>
        <v>45093</v>
      </c>
      <c r="T51" t="s">
        <v>54</v>
      </c>
      <c r="V51" s="182" t="s">
        <v>3138</v>
      </c>
      <c r="W51" s="185">
        <v>12.4</v>
      </c>
      <c r="X51" s="186" t="s">
        <v>3124</v>
      </c>
      <c r="Y51" s="182">
        <v>25.8</v>
      </c>
      <c r="Z51" s="182"/>
      <c r="AA51" s="188">
        <f>(12.8-W51)/12.8</f>
        <v>3.1250000000000028E-2</v>
      </c>
      <c r="AB51" s="182"/>
      <c r="AC51" s="182"/>
      <c r="AD51" s="182"/>
    </row>
    <row r="52" spans="1:30" ht="15.5">
      <c r="A52" s="53">
        <v>2022</v>
      </c>
      <c r="B52" s="53">
        <v>3800</v>
      </c>
      <c r="C52" s="182">
        <v>8</v>
      </c>
      <c r="D52">
        <v>58.5</v>
      </c>
      <c r="E52" s="149">
        <f t="shared" si="0"/>
        <v>39.008908556296177</v>
      </c>
      <c r="F52" s="53">
        <v>26.6</v>
      </c>
      <c r="G52" s="148">
        <v>45093</v>
      </c>
      <c r="M52">
        <v>8.61</v>
      </c>
      <c r="N52">
        <v>26.5</v>
      </c>
      <c r="O52" s="148">
        <f t="shared" si="1"/>
        <v>45093</v>
      </c>
      <c r="T52" t="s">
        <v>54</v>
      </c>
      <c r="Y52" s="182"/>
      <c r="Z52" s="182"/>
      <c r="AA52" s="182"/>
      <c r="AB52" s="182"/>
      <c r="AC52" s="182"/>
      <c r="AD52" s="182"/>
    </row>
    <row r="53" spans="1:30" ht="15.5">
      <c r="A53" s="53">
        <v>2022</v>
      </c>
      <c r="B53" s="53">
        <v>3800</v>
      </c>
      <c r="C53" s="182">
        <v>9</v>
      </c>
      <c r="D53">
        <v>58.4</v>
      </c>
      <c r="E53" s="149">
        <f t="shared" si="0"/>
        <v>38.936377437123824</v>
      </c>
      <c r="F53" s="53">
        <v>26.4</v>
      </c>
      <c r="G53" s="148">
        <v>45093</v>
      </c>
      <c r="M53">
        <v>8.61</v>
      </c>
      <c r="N53">
        <v>26.3</v>
      </c>
      <c r="O53" s="148">
        <f t="shared" si="1"/>
        <v>45093</v>
      </c>
      <c r="T53" t="s">
        <v>54</v>
      </c>
      <c r="V53" s="53" t="s">
        <v>3139</v>
      </c>
      <c r="W53" s="53" t="s">
        <v>3134</v>
      </c>
      <c r="X53" s="182"/>
      <c r="Y53" s="53" t="s">
        <v>3135</v>
      </c>
      <c r="Z53" s="182"/>
      <c r="AA53" s="189"/>
      <c r="AB53" s="182"/>
      <c r="AC53" s="182"/>
      <c r="AD53" s="182"/>
    </row>
    <row r="54" spans="1:30" ht="15.5">
      <c r="A54" s="53">
        <v>2022</v>
      </c>
      <c r="B54" s="53">
        <v>3800</v>
      </c>
      <c r="C54" s="182">
        <v>10</v>
      </c>
      <c r="D54">
        <v>58.6</v>
      </c>
      <c r="E54" s="149">
        <f t="shared" si="0"/>
        <v>39.081450562157663</v>
      </c>
      <c r="F54" s="53">
        <v>26.2</v>
      </c>
      <c r="G54" s="148">
        <v>45093</v>
      </c>
      <c r="M54">
        <v>8.59</v>
      </c>
      <c r="N54">
        <v>26.4</v>
      </c>
      <c r="O54" s="148">
        <f t="shared" si="1"/>
        <v>45093</v>
      </c>
      <c r="T54" t="s">
        <v>54</v>
      </c>
      <c r="V54" s="53" t="s">
        <v>332</v>
      </c>
      <c r="W54" s="182">
        <v>48.1</v>
      </c>
      <c r="X54" s="186" t="s">
        <v>3124</v>
      </c>
      <c r="Y54" s="182">
        <v>26.1</v>
      </c>
      <c r="Z54" s="182"/>
      <c r="AA54" s="188">
        <f>(50-W54)/50</f>
        <v>3.7999999999999971E-2</v>
      </c>
      <c r="AB54" s="182"/>
      <c r="AC54" s="182"/>
      <c r="AD54" s="182"/>
    </row>
    <row r="55" spans="1:30" ht="15.5">
      <c r="A55" s="53">
        <v>2022</v>
      </c>
      <c r="B55" s="53">
        <v>3800</v>
      </c>
      <c r="C55" s="53">
        <v>11</v>
      </c>
      <c r="D55" s="53">
        <v>57.8</v>
      </c>
      <c r="E55" s="149">
        <f t="shared" si="0"/>
        <v>38.501420298682284</v>
      </c>
      <c r="F55" s="53">
        <v>26.6</v>
      </c>
      <c r="G55" s="148">
        <v>45093</v>
      </c>
      <c r="M55">
        <v>8.6199999999999992</v>
      </c>
      <c r="N55">
        <v>26.5</v>
      </c>
      <c r="O55" s="148">
        <f t="shared" si="1"/>
        <v>45093</v>
      </c>
      <c r="T55" t="s">
        <v>54</v>
      </c>
      <c r="V55" s="53" t="s">
        <v>3137</v>
      </c>
      <c r="W55" s="182">
        <v>51.2</v>
      </c>
      <c r="X55" s="186" t="s">
        <v>3124</v>
      </c>
      <c r="Y55" s="182">
        <v>26</v>
      </c>
      <c r="Z55" s="182"/>
      <c r="AA55" s="188">
        <f>(53-W55)/53</f>
        <v>3.396226415094334E-2</v>
      </c>
      <c r="AB55" s="182"/>
      <c r="AC55" s="182"/>
      <c r="AD55" s="182"/>
    </row>
    <row r="56" spans="1:30" ht="15.5">
      <c r="A56" s="53">
        <v>2022</v>
      </c>
      <c r="B56" s="53">
        <v>3800</v>
      </c>
      <c r="C56" s="182">
        <v>12</v>
      </c>
      <c r="D56">
        <v>58.4</v>
      </c>
      <c r="E56" s="149">
        <f t="shared" si="0"/>
        <v>38.936377437123824</v>
      </c>
      <c r="F56" s="53">
        <v>26.3</v>
      </c>
      <c r="G56" s="148">
        <v>45093</v>
      </c>
      <c r="H56">
        <v>58.2</v>
      </c>
      <c r="I56">
        <f t="shared" si="2"/>
        <v>38.791347926916671</v>
      </c>
      <c r="J56">
        <v>26.3</v>
      </c>
      <c r="K56" s="110">
        <f>D56-H56</f>
        <v>0.19999999999999574</v>
      </c>
      <c r="L56" s="184">
        <f>(K56/AVERAGE(H56,D56))*100</f>
        <v>0.3430531732418452</v>
      </c>
      <c r="M56">
        <v>8.59</v>
      </c>
      <c r="N56">
        <v>25.9</v>
      </c>
      <c r="O56" s="148">
        <f t="shared" si="1"/>
        <v>45093</v>
      </c>
      <c r="P56">
        <v>8.6</v>
      </c>
      <c r="Q56">
        <v>25.7</v>
      </c>
      <c r="R56">
        <f>M56-P56</f>
        <v>-9.9999999999997868E-3</v>
      </c>
      <c r="S56" s="184">
        <f>(R56/AVERAGE(P56,M56))*100</f>
        <v>-0.11634671320534949</v>
      </c>
      <c r="T56" t="s">
        <v>54</v>
      </c>
      <c r="V56" s="182" t="s">
        <v>3138</v>
      </c>
      <c r="W56" s="190">
        <v>12.67</v>
      </c>
      <c r="X56" s="186" t="s">
        <v>3124</v>
      </c>
      <c r="Y56" s="190">
        <v>26.2</v>
      </c>
      <c r="Z56" s="190"/>
      <c r="AA56" s="188">
        <f>(12.8-W56)/12.8</f>
        <v>1.0156250000000061E-2</v>
      </c>
      <c r="AB56" s="182"/>
      <c r="AC56" s="182"/>
      <c r="AD56" s="182"/>
    </row>
    <row r="57" spans="1:30" ht="15.5">
      <c r="A57" s="53">
        <v>2022</v>
      </c>
      <c r="B57" s="53">
        <v>3800</v>
      </c>
      <c r="C57" s="182">
        <v>13</v>
      </c>
      <c r="D57">
        <v>58.1</v>
      </c>
      <c r="E57" s="149">
        <f t="shared" si="0"/>
        <v>38.718849570056641</v>
      </c>
      <c r="F57" s="53">
        <v>26.4</v>
      </c>
      <c r="G57" s="148">
        <v>45093</v>
      </c>
      <c r="M57">
        <v>8.57</v>
      </c>
      <c r="N57">
        <v>26.5</v>
      </c>
      <c r="O57" s="148">
        <f t="shared" si="1"/>
        <v>45093</v>
      </c>
      <c r="T57" t="s">
        <v>54</v>
      </c>
      <c r="V57" s="182"/>
      <c r="W57" s="182"/>
      <c r="X57" s="186"/>
      <c r="Y57" s="182"/>
      <c r="Z57" s="182"/>
      <c r="AA57" s="188"/>
      <c r="AB57" s="182"/>
      <c r="AC57" s="182"/>
      <c r="AD57" s="182"/>
    </row>
    <row r="58" spans="1:30" ht="15.5">
      <c r="A58" s="53">
        <v>2022</v>
      </c>
      <c r="B58" s="53">
        <v>3800</v>
      </c>
      <c r="C58" s="182">
        <v>14</v>
      </c>
      <c r="D58">
        <v>58</v>
      </c>
      <c r="E58" s="149">
        <f t="shared" si="0"/>
        <v>38.646362168235825</v>
      </c>
      <c r="F58" s="53">
        <v>26.4</v>
      </c>
      <c r="G58" s="148">
        <v>45093</v>
      </c>
      <c r="M58">
        <v>8.56</v>
      </c>
      <c r="N58">
        <v>26.4</v>
      </c>
      <c r="O58" s="148">
        <f t="shared" si="1"/>
        <v>45093</v>
      </c>
      <c r="T58" t="s">
        <v>54</v>
      </c>
      <c r="V58" s="182"/>
      <c r="W58" s="182"/>
      <c r="X58" s="182"/>
      <c r="Y58" s="182"/>
      <c r="Z58" s="182"/>
      <c r="AA58" s="182"/>
      <c r="AB58" s="182"/>
      <c r="AC58" s="182"/>
      <c r="AD58" s="182"/>
    </row>
    <row r="59" spans="1:30" ht="15.5">
      <c r="A59" s="53">
        <v>2022</v>
      </c>
      <c r="B59" s="53">
        <v>3800</v>
      </c>
      <c r="C59" s="182">
        <v>15</v>
      </c>
      <c r="D59">
        <v>57</v>
      </c>
      <c r="E59" s="149">
        <f t="shared" si="0"/>
        <v>37.922094495813525</v>
      </c>
      <c r="F59" s="53">
        <v>26.5</v>
      </c>
      <c r="G59" s="148">
        <v>45093</v>
      </c>
      <c r="M59">
        <v>8.4499999999999993</v>
      </c>
      <c r="N59">
        <v>26.2</v>
      </c>
      <c r="O59" s="148">
        <f t="shared" si="1"/>
        <v>45093</v>
      </c>
      <c r="T59" t="s">
        <v>54</v>
      </c>
      <c r="V59" s="53" t="s">
        <v>3118</v>
      </c>
      <c r="W59" s="182"/>
      <c r="X59" s="182"/>
      <c r="Y59" s="182"/>
      <c r="Z59" s="182"/>
      <c r="AA59" s="182"/>
      <c r="AB59" s="182"/>
      <c r="AC59" s="182"/>
      <c r="AD59" s="182"/>
    </row>
    <row r="60" spans="1:30" ht="15.5">
      <c r="A60" s="53">
        <v>2022</v>
      </c>
      <c r="B60" s="53">
        <v>3800</v>
      </c>
      <c r="C60" s="53">
        <v>16</v>
      </c>
      <c r="D60" s="53">
        <v>56.6</v>
      </c>
      <c r="E60" s="149">
        <f t="shared" si="0"/>
        <v>37.632698574553245</v>
      </c>
      <c r="F60" s="53">
        <v>26.4</v>
      </c>
      <c r="G60" s="148">
        <v>45093</v>
      </c>
      <c r="M60">
        <v>8.41</v>
      </c>
      <c r="N60">
        <v>26.1</v>
      </c>
      <c r="O60" s="148">
        <f t="shared" si="1"/>
        <v>45093</v>
      </c>
      <c r="T60" t="s">
        <v>54</v>
      </c>
      <c r="V60" s="149" t="s">
        <v>3145</v>
      </c>
      <c r="W60" s="52"/>
      <c r="X60" s="182"/>
      <c r="Y60" s="182"/>
      <c r="Z60" s="182"/>
      <c r="AA60" s="182"/>
      <c r="AB60" s="182"/>
      <c r="AC60" s="182"/>
      <c r="AD60" s="182"/>
    </row>
    <row r="61" spans="1:30" ht="15.5">
      <c r="A61" s="53">
        <v>2022</v>
      </c>
      <c r="B61" s="53">
        <v>3800</v>
      </c>
      <c r="C61" s="182">
        <v>17</v>
      </c>
      <c r="D61">
        <v>55</v>
      </c>
      <c r="E61" s="149">
        <f t="shared" si="0"/>
        <v>36.476921764898364</v>
      </c>
      <c r="F61" s="53">
        <v>26.2</v>
      </c>
      <c r="G61" s="148">
        <v>45093</v>
      </c>
      <c r="M61">
        <v>8.57</v>
      </c>
      <c r="N61">
        <v>26.2</v>
      </c>
      <c r="O61" s="148">
        <f t="shared" si="1"/>
        <v>45093</v>
      </c>
      <c r="T61" t="s">
        <v>54</v>
      </c>
      <c r="V61" s="53" t="s">
        <v>3146</v>
      </c>
      <c r="W61" s="53" t="s">
        <v>3134</v>
      </c>
      <c r="X61" s="182"/>
      <c r="Y61" s="53" t="s">
        <v>3135</v>
      </c>
      <c r="Z61" s="182"/>
      <c r="AA61" s="182" t="s">
        <v>3136</v>
      </c>
      <c r="AB61" s="182" t="s">
        <v>48</v>
      </c>
      <c r="AC61" s="182"/>
      <c r="AD61" s="182"/>
    </row>
    <row r="62" spans="1:30" ht="15.5">
      <c r="A62" s="53">
        <v>2022</v>
      </c>
      <c r="B62" s="53">
        <v>3800</v>
      </c>
      <c r="C62" s="182">
        <v>18</v>
      </c>
      <c r="D62">
        <v>58</v>
      </c>
      <c r="E62" s="149">
        <f t="shared" si="0"/>
        <v>38.646362168235825</v>
      </c>
      <c r="F62" s="53">
        <v>26.5</v>
      </c>
      <c r="G62" s="148">
        <v>45093</v>
      </c>
      <c r="M62">
        <v>8.61</v>
      </c>
      <c r="N62">
        <v>26.3</v>
      </c>
      <c r="O62" s="148">
        <f t="shared" si="1"/>
        <v>45093</v>
      </c>
      <c r="T62" t="s">
        <v>54</v>
      </c>
      <c r="V62" s="53" t="s">
        <v>3142</v>
      </c>
      <c r="AA62" s="191"/>
    </row>
    <row r="63" spans="1:30" ht="15.5">
      <c r="A63" s="53">
        <v>2022</v>
      </c>
      <c r="B63" s="53">
        <v>3800</v>
      </c>
      <c r="C63" s="182">
        <v>19</v>
      </c>
      <c r="D63">
        <v>58.3</v>
      </c>
      <c r="E63" s="149">
        <f t="shared" si="0"/>
        <v>38.863857221644167</v>
      </c>
      <c r="F63" s="53">
        <v>26.4</v>
      </c>
      <c r="G63" s="148">
        <v>45093</v>
      </c>
      <c r="M63">
        <v>8.6300000000000008</v>
      </c>
      <c r="N63">
        <v>26.3</v>
      </c>
      <c r="O63" s="148">
        <f t="shared" si="1"/>
        <v>45093</v>
      </c>
      <c r="T63" t="s">
        <v>54</v>
      </c>
      <c r="V63" s="53">
        <v>7.01</v>
      </c>
      <c r="W63" s="27">
        <v>6.97</v>
      </c>
      <c r="Y63">
        <v>25.2</v>
      </c>
      <c r="AA63" s="191">
        <f>(W63-V63)/V63</f>
        <v>-5.7061340941512179E-3</v>
      </c>
      <c r="AB63" s="191">
        <f>_xlfn.STDEV.P(AA63:AA71)</f>
        <v>3.4298836375841013E-3</v>
      </c>
      <c r="AC63" s="191">
        <f>AB63/SQRT(2)</f>
        <v>2.4252939788165007E-3</v>
      </c>
      <c r="AD63" s="187">
        <f>AC63</f>
        <v>2.4252939788165007E-3</v>
      </c>
    </row>
    <row r="64" spans="1:30" ht="15.5">
      <c r="A64" s="53">
        <v>2022</v>
      </c>
      <c r="B64" s="53">
        <v>3800</v>
      </c>
      <c r="C64" s="182">
        <v>20</v>
      </c>
      <c r="D64">
        <v>56.8</v>
      </c>
      <c r="E64" s="149">
        <f t="shared" si="0"/>
        <v>37.777374168095484</v>
      </c>
      <c r="F64" s="53">
        <v>26.4</v>
      </c>
      <c r="G64" s="148">
        <v>45093</v>
      </c>
      <c r="M64">
        <v>8.56</v>
      </c>
      <c r="N64">
        <v>26.3</v>
      </c>
      <c r="O64" s="148">
        <f t="shared" si="1"/>
        <v>45093</v>
      </c>
      <c r="T64" t="s">
        <v>54</v>
      </c>
      <c r="V64" s="53">
        <v>10.01</v>
      </c>
      <c r="W64">
        <v>9.9600000000000009</v>
      </c>
      <c r="Y64">
        <v>25.8</v>
      </c>
      <c r="AA64" s="191">
        <f t="shared" ref="AA64:AA66" si="3">(W64-V64)/V64</f>
        <v>-4.9950049950048883E-3</v>
      </c>
    </row>
    <row r="65" spans="1:30" ht="15.5">
      <c r="A65" s="53">
        <v>2022</v>
      </c>
      <c r="B65" s="53">
        <v>3800</v>
      </c>
      <c r="C65" s="192">
        <v>21</v>
      </c>
      <c r="D65" s="53">
        <v>57.7</v>
      </c>
      <c r="E65" s="149">
        <f t="shared" si="0"/>
        <v>38.428965865577133</v>
      </c>
      <c r="F65" s="53">
        <v>26.3</v>
      </c>
      <c r="G65" s="148">
        <v>45093</v>
      </c>
      <c r="M65">
        <v>8.6</v>
      </c>
      <c r="N65">
        <v>26.3</v>
      </c>
      <c r="O65" s="148">
        <f t="shared" si="1"/>
        <v>45093</v>
      </c>
      <c r="T65" t="s">
        <v>54</v>
      </c>
      <c r="V65" s="53">
        <v>12.45</v>
      </c>
      <c r="W65">
        <v>12.43</v>
      </c>
      <c r="Y65">
        <v>25.6</v>
      </c>
      <c r="AA65" s="191">
        <f t="shared" si="3"/>
        <v>-1.6064257028112108E-3</v>
      </c>
    </row>
    <row r="66" spans="1:30" ht="16" thickBot="1">
      <c r="V66" s="194">
        <v>9.18</v>
      </c>
      <c r="W66" s="182">
        <v>9.1300000000000008</v>
      </c>
      <c r="X66" s="186"/>
      <c r="Y66" s="182">
        <v>25.8</v>
      </c>
      <c r="Z66" s="182"/>
      <c r="AA66" s="191">
        <f t="shared" si="3"/>
        <v>-5.4466230936818013E-3</v>
      </c>
    </row>
    <row r="67" spans="1:30" ht="15.5">
      <c r="V67" s="53" t="s">
        <v>3143</v>
      </c>
      <c r="W67" s="53" t="s">
        <v>3134</v>
      </c>
      <c r="X67" s="182"/>
      <c r="Y67" s="53" t="s">
        <v>3135</v>
      </c>
      <c r="Z67" s="182"/>
      <c r="AA67" s="191"/>
      <c r="AB67" s="191"/>
      <c r="AD67" s="182"/>
    </row>
    <row r="68" spans="1:30" ht="15.5">
      <c r="V68" s="53">
        <v>7.01</v>
      </c>
      <c r="W68" s="182">
        <v>7.03</v>
      </c>
      <c r="X68" s="186"/>
      <c r="Y68" s="182">
        <v>25.9</v>
      </c>
      <c r="Z68" s="182"/>
      <c r="AA68" s="191">
        <f>(W68-V68)/V68</f>
        <v>2.8530670470756723E-3</v>
      </c>
      <c r="AB68" s="191"/>
      <c r="AC68" s="191"/>
      <c r="AD68" s="182"/>
    </row>
    <row r="69" spans="1:30" ht="15.5">
      <c r="V69" s="53">
        <v>10.01</v>
      </c>
      <c r="W69" s="182">
        <v>10.02</v>
      </c>
      <c r="X69" s="186"/>
      <c r="Y69" s="182">
        <v>26</v>
      </c>
      <c r="Z69" s="182"/>
      <c r="AA69" s="191">
        <f t="shared" ref="AA69:AA71" si="4">(W69-V69)/V69</f>
        <v>9.9900099900097775E-4</v>
      </c>
      <c r="AB69" s="191"/>
      <c r="AC69" s="191"/>
      <c r="AD69" s="182"/>
    </row>
    <row r="70" spans="1:30" ht="15.5">
      <c r="V70" s="53">
        <v>12.45</v>
      </c>
      <c r="W70" s="182">
        <v>12.42</v>
      </c>
      <c r="X70" s="186"/>
      <c r="Y70" s="182">
        <v>26</v>
      </c>
      <c r="Z70" s="190"/>
      <c r="AA70" s="191">
        <f t="shared" si="4"/>
        <v>-2.4096385542168161E-3</v>
      </c>
      <c r="AB70" s="196"/>
      <c r="AC70" s="196"/>
      <c r="AD70" s="190"/>
    </row>
    <row r="71" spans="1:30" ht="16" thickBot="1">
      <c r="V71" s="194">
        <v>9.18</v>
      </c>
      <c r="W71" s="197">
        <v>9.2100000000000009</v>
      </c>
      <c r="X71" s="198"/>
      <c r="Y71" s="197">
        <v>26.1</v>
      </c>
      <c r="Z71" s="197"/>
      <c r="AA71" s="191">
        <f t="shared" si="4"/>
        <v>3.2679738562092745E-3</v>
      </c>
      <c r="AB71" s="199"/>
      <c r="AC71" s="199"/>
      <c r="AD71" s="197"/>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2244B-2E1F-4C39-B37A-CCC56AF657B8}">
  <sheetPr>
    <pageSetUpPr fitToPage="1"/>
  </sheetPr>
  <dimension ref="A1:BC567"/>
  <sheetViews>
    <sheetView zoomScale="71" zoomScaleNormal="71" workbookViewId="0">
      <selection activeCell="AK3" sqref="AK3"/>
    </sheetView>
  </sheetViews>
  <sheetFormatPr defaultRowHeight="14.5"/>
  <cols>
    <col min="1" max="1" width="23.26953125" style="148" customWidth="1"/>
    <col min="2" max="2" width="17.54296875" bestFit="1" customWidth="1"/>
    <col min="3" max="3" width="22.26953125" bestFit="1" customWidth="1"/>
    <col min="8" max="8" width="8.7265625" style="283"/>
    <col min="12" max="12" width="8.7265625" style="277"/>
    <col min="14" max="14" width="14.54296875" bestFit="1" customWidth="1"/>
    <col min="21" max="22" width="10.7265625" bestFit="1" customWidth="1"/>
    <col min="24" max="24" width="19.54296875" style="27" customWidth="1"/>
    <col min="25" max="25" width="12.54296875" style="27" bestFit="1" customWidth="1"/>
    <col min="26" max="26" width="12.26953125" style="27" customWidth="1"/>
    <col min="27" max="27" width="15.26953125" style="27" customWidth="1"/>
    <col min="28" max="28" width="10.81640625" style="27" bestFit="1" customWidth="1"/>
    <col min="32" max="32" width="11.453125" bestFit="1" customWidth="1"/>
    <col min="33" max="33" width="16.453125" customWidth="1"/>
    <col min="34" max="34" width="13.1796875" customWidth="1"/>
    <col min="37" max="37" width="12.26953125" bestFit="1" customWidth="1"/>
  </cols>
  <sheetData>
    <row r="1" spans="1:55" s="234" customFormat="1" ht="37.5" customHeight="1">
      <c r="A1" s="336" t="s">
        <v>3147</v>
      </c>
      <c r="B1" s="337"/>
      <c r="C1" s="337"/>
      <c r="D1" s="337"/>
      <c r="E1" s="337"/>
      <c r="F1" s="337"/>
      <c r="G1" s="337"/>
      <c r="H1" s="337"/>
      <c r="I1" s="337"/>
      <c r="J1" s="337"/>
      <c r="K1" s="337"/>
      <c r="L1" s="277"/>
      <c r="M1" s="337"/>
      <c r="N1" s="337"/>
      <c r="O1" s="337"/>
      <c r="P1" s="337"/>
      <c r="Q1" s="337"/>
      <c r="R1" s="337"/>
      <c r="S1" s="337"/>
      <c r="T1" s="337"/>
      <c r="U1" s="337"/>
      <c r="V1" s="337"/>
      <c r="W1" s="337"/>
      <c r="X1" s="375"/>
      <c r="Y1" s="375"/>
      <c r="Z1" s="375"/>
      <c r="AA1" s="375"/>
      <c r="AB1" s="375"/>
      <c r="AC1" s="337"/>
      <c r="AD1" s="337"/>
      <c r="AE1" s="337"/>
      <c r="AF1" s="337"/>
      <c r="AG1" s="337"/>
      <c r="AH1" s="337"/>
      <c r="AI1" s="337"/>
      <c r="AJ1" s="337"/>
      <c r="AK1" s="337"/>
      <c r="AL1" s="337"/>
      <c r="AM1" s="337"/>
      <c r="AN1" s="337"/>
      <c r="AO1" s="337"/>
      <c r="AP1" s="337"/>
      <c r="AQ1" s="337"/>
      <c r="AR1" s="337"/>
      <c r="AS1" s="337"/>
      <c r="AT1" s="337"/>
      <c r="AU1" s="337"/>
      <c r="AV1" s="337"/>
      <c r="AW1" s="337"/>
      <c r="AX1" s="337"/>
      <c r="AY1" s="337"/>
      <c r="AZ1" s="337"/>
      <c r="BA1" s="337"/>
      <c r="BB1" s="337"/>
      <c r="BC1" s="337"/>
    </row>
    <row r="2" spans="1:55" s="240" customFormat="1" ht="15" thickBot="1">
      <c r="A2"/>
      <c r="B2"/>
      <c r="C2"/>
      <c r="D2"/>
      <c r="E2"/>
      <c r="F2"/>
      <c r="G2"/>
      <c r="H2"/>
      <c r="I2"/>
      <c r="J2"/>
      <c r="K2"/>
      <c r="L2" s="277"/>
      <c r="M2"/>
      <c r="N2"/>
      <c r="O2"/>
      <c r="P2"/>
      <c r="Q2"/>
      <c r="R2"/>
      <c r="S2"/>
      <c r="T2"/>
      <c r="U2"/>
      <c r="V2"/>
      <c r="W2"/>
      <c r="X2" s="28" t="s">
        <v>3148</v>
      </c>
      <c r="Y2" s="27"/>
      <c r="Z2" s="27"/>
      <c r="AA2" s="27"/>
      <c r="AB2" s="27"/>
      <c r="AC2"/>
      <c r="AD2"/>
      <c r="AE2"/>
      <c r="AF2"/>
      <c r="AG2"/>
      <c r="AH2"/>
      <c r="AI2"/>
      <c r="AJ2"/>
      <c r="AK2"/>
      <c r="AL2"/>
      <c r="AM2"/>
      <c r="AN2"/>
      <c r="AO2"/>
      <c r="AP2"/>
      <c r="AQ2"/>
      <c r="AR2"/>
      <c r="AS2"/>
      <c r="AT2"/>
      <c r="AU2"/>
      <c r="AV2"/>
      <c r="AW2"/>
      <c r="AX2"/>
      <c r="AY2"/>
      <c r="AZ2"/>
      <c r="BA2"/>
      <c r="BB2"/>
      <c r="BC2"/>
    </row>
    <row r="3" spans="1:55" ht="29">
      <c r="A3" s="338"/>
      <c r="B3" s="339"/>
      <c r="C3" s="234"/>
      <c r="D3" s="235" t="s">
        <v>1</v>
      </c>
      <c r="E3" s="236" t="s">
        <v>2</v>
      </c>
      <c r="F3" s="236" t="s">
        <v>1</v>
      </c>
      <c r="G3" s="237"/>
      <c r="H3" s="236"/>
      <c r="I3" s="236" t="s">
        <v>3</v>
      </c>
      <c r="J3" s="237"/>
      <c r="K3" s="527" t="s">
        <v>4</v>
      </c>
      <c r="L3" s="528"/>
      <c r="M3" s="527" t="s">
        <v>5</v>
      </c>
      <c r="N3" s="529"/>
      <c r="O3" s="238"/>
      <c r="P3" s="238"/>
      <c r="Q3" s="238"/>
      <c r="R3" s="238"/>
      <c r="S3" s="234"/>
      <c r="T3" s="234"/>
      <c r="U3" s="234"/>
      <c r="X3" s="507" t="s">
        <v>6</v>
      </c>
      <c r="Y3" s="508"/>
      <c r="Z3" s="508"/>
      <c r="AA3" s="508"/>
      <c r="AB3" s="509"/>
      <c r="AK3" s="28" t="s">
        <v>3148</v>
      </c>
    </row>
    <row r="4" spans="1:55" ht="87">
      <c r="A4" s="340" t="s">
        <v>7</v>
      </c>
      <c r="B4" s="341" t="s">
        <v>8</v>
      </c>
      <c r="C4" s="239" t="s">
        <v>9</v>
      </c>
      <c r="D4" s="240" t="s">
        <v>10</v>
      </c>
      <c r="E4" s="235"/>
      <c r="F4" s="235" t="s">
        <v>11</v>
      </c>
      <c r="G4" s="235" t="s">
        <v>12</v>
      </c>
      <c r="H4" s="235" t="s">
        <v>13</v>
      </c>
      <c r="I4" s="235" t="s">
        <v>14</v>
      </c>
      <c r="J4" s="235" t="s">
        <v>15</v>
      </c>
      <c r="K4" s="241" t="s">
        <v>16</v>
      </c>
      <c r="L4" s="342" t="s">
        <v>17</v>
      </c>
      <c r="M4" s="235" t="s">
        <v>16</v>
      </c>
      <c r="N4" s="242" t="s">
        <v>18</v>
      </c>
      <c r="O4" s="235" t="s">
        <v>19</v>
      </c>
      <c r="P4" s="235" t="s">
        <v>20</v>
      </c>
      <c r="Q4" s="235" t="s">
        <v>21</v>
      </c>
      <c r="R4" s="235" t="s">
        <v>22</v>
      </c>
      <c r="S4" s="239" t="s">
        <v>23</v>
      </c>
      <c r="T4" s="239" t="s">
        <v>24</v>
      </c>
      <c r="U4" s="240" t="s">
        <v>25</v>
      </c>
      <c r="X4" s="510" t="s">
        <v>26</v>
      </c>
      <c r="Y4" s="511" t="s">
        <v>27</v>
      </c>
      <c r="Z4" s="512" t="s">
        <v>28</v>
      </c>
      <c r="AA4" s="512" t="s">
        <v>29</v>
      </c>
      <c r="AB4" s="513" t="s">
        <v>30</v>
      </c>
      <c r="AC4" s="343" t="s">
        <v>31</v>
      </c>
      <c r="AD4" s="344" t="s">
        <v>32</v>
      </c>
      <c r="AE4" s="343" t="s">
        <v>33</v>
      </c>
      <c r="AF4" s="343" t="s">
        <v>18</v>
      </c>
      <c r="AG4" s="343" t="s">
        <v>34</v>
      </c>
      <c r="AK4" s="534" t="s">
        <v>35</v>
      </c>
      <c r="AL4" s="2"/>
      <c r="AM4" s="2"/>
      <c r="AN4" s="2"/>
    </row>
    <row r="5" spans="1:55" ht="15.5">
      <c r="A5" t="s">
        <v>3149</v>
      </c>
      <c r="H5"/>
      <c r="X5" s="299"/>
      <c r="Y5" s="300"/>
      <c r="Z5" s="301">
        <f>MAX(Y15,Y54,Y91,Y292,Y327,Y360,Y390,Y422,Y452,Y481,Y514,Y548)</f>
        <v>12.681959290900103</v>
      </c>
      <c r="AA5" s="301">
        <f>MIN(Y15,Y54,Y91,Y292,Y327,Y360,Y390,Y422,Y452,Y481,Y514,Y548)</f>
        <v>1.459038974873806</v>
      </c>
      <c r="AB5" s="302">
        <f>(Z5/12.01)*100.0869</f>
        <v>105.68676031243876</v>
      </c>
      <c r="AC5" s="343"/>
      <c r="AD5" s="344"/>
      <c r="AE5" s="343"/>
      <c r="AF5" s="343"/>
      <c r="AG5" s="343"/>
      <c r="AK5" s="534"/>
      <c r="AL5" s="52" t="s">
        <v>37</v>
      </c>
      <c r="AM5" s="2"/>
      <c r="AN5" s="52"/>
    </row>
    <row r="6" spans="1:55" ht="16" thickBot="1">
      <c r="A6" t="s">
        <v>38</v>
      </c>
      <c r="H6"/>
      <c r="X6" s="525" t="s">
        <v>39</v>
      </c>
      <c r="Y6" s="526"/>
      <c r="Z6" s="303">
        <f>(Z5/AL15)*100</f>
        <v>6.0922397679619262</v>
      </c>
      <c r="AA6" s="303">
        <f>(AA5/AL15)*100</f>
        <v>0.70090236546577955</v>
      </c>
      <c r="AB6" s="304">
        <f>(AB5/((AL15/12.01)*100.0869))*100</f>
        <v>6.0922397679619262</v>
      </c>
      <c r="AC6" s="343"/>
      <c r="AD6" s="344"/>
      <c r="AE6" s="343" t="s">
        <v>40</v>
      </c>
      <c r="AF6" s="343" t="s">
        <v>41</v>
      </c>
      <c r="AG6" s="343"/>
      <c r="AK6" s="534"/>
      <c r="AL6" s="2"/>
      <c r="AM6" s="2"/>
      <c r="AN6" s="52" t="s">
        <v>42</v>
      </c>
    </row>
    <row r="7" spans="1:55" ht="31">
      <c r="A7" t="s">
        <v>3150</v>
      </c>
      <c r="H7"/>
      <c r="AF7" s="44"/>
      <c r="AG7" s="44"/>
      <c r="AH7" s="390" t="s">
        <v>47</v>
      </c>
      <c r="AK7" s="52" t="s">
        <v>44</v>
      </c>
      <c r="AL7" s="16">
        <f>AVERAGE(H8:H10,H16:H17,H20:H21,H29,H36,H38,H42:H44,H50:H51,H54:H55,H63,H70,H72,H77:H79,H85:H86,H89:H90,H98,H105,H107,H284:H286,H292:H293,H296,H297,H304,H311,H313,H319:H321,H327:H328,H331:H332,H337,H343,H345,H351:H353,H359:H360,H363:H364,H369,H374,H376,H382:H384,H390:H391,H394:H395,H400,H406,H408,H414:H416,H422:H423,H426:H427,H432,H436,H438,H444:H446,H452:H453,H456:H457,H461,H465,H467,H473:H475,H481:H482,H485:H486,H492,H498,H500,H506:H508,H514:H515,H520:H521,H526,H531,H533,H539:H541,H547:H548,H553:H554,H559,H563,H565)</f>
        <v>0.33550166666666659</v>
      </c>
      <c r="AM7" s="2"/>
      <c r="AN7" s="16">
        <f>(AL7/AL15)*100</f>
        <v>0.1611704113693857</v>
      </c>
    </row>
    <row r="8" spans="1:55" ht="15.5">
      <c r="A8" s="148">
        <v>45161</v>
      </c>
      <c r="B8">
        <v>1</v>
      </c>
      <c r="C8" t="s">
        <v>45</v>
      </c>
      <c r="H8">
        <v>0.3216</v>
      </c>
      <c r="X8" s="348">
        <f>A9</f>
        <v>45161</v>
      </c>
      <c r="Y8" s="44"/>
      <c r="Z8" s="44"/>
      <c r="AC8">
        <v>2022</v>
      </c>
      <c r="AD8" t="s">
        <v>46</v>
      </c>
      <c r="AE8">
        <v>1</v>
      </c>
      <c r="AF8" s="44">
        <f>AVERAGE(AF79:AF80)</f>
        <v>78.722118949989266</v>
      </c>
      <c r="AG8" s="44" t="s">
        <v>52</v>
      </c>
      <c r="AH8" s="44">
        <f>AH79</f>
        <v>-2.7100048563908374</v>
      </c>
      <c r="AI8" s="27"/>
      <c r="AJ8" s="27"/>
      <c r="AK8" s="52" t="s">
        <v>48</v>
      </c>
      <c r="AL8" s="16">
        <f>_xlfn.STDEV.P(H8:H10,H16:H17,H20:H21,H29,H36,H38,H42:H44,H50:H51,H54:H55,H63,H70,H72,H77:H79,H85:H86,H89:H90,H98,H105,H107,H284:H286,H292:H293,H296,H297,H304,H311,H313,H319:H321,H327:H328,H331:H332,H337,H343,H345,H351:H353,H359:H360,H363:H364,H369,H374,H376,H382:H384,H390:H391,H394:H395,H400,H406,H408,H414:H416,H422:H423,H426:H427,H432,H436,H438,H444:H446,H452:H453,H456:H457,H461,H465,H467,H473:H475,H481:H482,H485:H486,H492,H498,H500,H506:H508,H514:H515,H520:H521,H526,H531,H533,H539:H541,H547:H548,H553:H554,H559,H563,H565)</f>
        <v>0.16824762404629146</v>
      </c>
      <c r="AM8" s="27"/>
      <c r="AN8" s="27"/>
    </row>
    <row r="9" spans="1:55" ht="15.5">
      <c r="A9" s="148">
        <v>45161</v>
      </c>
      <c r="B9">
        <v>2</v>
      </c>
      <c r="C9" t="s">
        <v>49</v>
      </c>
      <c r="H9">
        <v>0.3261</v>
      </c>
      <c r="X9" s="208">
        <f>((J10-INDEX(LINEST($H$10:$H$15,$G$10:$G$15),2))/INDEX(LINEST($H$10:$H$15,$G$10:$G$15),1)/100.09)*12.01</f>
        <v>1.3538267592528026</v>
      </c>
      <c r="Y9" s="208">
        <f>(J10-X9)^2</f>
        <v>0.87311599173732501</v>
      </c>
      <c r="Z9" s="44"/>
      <c r="AC9">
        <v>2022</v>
      </c>
      <c r="AD9" t="s">
        <v>46</v>
      </c>
      <c r="AE9">
        <v>2</v>
      </c>
      <c r="AF9" s="44">
        <f>AVERAGE(AF81:AF82)</f>
        <v>76.579818615124523</v>
      </c>
      <c r="AG9" s="44" t="s">
        <v>52</v>
      </c>
      <c r="AH9" s="44">
        <f>AH81</f>
        <v>-3.4062824490524037</v>
      </c>
      <c r="AI9" s="27"/>
      <c r="AJ9" s="27"/>
      <c r="AK9" s="52" t="s">
        <v>50</v>
      </c>
      <c r="AL9" s="2">
        <f>COUNT(H8:H10,H16:H17,H20:H21,H29,H36,H38,H42:H44,H50:H51,H54:H55,H63,H70,H72,H77:H79,H85:H86,H89:H90,H98,H105,H107,H284:H286,H292:H293,H296,H297,H304,H311,H313,H319:H321,H327:H328,H331:H332,H337,H343,H345,H351:H353,H359:H360,H363:H364,H369,H374,H376,H382:H384,H390:H391,H394:H395,H400,H406,H408,H414:H416,H422:H423,H426:H427,H432,H436,H438,H444:H446,H452:H453,H456:H457,H461,H465,H467,H473:H475,H481:H482,H485:H486,H492,H498,H500,H506:H508,H514:H515,H520:H521,H526,H531,H533,H539:H541,H547:H548,H553:H554,H559,H563,H565)</f>
        <v>120</v>
      </c>
      <c r="AM9" s="27"/>
      <c r="AN9" s="27"/>
    </row>
    <row r="10" spans="1:55" ht="15.5">
      <c r="A10" s="148">
        <v>45161</v>
      </c>
      <c r="B10">
        <v>3</v>
      </c>
      <c r="C10" t="s">
        <v>51</v>
      </c>
      <c r="G10">
        <v>0</v>
      </c>
      <c r="H10">
        <v>0.2324</v>
      </c>
      <c r="I10">
        <v>0.41942000000000002</v>
      </c>
      <c r="J10">
        <v>0.41942000000000002</v>
      </c>
      <c r="X10" s="208">
        <f t="shared" ref="X10:X14" si="0">((J11-INDEX(LINEST($H$10:$H$15,$G$10:$G$15),2))/INDEX(LINEST($H$10:$H$15,$G$10:$G$15),1)/100.09)*12.01</f>
        <v>29.235809502021578</v>
      </c>
      <c r="Y10" s="208">
        <f t="shared" ref="Y10:Y14" si="1">(J11-X10)^2</f>
        <v>1.4789709656872483</v>
      </c>
      <c r="Z10" s="44"/>
      <c r="AC10">
        <v>2022</v>
      </c>
      <c r="AD10" t="s">
        <v>46</v>
      </c>
      <c r="AE10">
        <v>3</v>
      </c>
      <c r="AF10" s="44">
        <f>AVERAGE(AF87:AF88)</f>
        <v>70.410326660009275</v>
      </c>
      <c r="AG10" s="44" t="s">
        <v>52</v>
      </c>
      <c r="AH10" s="44">
        <f>AH87</f>
        <v>2.8023327256353339</v>
      </c>
      <c r="AI10" s="27"/>
      <c r="AJ10" s="27"/>
      <c r="AK10" s="377"/>
      <c r="AL10" s="8"/>
      <c r="AM10" s="27"/>
      <c r="AN10" s="27"/>
    </row>
    <row r="11" spans="1:55">
      <c r="A11" s="148">
        <v>45161</v>
      </c>
      <c r="B11">
        <v>4</v>
      </c>
      <c r="C11" t="s">
        <v>3151</v>
      </c>
      <c r="D11">
        <v>248.7</v>
      </c>
      <c r="G11">
        <v>248.65026</v>
      </c>
      <c r="H11">
        <v>28.4391</v>
      </c>
      <c r="I11">
        <v>0.41942000000000002</v>
      </c>
      <c r="J11">
        <v>28.019680000000001</v>
      </c>
      <c r="K11">
        <v>245.25474761618628</v>
      </c>
      <c r="L11" s="277">
        <v>98.634422347350963</v>
      </c>
      <c r="M11">
        <v>233.51288686094924</v>
      </c>
      <c r="N11">
        <v>93.912182863170628</v>
      </c>
      <c r="O11">
        <v>128</v>
      </c>
      <c r="P11">
        <v>41.7</v>
      </c>
      <c r="Q11">
        <v>100</v>
      </c>
      <c r="R11">
        <v>3</v>
      </c>
      <c r="S11" t="s">
        <v>54</v>
      </c>
      <c r="T11" t="s">
        <v>54</v>
      </c>
      <c r="X11" s="208">
        <f t="shared" si="0"/>
        <v>119.58531120135028</v>
      </c>
      <c r="Y11" s="208">
        <f t="shared" si="1"/>
        <v>4.532773856323046</v>
      </c>
      <c r="Z11" s="44"/>
      <c r="AC11">
        <v>2022</v>
      </c>
      <c r="AD11" t="s">
        <v>46</v>
      </c>
      <c r="AE11">
        <v>4</v>
      </c>
      <c r="AF11" s="64">
        <f>AF89</f>
        <v>31.111994045249531</v>
      </c>
      <c r="AG11" s="64" t="s">
        <v>3152</v>
      </c>
      <c r="AH11" s="44"/>
      <c r="AI11" s="27"/>
      <c r="AJ11" s="27"/>
      <c r="AK11" s="27"/>
      <c r="AL11" s="27"/>
      <c r="AM11" s="27"/>
      <c r="AN11" s="27"/>
    </row>
    <row r="12" spans="1:55" ht="15.5">
      <c r="A12" s="148">
        <v>45161</v>
      </c>
      <c r="B12">
        <v>5</v>
      </c>
      <c r="C12" t="s">
        <v>3153</v>
      </c>
      <c r="D12">
        <v>1019.6</v>
      </c>
      <c r="G12">
        <v>1019.3960800000001</v>
      </c>
      <c r="H12">
        <v>117.87569999999999</v>
      </c>
      <c r="I12">
        <v>0.41942000000000002</v>
      </c>
      <c r="J12">
        <v>117.45627999999999</v>
      </c>
      <c r="K12">
        <v>998.7813918741366</v>
      </c>
      <c r="L12" s="277">
        <v>97.977754816767245</v>
      </c>
      <c r="M12">
        <v>978.86753248959201</v>
      </c>
      <c r="N12">
        <v>96.024259038703761</v>
      </c>
      <c r="O12">
        <v>128</v>
      </c>
      <c r="P12">
        <v>41.7</v>
      </c>
      <c r="Q12">
        <v>100</v>
      </c>
      <c r="R12">
        <v>3</v>
      </c>
      <c r="S12" t="s">
        <v>54</v>
      </c>
      <c r="T12" t="s">
        <v>54</v>
      </c>
      <c r="X12" s="208">
        <f t="shared" si="0"/>
        <v>250.16288191124056</v>
      </c>
      <c r="Y12" s="208">
        <f t="shared" si="1"/>
        <v>11.891475741447492</v>
      </c>
      <c r="Z12" s="44"/>
      <c r="AC12">
        <v>2022</v>
      </c>
      <c r="AD12" t="s">
        <v>46</v>
      </c>
      <c r="AE12">
        <v>5</v>
      </c>
      <c r="AF12" s="44">
        <f>AVERAGE(AF93:AF94)</f>
        <v>51.801318458338926</v>
      </c>
      <c r="AG12" s="44" t="s">
        <v>52</v>
      </c>
      <c r="AH12" s="44">
        <f>AH93</f>
        <v>2.1833052457448607</v>
      </c>
      <c r="AI12" s="27"/>
      <c r="AJ12" s="27"/>
      <c r="AK12" s="8"/>
      <c r="AL12" s="8"/>
      <c r="AM12" s="27"/>
      <c r="AN12" s="27"/>
    </row>
    <row r="13" spans="1:55" ht="15.5">
      <c r="A13" s="148">
        <v>45161</v>
      </c>
      <c r="B13">
        <v>6</v>
      </c>
      <c r="C13" t="s">
        <v>3154</v>
      </c>
      <c r="D13">
        <v>2083.5</v>
      </c>
      <c r="G13">
        <v>2083.0833000000002</v>
      </c>
      <c r="H13">
        <v>247.13390000000001</v>
      </c>
      <c r="I13">
        <v>0.41942000000000002</v>
      </c>
      <c r="J13">
        <v>246.71448000000001</v>
      </c>
      <c r="K13">
        <v>2087.815385662172</v>
      </c>
      <c r="L13" s="277">
        <v>100.227167375504</v>
      </c>
      <c r="M13">
        <v>2056.0909494754374</v>
      </c>
      <c r="N13">
        <v>98.704211659487498</v>
      </c>
      <c r="O13">
        <v>128</v>
      </c>
      <c r="P13">
        <v>41.7</v>
      </c>
      <c r="Q13">
        <v>100</v>
      </c>
      <c r="R13">
        <v>3</v>
      </c>
      <c r="S13" t="s">
        <v>54</v>
      </c>
      <c r="T13" t="s">
        <v>54</v>
      </c>
      <c r="X13" s="208">
        <f t="shared" si="0"/>
        <v>356.65791995653217</v>
      </c>
      <c r="Y13" s="208">
        <f t="shared" si="1"/>
        <v>20.470556920264631</v>
      </c>
      <c r="Z13" s="44"/>
      <c r="AA13" s="52" t="s">
        <v>42</v>
      </c>
      <c r="AC13">
        <v>2022</v>
      </c>
      <c r="AD13" t="s">
        <v>46</v>
      </c>
      <c r="AE13">
        <v>6</v>
      </c>
      <c r="AF13" s="44">
        <f>AVERAGE(AF95:AF96)</f>
        <v>62.736503755437198</v>
      </c>
      <c r="AG13" s="44" t="s">
        <v>52</v>
      </c>
      <c r="AH13" s="44">
        <f>AH95</f>
        <v>-2.3871524365620003</v>
      </c>
      <c r="AI13" s="27"/>
      <c r="AJ13" s="27"/>
      <c r="AK13" s="2"/>
      <c r="AL13" s="52" t="s">
        <v>57</v>
      </c>
      <c r="AM13" s="27"/>
      <c r="AN13" s="27"/>
    </row>
    <row r="14" spans="1:55" ht="15.5">
      <c r="A14" s="148">
        <v>45161</v>
      </c>
      <c r="B14">
        <v>7</v>
      </c>
      <c r="C14" t="s">
        <v>3155</v>
      </c>
      <c r="D14">
        <v>2960.8</v>
      </c>
      <c r="G14">
        <v>2960.20784</v>
      </c>
      <c r="H14">
        <v>352.55290000000002</v>
      </c>
      <c r="I14">
        <v>0.41942000000000002</v>
      </c>
      <c r="J14">
        <v>352.13348000000002</v>
      </c>
      <c r="K14">
        <v>2975.9979117312409</v>
      </c>
      <c r="L14" s="277">
        <v>100.53341091520251</v>
      </c>
      <c r="M14">
        <v>2934.6411334887598</v>
      </c>
      <c r="N14">
        <v>99.136320559463158</v>
      </c>
      <c r="O14">
        <v>128</v>
      </c>
      <c r="P14">
        <v>41.7</v>
      </c>
      <c r="Q14">
        <v>100</v>
      </c>
      <c r="R14">
        <v>3</v>
      </c>
      <c r="S14" t="s">
        <v>54</v>
      </c>
      <c r="T14" t="s">
        <v>54</v>
      </c>
      <c r="X14" s="208">
        <f t="shared" si="0"/>
        <v>450.14825701558368</v>
      </c>
      <c r="Y14" s="208">
        <f t="shared" si="1"/>
        <v>29.910803402385991</v>
      </c>
      <c r="Z14" s="44"/>
      <c r="AA14" s="347">
        <f>(Y15/$AL$15)*100</f>
        <v>1.9974729081865448</v>
      </c>
      <c r="AC14">
        <v>2022</v>
      </c>
      <c r="AD14" t="s">
        <v>46</v>
      </c>
      <c r="AE14">
        <v>7</v>
      </c>
      <c r="AF14" s="44">
        <f>AF99</f>
        <v>67.018420910104922</v>
      </c>
      <c r="AG14" s="64"/>
      <c r="AH14" s="44"/>
      <c r="AI14" s="27"/>
      <c r="AJ14" s="27"/>
      <c r="AK14" s="2"/>
      <c r="AL14" s="2"/>
      <c r="AM14" s="27"/>
      <c r="AN14" s="27"/>
    </row>
    <row r="15" spans="1:55" ht="15.5">
      <c r="A15" s="148">
        <v>45161</v>
      </c>
      <c r="B15">
        <v>8</v>
      </c>
      <c r="C15" t="s">
        <v>3156</v>
      </c>
      <c r="D15">
        <v>3765.7</v>
      </c>
      <c r="G15">
        <v>3764.94686</v>
      </c>
      <c r="H15">
        <v>445.09859999999998</v>
      </c>
      <c r="I15">
        <v>0.41942000000000002</v>
      </c>
      <c r="J15">
        <v>444.67917999999997</v>
      </c>
      <c r="K15">
        <v>3755.7195330976942</v>
      </c>
      <c r="L15" s="277">
        <v>99.754914816983472</v>
      </c>
      <c r="M15">
        <v>3705.9066716236471</v>
      </c>
      <c r="N15">
        <v>98.431845373340721</v>
      </c>
      <c r="O15">
        <v>128</v>
      </c>
      <c r="P15">
        <v>41.7</v>
      </c>
      <c r="Q15">
        <v>100</v>
      </c>
      <c r="R15">
        <v>3</v>
      </c>
      <c r="S15" t="s">
        <v>54</v>
      </c>
      <c r="T15" t="s">
        <v>54</v>
      </c>
      <c r="X15" s="44"/>
      <c r="Y15" s="347">
        <f>SQRT(SUM(Y9:Y14)/(6-2))</f>
        <v>4.1580553410772971</v>
      </c>
      <c r="Z15" s="52" t="s">
        <v>60</v>
      </c>
      <c r="AA15" s="44"/>
      <c r="AC15">
        <v>2022</v>
      </c>
      <c r="AD15" t="s">
        <v>46</v>
      </c>
      <c r="AE15">
        <v>8</v>
      </c>
      <c r="AF15" s="44">
        <f>AVERAGE(AF100,AF103)</f>
        <v>64.136997877553966</v>
      </c>
      <c r="AG15" s="44" t="s">
        <v>52</v>
      </c>
      <c r="AH15" s="44">
        <f>AH100</f>
        <v>-2.8212344410811898</v>
      </c>
      <c r="AI15" s="27"/>
      <c r="AJ15" s="27"/>
      <c r="AK15" s="52" t="s">
        <v>44</v>
      </c>
      <c r="AL15" s="16">
        <f>AVERAGE(J102,J103,J104,J368,J100,J101,J367,J370,J371,J99,J372,J373,J69,J68,J334,J335,J338,J339,J340,J462,J93,J94,J96,J97,J342,J365,J366,J552,J458,J459,J460,J396,J397:J399,J491,J401:J405,J489,J428,J429,J523,J527,J431,J434,J463,J435,J490,J464,J524,J525,J528,J529,J530,J555:J558,J560,J561,J34,J298,J562,J56:J62,J300:J303,J495,J305:J310,J64:J66,J497)</f>
        <v>208.16579409090912</v>
      </c>
      <c r="AM15" s="27"/>
      <c r="AN15" s="27"/>
    </row>
    <row r="16" spans="1:55" ht="15.5">
      <c r="A16" s="148">
        <v>45161</v>
      </c>
      <c r="B16">
        <v>9</v>
      </c>
      <c r="C16" t="s">
        <v>61</v>
      </c>
      <c r="H16">
        <v>0.56459999999999999</v>
      </c>
      <c r="I16">
        <v>0.41942000000000002</v>
      </c>
      <c r="J16">
        <v>0.14517999999999998</v>
      </c>
      <c r="O16">
        <v>128</v>
      </c>
      <c r="P16">
        <v>41.7</v>
      </c>
      <c r="Q16">
        <v>100</v>
      </c>
      <c r="R16">
        <v>3</v>
      </c>
      <c r="S16" t="s">
        <v>54</v>
      </c>
      <c r="T16" t="s">
        <v>54</v>
      </c>
      <c r="X16" s="44"/>
      <c r="Y16" s="347">
        <f>(Y15/12.01)*100.09</f>
        <v>34.652769282966418</v>
      </c>
      <c r="Z16" s="52" t="s">
        <v>62</v>
      </c>
      <c r="AA16" s="44"/>
      <c r="AC16">
        <v>2022</v>
      </c>
      <c r="AD16" t="s">
        <v>46</v>
      </c>
      <c r="AE16">
        <v>9</v>
      </c>
      <c r="AF16" s="44">
        <f>AVERAGE(AF104:AF105)</f>
        <v>72.249834750634889</v>
      </c>
      <c r="AG16" s="44" t="s">
        <v>52</v>
      </c>
      <c r="AH16" s="44">
        <f>AH104</f>
        <v>1.0034238604608567</v>
      </c>
      <c r="AI16" s="27"/>
      <c r="AJ16" s="27"/>
      <c r="AK16" s="52" t="s">
        <v>48</v>
      </c>
      <c r="AL16" s="2">
        <f>_xlfn.STDEV.P(J102,J103,J104,J368,J100,J101,J367,J370,J371,J99,J372,J373,J69,J68,J334,J335,J338,J339,J340,J462,J93,J94,J96,J97,J342,J365,J366,J552,J458,J459,J460,J396,J397:J399,J491,J401:J405,J489,J428,J429,J523,J527,J431,J434,J463,J435,J490,J464,J524,J525,J528,J529,J530,J555:J558,J560,J561,J34,J298,J562,J56:J62,J300:J303,J495,J305:J310,J64:J66,J497)</f>
        <v>42.024594553171625</v>
      </c>
      <c r="AM16" s="27"/>
      <c r="AN16" s="27"/>
    </row>
    <row r="17" spans="1:40" ht="15.5">
      <c r="A17" s="148">
        <v>45161</v>
      </c>
      <c r="B17">
        <v>10</v>
      </c>
      <c r="C17" t="s">
        <v>63</v>
      </c>
      <c r="H17">
        <v>0.4042</v>
      </c>
      <c r="I17">
        <v>0.41942000000000002</v>
      </c>
      <c r="J17">
        <v>-1.5220000000000011E-2</v>
      </c>
      <c r="O17">
        <v>128</v>
      </c>
      <c r="P17">
        <v>41.7</v>
      </c>
      <c r="Q17">
        <v>100</v>
      </c>
      <c r="R17">
        <v>3</v>
      </c>
      <c r="S17" t="s">
        <v>54</v>
      </c>
      <c r="T17" t="s">
        <v>54</v>
      </c>
      <c r="X17" s="44"/>
      <c r="Y17" s="44"/>
      <c r="Z17" s="44"/>
      <c r="AA17" s="44"/>
      <c r="AC17">
        <v>2022</v>
      </c>
      <c r="AD17" t="s">
        <v>46</v>
      </c>
      <c r="AE17">
        <v>10</v>
      </c>
      <c r="AF17" s="44">
        <f>AVERAGE(AF106:AF107)</f>
        <v>76.209612088141483</v>
      </c>
      <c r="AG17" s="44" t="s">
        <v>52</v>
      </c>
      <c r="AH17" s="44">
        <f>AH106</f>
        <v>1.1629878307593988</v>
      </c>
      <c r="AI17" s="27"/>
      <c r="AJ17" s="27"/>
      <c r="AK17" s="52" t="s">
        <v>50</v>
      </c>
      <c r="AL17" s="2">
        <f>COUNT(J102,J103,J104,J368,J100,J101,J367,J370,J371,J99,J372,J373,J69,J68,J334,J335,J338,J339,J340,J462,J93,J94,J96,J97,J342,J365,J366,J552,J458,J459,J460,J396,J397:J399,J491,J401:J405,J489,J428,J429,J523,J527,J431,J434,J463,J435,J490,J464,J524,J525,J528,J529,J530,J555:J558,J560,J561,J34,J298,J562,J56:J62,J300:J303,J495,J305:J310,J64:J66,J497)</f>
        <v>88</v>
      </c>
      <c r="AM17" s="27"/>
      <c r="AN17" s="27"/>
    </row>
    <row r="18" spans="1:40">
      <c r="A18" s="148">
        <v>45161</v>
      </c>
      <c r="B18">
        <v>11</v>
      </c>
      <c r="C18" t="s">
        <v>64</v>
      </c>
      <c r="D18">
        <v>983.9</v>
      </c>
      <c r="H18">
        <v>13.6212</v>
      </c>
      <c r="I18">
        <v>0.41942000000000002</v>
      </c>
      <c r="J18">
        <v>13.201779999999999</v>
      </c>
      <c r="K18">
        <v>120.41008154044231</v>
      </c>
      <c r="L18" s="277">
        <v>12.238040607830298</v>
      </c>
      <c r="M18">
        <v>110.02216154870941</v>
      </c>
      <c r="N18">
        <v>11.182250386086942</v>
      </c>
      <c r="O18">
        <v>128</v>
      </c>
      <c r="P18">
        <v>41.7</v>
      </c>
      <c r="Q18">
        <v>100</v>
      </c>
      <c r="R18">
        <v>3</v>
      </c>
      <c r="S18" t="s">
        <v>54</v>
      </c>
      <c r="T18" t="s">
        <v>54</v>
      </c>
      <c r="AA18" s="44"/>
      <c r="AC18">
        <v>2022</v>
      </c>
      <c r="AD18" t="s">
        <v>46</v>
      </c>
      <c r="AE18">
        <v>11</v>
      </c>
      <c r="AF18" s="44">
        <f>AVERAGE(AF108:AF109,AF114:AF115)</f>
        <v>77.278267260940012</v>
      </c>
      <c r="AG18" s="44" t="s">
        <v>3157</v>
      </c>
      <c r="AH18" s="44">
        <f>AH108</f>
        <v>-1.0701707192527352</v>
      </c>
      <c r="AI18" s="44">
        <f>AH114</f>
        <v>-1.6642021672239877</v>
      </c>
      <c r="AJ18" s="44"/>
      <c r="AK18" s="27"/>
      <c r="AL18" s="27"/>
      <c r="AM18" s="27"/>
      <c r="AN18" s="27"/>
    </row>
    <row r="19" spans="1:40">
      <c r="A19" s="148">
        <v>45161</v>
      </c>
      <c r="B19">
        <v>12</v>
      </c>
      <c r="C19" t="s">
        <v>64</v>
      </c>
      <c r="D19">
        <v>2007.9</v>
      </c>
      <c r="H19">
        <v>27.869700000000002</v>
      </c>
      <c r="I19">
        <v>0.41942000000000002</v>
      </c>
      <c r="J19">
        <v>27.450280000000003</v>
      </c>
      <c r="K19">
        <v>240.45740434463443</v>
      </c>
      <c r="L19" s="277">
        <v>11.975566728653538</v>
      </c>
      <c r="M19">
        <v>228.76757079100756</v>
      </c>
      <c r="N19">
        <v>11.393374709448057</v>
      </c>
      <c r="O19">
        <v>128</v>
      </c>
      <c r="P19">
        <v>41.7</v>
      </c>
      <c r="Q19">
        <v>100</v>
      </c>
      <c r="R19">
        <v>3</v>
      </c>
      <c r="S19" t="s">
        <v>54</v>
      </c>
      <c r="T19" t="s">
        <v>54</v>
      </c>
      <c r="AA19" s="44"/>
      <c r="AC19">
        <v>2022</v>
      </c>
      <c r="AD19" t="s">
        <v>46</v>
      </c>
      <c r="AE19">
        <v>12</v>
      </c>
      <c r="AF19" s="208">
        <f>AVERAGE(AF116:AF117)</f>
        <v>76.221092576215611</v>
      </c>
      <c r="AG19" s="44" t="s">
        <v>52</v>
      </c>
      <c r="AH19" s="44">
        <f>AH116</f>
        <v>-0.38911034099111941</v>
      </c>
      <c r="AI19" s="27"/>
      <c r="AJ19" s="27"/>
      <c r="AK19" s="27"/>
      <c r="AL19" s="27"/>
      <c r="AM19" s="27"/>
      <c r="AN19" s="27"/>
    </row>
    <row r="20" spans="1:40">
      <c r="A20" s="148">
        <v>45161</v>
      </c>
      <c r="B20">
        <v>13</v>
      </c>
      <c r="C20" t="s">
        <v>65</v>
      </c>
      <c r="H20">
        <v>0.1862</v>
      </c>
      <c r="I20">
        <v>0.41942000000000002</v>
      </c>
      <c r="J20">
        <v>-0.23322000000000001</v>
      </c>
      <c r="O20">
        <v>128</v>
      </c>
      <c r="P20">
        <v>41.7</v>
      </c>
      <c r="Q20">
        <v>100</v>
      </c>
      <c r="R20">
        <v>3</v>
      </c>
      <c r="S20" t="s">
        <v>54</v>
      </c>
      <c r="T20" t="s">
        <v>54</v>
      </c>
      <c r="AA20" s="44"/>
      <c r="AC20">
        <v>2022</v>
      </c>
      <c r="AD20" t="s">
        <v>46</v>
      </c>
      <c r="AE20">
        <v>13</v>
      </c>
      <c r="AF20" s="44">
        <f>AVERAGE(AF118:AF119)</f>
        <v>74.691523502969375</v>
      </c>
      <c r="AG20" s="44" t="s">
        <v>52</v>
      </c>
      <c r="AH20" s="44">
        <f>AH118</f>
        <v>0.89221997997297042</v>
      </c>
      <c r="AJ20" s="27"/>
      <c r="AK20" s="27"/>
      <c r="AL20" s="27"/>
      <c r="AM20" s="27"/>
      <c r="AN20" s="27"/>
    </row>
    <row r="21" spans="1:40">
      <c r="A21" s="148">
        <v>45161</v>
      </c>
      <c r="B21">
        <v>14</v>
      </c>
      <c r="C21" t="s">
        <v>66</v>
      </c>
      <c r="H21">
        <v>0.2321</v>
      </c>
      <c r="I21">
        <v>0.41942000000000002</v>
      </c>
      <c r="J21">
        <v>-0.18732000000000001</v>
      </c>
      <c r="O21">
        <v>128</v>
      </c>
      <c r="P21">
        <v>41.7</v>
      </c>
      <c r="Q21">
        <v>100</v>
      </c>
      <c r="R21">
        <v>3</v>
      </c>
      <c r="S21" t="s">
        <v>54</v>
      </c>
      <c r="T21" t="s">
        <v>54</v>
      </c>
      <c r="AA21" s="44"/>
      <c r="AC21">
        <v>2022</v>
      </c>
      <c r="AD21" t="s">
        <v>46</v>
      </c>
      <c r="AE21">
        <v>14</v>
      </c>
      <c r="AF21" s="44">
        <f>AVERAGE(AF120:AF121)</f>
        <v>73.843469539991347</v>
      </c>
      <c r="AG21" s="44" t="s">
        <v>52</v>
      </c>
      <c r="AH21" s="44">
        <f>AH120</f>
        <v>-1.4688061862973911</v>
      </c>
      <c r="AI21" s="27"/>
      <c r="AJ21" s="27"/>
      <c r="AK21" s="27"/>
      <c r="AL21" s="27"/>
      <c r="AM21" s="27"/>
      <c r="AN21" s="27"/>
    </row>
    <row r="22" spans="1:40">
      <c r="A22" s="148">
        <v>45161</v>
      </c>
      <c r="B22">
        <v>15</v>
      </c>
      <c r="C22" t="s">
        <v>67</v>
      </c>
      <c r="D22" s="247">
        <v>2302.3000000000002</v>
      </c>
      <c r="E22" t="s">
        <v>3158</v>
      </c>
      <c r="H22">
        <v>204.92429999999999</v>
      </c>
      <c r="I22">
        <v>0.41942000000000002</v>
      </c>
      <c r="J22">
        <v>204.50487999999999</v>
      </c>
      <c r="K22">
        <v>1732.1885142977596</v>
      </c>
      <c r="L22" s="277">
        <v>75.237306793109482</v>
      </c>
      <c r="M22">
        <v>1704.3208525562034</v>
      </c>
      <c r="N22">
        <v>74.026879753125272</v>
      </c>
      <c r="O22">
        <v>128</v>
      </c>
      <c r="P22">
        <v>41.7</v>
      </c>
      <c r="Q22">
        <v>100</v>
      </c>
      <c r="R22">
        <v>3</v>
      </c>
      <c r="S22" t="s">
        <v>54</v>
      </c>
      <c r="T22" t="s">
        <v>54</v>
      </c>
      <c r="AA22" s="44"/>
      <c r="AC22">
        <v>2022</v>
      </c>
      <c r="AD22" t="s">
        <v>46</v>
      </c>
      <c r="AE22">
        <v>15</v>
      </c>
      <c r="AF22" s="44">
        <f>AF124</f>
        <v>71.153571201162194</v>
      </c>
      <c r="AG22" s="44"/>
      <c r="AH22" s="44"/>
      <c r="AI22" s="27"/>
      <c r="AJ22" s="27"/>
      <c r="AK22" s="27"/>
      <c r="AL22" s="27"/>
      <c r="AM22" s="27"/>
      <c r="AN22" s="27"/>
    </row>
    <row r="23" spans="1:40">
      <c r="A23" s="148">
        <v>45161</v>
      </c>
      <c r="B23">
        <v>16</v>
      </c>
      <c r="C23" t="s">
        <v>69</v>
      </c>
      <c r="D23" s="247">
        <v>2932</v>
      </c>
      <c r="H23">
        <v>261.01510000000002</v>
      </c>
      <c r="I23">
        <v>0.41942000000000002</v>
      </c>
      <c r="J23">
        <v>260.59568000000002</v>
      </c>
      <c r="K23">
        <v>2204.7681103215787</v>
      </c>
      <c r="L23" s="277">
        <v>75.196729547120682</v>
      </c>
      <c r="M23">
        <v>2171.7753214987511</v>
      </c>
      <c r="N23">
        <v>74.071463898320289</v>
      </c>
      <c r="O23">
        <v>128</v>
      </c>
      <c r="P23">
        <v>41.7</v>
      </c>
      <c r="Q23">
        <v>100</v>
      </c>
      <c r="R23">
        <v>3</v>
      </c>
      <c r="S23" t="s">
        <v>54</v>
      </c>
      <c r="T23" t="s">
        <v>54</v>
      </c>
      <c r="AA23" s="44"/>
      <c r="AC23">
        <v>2022</v>
      </c>
      <c r="AD23" t="s">
        <v>46</v>
      </c>
      <c r="AE23">
        <v>16</v>
      </c>
      <c r="AF23" s="44"/>
      <c r="AG23" s="64" t="s">
        <v>3159</v>
      </c>
      <c r="AH23" s="44"/>
      <c r="AI23" s="27"/>
      <c r="AJ23" s="27"/>
      <c r="AK23" s="27"/>
      <c r="AL23" s="27"/>
      <c r="AM23" s="27"/>
      <c r="AN23" s="27"/>
    </row>
    <row r="24" spans="1:40">
      <c r="A24" s="148">
        <v>45161</v>
      </c>
      <c r="B24">
        <v>17</v>
      </c>
      <c r="C24" t="s">
        <v>70</v>
      </c>
      <c r="D24" s="247">
        <v>2484.5</v>
      </c>
      <c r="H24">
        <v>223.39320000000001</v>
      </c>
      <c r="I24">
        <v>0.41942000000000002</v>
      </c>
      <c r="J24">
        <v>222.97378</v>
      </c>
      <c r="K24">
        <v>1887.7938060925694</v>
      </c>
      <c r="L24" s="277">
        <v>75.982845888209667</v>
      </c>
      <c r="M24">
        <v>1858.238604512906</v>
      </c>
      <c r="N24">
        <v>74.793262407442384</v>
      </c>
      <c r="O24">
        <v>128</v>
      </c>
      <c r="P24">
        <v>41.7</v>
      </c>
      <c r="Q24">
        <v>100</v>
      </c>
      <c r="R24">
        <v>3</v>
      </c>
      <c r="S24" t="s">
        <v>54</v>
      </c>
      <c r="T24" t="s">
        <v>54</v>
      </c>
      <c r="AA24" s="44"/>
      <c r="AC24">
        <v>2022</v>
      </c>
      <c r="AD24" t="s">
        <v>46</v>
      </c>
      <c r="AE24">
        <v>17</v>
      </c>
      <c r="AF24" s="44"/>
      <c r="AG24" s="64" t="s">
        <v>3159</v>
      </c>
      <c r="AH24" s="44"/>
      <c r="AI24" s="27"/>
      <c r="AJ24" s="27"/>
      <c r="AK24" s="27"/>
      <c r="AL24" s="27"/>
      <c r="AM24" s="27"/>
      <c r="AN24" s="27"/>
    </row>
    <row r="25" spans="1:40">
      <c r="A25" s="148">
        <v>45161</v>
      </c>
      <c r="B25">
        <v>18</v>
      </c>
      <c r="C25" t="s">
        <v>71</v>
      </c>
      <c r="D25" s="247">
        <v>2402.4</v>
      </c>
      <c r="H25">
        <v>192.7612</v>
      </c>
      <c r="I25">
        <v>0.41942000000000002</v>
      </c>
      <c r="J25">
        <v>192.34178</v>
      </c>
      <c r="K25">
        <v>1629.7112295309655</v>
      </c>
      <c r="L25" s="277">
        <v>67.836797766024205</v>
      </c>
      <c r="M25">
        <v>1602.9549342381351</v>
      </c>
      <c r="N25">
        <v>66.723065860728241</v>
      </c>
      <c r="O25">
        <v>128</v>
      </c>
      <c r="P25">
        <v>41.7</v>
      </c>
      <c r="Q25">
        <v>100</v>
      </c>
      <c r="R25">
        <v>3</v>
      </c>
      <c r="S25" t="s">
        <v>54</v>
      </c>
      <c r="T25" t="s">
        <v>54</v>
      </c>
      <c r="AA25" s="44"/>
      <c r="AC25">
        <v>2022</v>
      </c>
      <c r="AD25" t="s">
        <v>46</v>
      </c>
      <c r="AE25">
        <v>18</v>
      </c>
      <c r="AF25" s="44">
        <f>AF127</f>
        <v>70.446478281874576</v>
      </c>
      <c r="AG25" s="44"/>
      <c r="AH25" s="44"/>
      <c r="AI25" s="27"/>
      <c r="AJ25" s="27"/>
      <c r="AK25" s="27"/>
      <c r="AL25" s="27"/>
      <c r="AM25" s="27"/>
      <c r="AN25" s="27"/>
    </row>
    <row r="26" spans="1:40">
      <c r="A26" s="148">
        <v>45161</v>
      </c>
      <c r="B26">
        <v>19</v>
      </c>
      <c r="C26" t="s">
        <v>72</v>
      </c>
      <c r="D26" s="247">
        <v>2442.6999999999998</v>
      </c>
      <c r="H26">
        <v>142.7107</v>
      </c>
      <c r="I26">
        <v>0.41942000000000002</v>
      </c>
      <c r="J26">
        <v>142.29128</v>
      </c>
      <c r="K26">
        <v>1208.0227338990594</v>
      </c>
      <c r="L26" s="277">
        <v>49.454404302577451</v>
      </c>
      <c r="M26">
        <v>1185.8396515570359</v>
      </c>
      <c r="N26">
        <v>48.546266490237691</v>
      </c>
      <c r="O26">
        <v>128</v>
      </c>
      <c r="P26">
        <v>41.7</v>
      </c>
      <c r="Q26">
        <v>100</v>
      </c>
      <c r="R26">
        <v>3</v>
      </c>
      <c r="S26" t="s">
        <v>54</v>
      </c>
      <c r="T26" t="s">
        <v>54</v>
      </c>
      <c r="AA26" s="44"/>
      <c r="AC26">
        <v>2022</v>
      </c>
      <c r="AD26" t="s">
        <v>46</v>
      </c>
      <c r="AE26">
        <v>19</v>
      </c>
      <c r="AF26" s="44">
        <f t="shared" ref="AF26:AF28" si="2">AF128</f>
        <v>70.987032078938213</v>
      </c>
      <c r="AG26" s="44"/>
      <c r="AH26" s="44"/>
      <c r="AI26" s="27"/>
      <c r="AJ26" s="27"/>
      <c r="AK26" s="27"/>
      <c r="AL26" s="27"/>
      <c r="AM26" s="27"/>
      <c r="AN26" s="27"/>
    </row>
    <row r="27" spans="1:40">
      <c r="A27" s="148">
        <v>45161</v>
      </c>
      <c r="B27">
        <v>20</v>
      </c>
      <c r="C27" t="s">
        <v>3160</v>
      </c>
      <c r="D27" s="247">
        <v>2038.8</v>
      </c>
      <c r="H27">
        <v>179.67939999999999</v>
      </c>
      <c r="I27">
        <v>0.41942000000000002</v>
      </c>
      <c r="J27">
        <v>179.25997999999998</v>
      </c>
      <c r="K27">
        <v>1519.4936580350268</v>
      </c>
      <c r="L27" s="277">
        <v>74.528823721553209</v>
      </c>
      <c r="M27">
        <v>1493.9326726228144</v>
      </c>
      <c r="N27">
        <v>73.275096754110976</v>
      </c>
      <c r="O27">
        <v>128</v>
      </c>
      <c r="P27">
        <v>41.7</v>
      </c>
      <c r="Q27">
        <v>100</v>
      </c>
      <c r="R27">
        <v>3</v>
      </c>
      <c r="S27" t="s">
        <v>54</v>
      </c>
      <c r="T27" t="s">
        <v>54</v>
      </c>
      <c r="AA27" s="44"/>
      <c r="AC27">
        <v>2022</v>
      </c>
      <c r="AD27" t="s">
        <v>46</v>
      </c>
      <c r="AE27">
        <v>20</v>
      </c>
      <c r="AF27" s="44">
        <f t="shared" si="2"/>
        <v>64.74330861420539</v>
      </c>
      <c r="AG27" s="44"/>
      <c r="AH27" s="44"/>
      <c r="AI27" s="27"/>
      <c r="AJ27" s="27"/>
      <c r="AK27" s="27"/>
      <c r="AL27" s="27"/>
      <c r="AM27" s="27"/>
      <c r="AN27" s="27"/>
    </row>
    <row r="28" spans="1:40" ht="15" thickBot="1">
      <c r="A28" s="148">
        <v>45161</v>
      </c>
      <c r="B28">
        <v>21</v>
      </c>
      <c r="C28" t="s">
        <v>3161</v>
      </c>
      <c r="D28" s="247">
        <v>2681.1</v>
      </c>
      <c r="H28">
        <v>235.66540000000001</v>
      </c>
      <c r="I28">
        <v>0.41942000000000002</v>
      </c>
      <c r="J28">
        <v>235.24598</v>
      </c>
      <c r="K28">
        <v>1991.1902867689639</v>
      </c>
      <c r="L28" s="277">
        <v>74.26766203308209</v>
      </c>
      <c r="M28">
        <v>1960.5137500582848</v>
      </c>
      <c r="N28">
        <v>73.123484765890296</v>
      </c>
      <c r="O28">
        <v>128</v>
      </c>
      <c r="P28">
        <v>41.7</v>
      </c>
      <c r="Q28">
        <v>100</v>
      </c>
      <c r="R28">
        <v>3</v>
      </c>
      <c r="S28" t="s">
        <v>54</v>
      </c>
      <c r="T28" t="s">
        <v>54</v>
      </c>
      <c r="AA28" s="44"/>
      <c r="AC28" s="195">
        <v>2022</v>
      </c>
      <c r="AD28" s="195" t="s">
        <v>46</v>
      </c>
      <c r="AE28" s="195">
        <v>21</v>
      </c>
      <c r="AF28" s="391">
        <f t="shared" si="2"/>
        <v>70.123018513013619</v>
      </c>
      <c r="AG28" s="391"/>
      <c r="AH28" s="391"/>
      <c r="AI28" s="392"/>
      <c r="AJ28" s="27"/>
      <c r="AK28" s="27"/>
      <c r="AL28" s="27"/>
      <c r="AM28" s="27"/>
      <c r="AN28" s="27"/>
    </row>
    <row r="29" spans="1:40">
      <c r="A29" s="148">
        <v>45161</v>
      </c>
      <c r="B29">
        <v>23</v>
      </c>
      <c r="C29" t="s">
        <v>74</v>
      </c>
      <c r="D29" s="247"/>
      <c r="H29">
        <v>0.60470000000000002</v>
      </c>
      <c r="I29">
        <v>0.41942000000000002</v>
      </c>
      <c r="J29">
        <v>0.18528</v>
      </c>
      <c r="M29">
        <v>1.5441028476269776</v>
      </c>
      <c r="O29">
        <v>128</v>
      </c>
      <c r="P29">
        <v>41.7</v>
      </c>
      <c r="Q29">
        <v>100</v>
      </c>
      <c r="R29">
        <v>3</v>
      </c>
      <c r="S29" t="s">
        <v>54</v>
      </c>
      <c r="T29" t="s">
        <v>54</v>
      </c>
      <c r="AA29" s="44"/>
      <c r="AC29">
        <v>2022</v>
      </c>
      <c r="AD29" t="s">
        <v>76</v>
      </c>
      <c r="AE29">
        <v>1</v>
      </c>
      <c r="AF29" s="44">
        <f>AF132</f>
        <v>73.22242712567386</v>
      </c>
      <c r="AG29" s="44"/>
      <c r="AH29" s="44"/>
      <c r="AI29" s="27"/>
      <c r="AJ29" s="27"/>
      <c r="AK29" s="27"/>
      <c r="AL29" s="27"/>
      <c r="AM29" s="27"/>
      <c r="AN29" s="27"/>
    </row>
    <row r="30" spans="1:40">
      <c r="A30" s="148">
        <v>45161</v>
      </c>
      <c r="B30">
        <v>22</v>
      </c>
      <c r="C30" t="s">
        <v>77</v>
      </c>
      <c r="D30" s="247">
        <v>2702.4</v>
      </c>
      <c r="H30">
        <v>235.8811</v>
      </c>
      <c r="I30">
        <v>0.41942000000000002</v>
      </c>
      <c r="J30">
        <v>235.46168</v>
      </c>
      <c r="K30">
        <v>1993.007615437165</v>
      </c>
      <c r="L30" s="277">
        <v>73.749541719847727</v>
      </c>
      <c r="M30">
        <v>1962.3113697918402</v>
      </c>
      <c r="N30">
        <v>72.613653411480172</v>
      </c>
      <c r="O30">
        <v>128</v>
      </c>
      <c r="P30">
        <v>41.7</v>
      </c>
      <c r="Q30">
        <v>100</v>
      </c>
      <c r="R30">
        <v>3</v>
      </c>
      <c r="S30" t="s">
        <v>54</v>
      </c>
      <c r="T30" t="s">
        <v>54</v>
      </c>
      <c r="AA30" s="44"/>
      <c r="AC30">
        <v>2022</v>
      </c>
      <c r="AD30" t="s">
        <v>76</v>
      </c>
      <c r="AE30">
        <v>2</v>
      </c>
      <c r="AF30" s="44">
        <f>AVERAGE(AF133:AF134)</f>
        <v>73.803397573722236</v>
      </c>
      <c r="AG30" s="44" t="s">
        <v>52</v>
      </c>
      <c r="AH30" s="64">
        <f>AH133</f>
        <v>0.41968372015136157</v>
      </c>
      <c r="AI30" s="27"/>
      <c r="AJ30" s="27"/>
      <c r="AK30" s="27"/>
      <c r="AL30" s="27"/>
      <c r="AM30" s="27"/>
      <c r="AN30" s="27"/>
    </row>
    <row r="31" spans="1:40">
      <c r="A31" s="148">
        <v>45161</v>
      </c>
      <c r="B31">
        <v>24</v>
      </c>
      <c r="C31" t="s">
        <v>79</v>
      </c>
      <c r="D31" s="247">
        <v>2871.9</v>
      </c>
      <c r="H31">
        <v>245.02019999999999</v>
      </c>
      <c r="I31">
        <v>0.41942000000000002</v>
      </c>
      <c r="J31">
        <v>244.60077999999999</v>
      </c>
      <c r="K31">
        <v>2070.0069127554643</v>
      </c>
      <c r="L31" s="277">
        <v>72.077959286725317</v>
      </c>
      <c r="M31">
        <v>2038.4756095087428</v>
      </c>
      <c r="N31">
        <v>70.980034454846702</v>
      </c>
      <c r="O31">
        <v>128</v>
      </c>
      <c r="P31">
        <v>41.7</v>
      </c>
      <c r="Q31">
        <v>100</v>
      </c>
      <c r="R31">
        <v>3</v>
      </c>
      <c r="S31" t="s">
        <v>54</v>
      </c>
      <c r="T31" t="s">
        <v>54</v>
      </c>
      <c r="AA31" s="44"/>
      <c r="AC31">
        <v>2022</v>
      </c>
      <c r="AD31" t="s">
        <v>76</v>
      </c>
      <c r="AE31">
        <v>3</v>
      </c>
      <c r="AF31" s="44">
        <f>AF135</f>
        <v>71.855473522521095</v>
      </c>
      <c r="AG31" s="44"/>
      <c r="AH31" s="44"/>
      <c r="AI31" s="27"/>
      <c r="AJ31" s="27"/>
      <c r="AK31" s="27"/>
      <c r="AL31" s="27"/>
      <c r="AM31" s="27"/>
      <c r="AN31" s="27"/>
    </row>
    <row r="32" spans="1:40">
      <c r="A32" s="148">
        <v>45161</v>
      </c>
      <c r="B32">
        <v>25</v>
      </c>
      <c r="C32" t="s">
        <v>80</v>
      </c>
      <c r="D32" s="247">
        <v>2753.7</v>
      </c>
      <c r="H32">
        <v>237.1061</v>
      </c>
      <c r="I32">
        <v>0.41942000000000002</v>
      </c>
      <c r="J32">
        <v>236.68668</v>
      </c>
      <c r="K32">
        <v>2003.3285594267172</v>
      </c>
      <c r="L32" s="277">
        <v>72.750428856691627</v>
      </c>
      <c r="M32">
        <v>1972.5203831140718</v>
      </c>
      <c r="N32">
        <v>71.631636820062894</v>
      </c>
      <c r="O32">
        <v>128</v>
      </c>
      <c r="P32">
        <v>41.7</v>
      </c>
      <c r="Q32">
        <v>100</v>
      </c>
      <c r="R32">
        <v>3</v>
      </c>
      <c r="S32" t="s">
        <v>54</v>
      </c>
      <c r="T32" t="s">
        <v>54</v>
      </c>
      <c r="AA32" s="44"/>
      <c r="AC32">
        <v>2022</v>
      </c>
      <c r="AD32" t="s">
        <v>76</v>
      </c>
      <c r="AE32">
        <v>4</v>
      </c>
      <c r="AF32" s="44">
        <f>AF136</f>
        <v>70.84442953702181</v>
      </c>
      <c r="AG32" s="44"/>
      <c r="AH32" s="44"/>
      <c r="AI32" s="27"/>
      <c r="AJ32" s="27"/>
      <c r="AK32" s="27"/>
      <c r="AL32" s="27"/>
      <c r="AM32" s="27"/>
      <c r="AN32" s="27"/>
    </row>
    <row r="33" spans="1:40">
      <c r="A33" s="148">
        <v>45161</v>
      </c>
      <c r="B33">
        <v>26</v>
      </c>
      <c r="C33" t="s">
        <v>81</v>
      </c>
      <c r="D33" s="247">
        <v>2986.5</v>
      </c>
      <c r="H33">
        <v>271.0317</v>
      </c>
      <c r="I33">
        <v>0.41942000000000002</v>
      </c>
      <c r="J33">
        <v>270.61228</v>
      </c>
      <c r="K33">
        <v>2289.1605736405572</v>
      </c>
      <c r="L33" s="277">
        <v>76.650278708875177</v>
      </c>
      <c r="M33">
        <v>2255.252548309742</v>
      </c>
      <c r="N33">
        <v>75.514902002670084</v>
      </c>
      <c r="O33">
        <v>128</v>
      </c>
      <c r="P33">
        <v>41.7</v>
      </c>
      <c r="Q33">
        <v>100</v>
      </c>
      <c r="R33">
        <v>3</v>
      </c>
      <c r="S33" t="s">
        <v>54</v>
      </c>
      <c r="T33" t="s">
        <v>54</v>
      </c>
      <c r="AA33" s="44"/>
      <c r="AC33">
        <v>2022</v>
      </c>
      <c r="AD33" t="s">
        <v>76</v>
      </c>
      <c r="AE33">
        <v>5</v>
      </c>
      <c r="AF33" s="44">
        <f>AF137</f>
        <v>72.170712113184663</v>
      </c>
      <c r="AG33" s="44"/>
      <c r="AH33" s="44"/>
      <c r="AI33" s="27"/>
      <c r="AJ33" s="27"/>
      <c r="AK33" s="27"/>
      <c r="AL33" s="27"/>
      <c r="AM33" s="27"/>
      <c r="AN33" s="27"/>
    </row>
    <row r="34" spans="1:40">
      <c r="A34" s="148">
        <v>45161</v>
      </c>
      <c r="B34">
        <v>27</v>
      </c>
      <c r="C34" t="s">
        <v>96</v>
      </c>
      <c r="D34" s="247">
        <v>2036.3</v>
      </c>
      <c r="H34">
        <v>188.4735</v>
      </c>
      <c r="I34">
        <v>0.41942000000000002</v>
      </c>
      <c r="J34">
        <v>188.05408</v>
      </c>
      <c r="K34">
        <v>1593.5862405154528</v>
      </c>
      <c r="L34" s="277">
        <v>78.258912759193294</v>
      </c>
      <c r="M34">
        <v>1567.2217208326394</v>
      </c>
      <c r="N34">
        <v>76.964186064560209</v>
      </c>
      <c r="O34">
        <v>128</v>
      </c>
      <c r="P34">
        <v>41.7</v>
      </c>
      <c r="Q34">
        <v>100</v>
      </c>
      <c r="R34">
        <v>3</v>
      </c>
      <c r="S34" t="s">
        <v>54</v>
      </c>
      <c r="T34" t="s">
        <v>54</v>
      </c>
      <c r="AA34" s="44"/>
      <c r="AC34">
        <v>2022</v>
      </c>
      <c r="AD34" t="s">
        <v>76</v>
      </c>
      <c r="AE34">
        <v>6</v>
      </c>
      <c r="AF34" s="44">
        <f>AVERAGE(AF138:AF139)</f>
        <v>71.421985541200854</v>
      </c>
      <c r="AG34" s="44" t="s">
        <v>52</v>
      </c>
      <c r="AH34" s="64">
        <f>AH138</f>
        <v>-1.216913742707979</v>
      </c>
      <c r="AI34" s="27"/>
      <c r="AJ34" s="27"/>
      <c r="AK34" s="27"/>
      <c r="AL34" s="27"/>
      <c r="AM34" s="27"/>
      <c r="AN34" s="27"/>
    </row>
    <row r="35" spans="1:40">
      <c r="A35" s="148">
        <v>45161</v>
      </c>
      <c r="B35">
        <v>28</v>
      </c>
      <c r="C35" t="s">
        <v>97</v>
      </c>
      <c r="D35" s="247">
        <v>2306.1999999999998</v>
      </c>
      <c r="H35">
        <v>204.40129999999999</v>
      </c>
      <c r="I35">
        <v>0.41942000000000002</v>
      </c>
      <c r="J35">
        <v>203.98187999999999</v>
      </c>
      <c r="K35">
        <v>1727.782103108751</v>
      </c>
      <c r="L35" s="277">
        <v>74.919005424887303</v>
      </c>
      <c r="M35">
        <v>1699.9622289092424</v>
      </c>
      <c r="N35">
        <v>73.712697463760421</v>
      </c>
      <c r="O35">
        <v>128</v>
      </c>
      <c r="P35">
        <v>41.7</v>
      </c>
      <c r="Q35">
        <v>100</v>
      </c>
      <c r="R35">
        <v>3</v>
      </c>
      <c r="S35" t="s">
        <v>54</v>
      </c>
      <c r="T35" t="s">
        <v>54</v>
      </c>
      <c r="AA35" s="44"/>
      <c r="AC35">
        <v>2022</v>
      </c>
      <c r="AD35" t="s">
        <v>76</v>
      </c>
      <c r="AE35">
        <v>7</v>
      </c>
      <c r="AF35" s="44">
        <f>AF140</f>
        <v>69.913179121790151</v>
      </c>
      <c r="AG35" s="44"/>
      <c r="AH35" s="44"/>
      <c r="AI35" s="27"/>
      <c r="AJ35" s="27"/>
      <c r="AK35" s="27"/>
      <c r="AL35" s="27"/>
      <c r="AM35" s="27"/>
      <c r="AN35" s="27"/>
    </row>
    <row r="36" spans="1:40">
      <c r="A36" s="148">
        <v>45161</v>
      </c>
      <c r="B36">
        <v>29</v>
      </c>
      <c r="C36" t="s">
        <v>82</v>
      </c>
      <c r="H36">
        <v>0.68200000000000005</v>
      </c>
      <c r="I36">
        <v>0.41942000000000002</v>
      </c>
      <c r="J36">
        <v>0.26258000000000004</v>
      </c>
      <c r="M36">
        <v>2.1883124229808497</v>
      </c>
      <c r="O36">
        <v>128</v>
      </c>
      <c r="P36">
        <v>41.7</v>
      </c>
      <c r="Q36">
        <v>100</v>
      </c>
      <c r="R36">
        <v>3</v>
      </c>
      <c r="S36" t="s">
        <v>54</v>
      </c>
      <c r="T36" t="s">
        <v>54</v>
      </c>
      <c r="AA36" s="44"/>
      <c r="AC36">
        <v>2022</v>
      </c>
      <c r="AD36" t="s">
        <v>76</v>
      </c>
      <c r="AE36">
        <v>8</v>
      </c>
      <c r="AF36" s="44">
        <f>AVERAGE(AF141:AF142)</f>
        <v>69.919599299434765</v>
      </c>
      <c r="AG36" s="44" t="s">
        <v>52</v>
      </c>
      <c r="AH36" s="64">
        <f>AH141</f>
        <v>-1.4426925330028129</v>
      </c>
      <c r="AI36" s="27"/>
      <c r="AJ36" s="27"/>
      <c r="AK36" s="27"/>
      <c r="AL36" s="27"/>
      <c r="AM36" s="27"/>
      <c r="AN36" s="27"/>
    </row>
    <row r="37" spans="1:40">
      <c r="A37" s="148">
        <v>45161</v>
      </c>
      <c r="B37">
        <v>30</v>
      </c>
      <c r="C37" t="s">
        <v>3162</v>
      </c>
      <c r="D37">
        <v>2074.1</v>
      </c>
      <c r="G37">
        <v>2073.6851799999999</v>
      </c>
      <c r="H37">
        <v>247.25970000000001</v>
      </c>
      <c r="I37">
        <v>0.41942000000000002</v>
      </c>
      <c r="J37">
        <v>246.84028000000001</v>
      </c>
      <c r="K37">
        <v>2088.8752834204461</v>
      </c>
      <c r="L37" s="277">
        <v>100.73251733517459</v>
      </c>
      <c r="M37">
        <v>2057.1393526394672</v>
      </c>
      <c r="N37">
        <v>99.182264723950979</v>
      </c>
      <c r="O37">
        <v>128</v>
      </c>
      <c r="P37">
        <v>41.7</v>
      </c>
      <c r="Q37">
        <v>100</v>
      </c>
      <c r="R37">
        <v>3</v>
      </c>
      <c r="S37" t="s">
        <v>54</v>
      </c>
      <c r="T37" t="s">
        <v>54</v>
      </c>
      <c r="AA37" s="44"/>
      <c r="AC37">
        <v>2022</v>
      </c>
      <c r="AD37" t="s">
        <v>76</v>
      </c>
      <c r="AE37">
        <v>9</v>
      </c>
      <c r="AF37" s="44">
        <f>AF143</f>
        <v>72.45048363979042</v>
      </c>
      <c r="AG37" s="44"/>
      <c r="AH37" s="44"/>
      <c r="AI37" s="27"/>
      <c r="AJ37" s="27"/>
      <c r="AK37" s="27"/>
      <c r="AL37" s="27"/>
      <c r="AM37" s="27"/>
      <c r="AN37" s="27"/>
    </row>
    <row r="38" spans="1:40">
      <c r="A38" s="148">
        <v>45161</v>
      </c>
      <c r="B38">
        <v>31</v>
      </c>
      <c r="C38" t="s">
        <v>84</v>
      </c>
      <c r="H38">
        <v>0.64029999999999998</v>
      </c>
      <c r="I38">
        <v>0.41942000000000002</v>
      </c>
      <c r="J38">
        <v>0.22087999999999997</v>
      </c>
      <c r="M38">
        <v>1.8407892756036632</v>
      </c>
      <c r="O38">
        <v>128</v>
      </c>
      <c r="P38">
        <v>41.7</v>
      </c>
      <c r="Q38">
        <v>100</v>
      </c>
      <c r="R38">
        <v>3</v>
      </c>
      <c r="S38" t="s">
        <v>54</v>
      </c>
      <c r="T38" t="s">
        <v>54</v>
      </c>
      <c r="AA38" s="44"/>
      <c r="AC38">
        <v>2022</v>
      </c>
      <c r="AD38" t="s">
        <v>76</v>
      </c>
      <c r="AE38">
        <v>10</v>
      </c>
      <c r="AF38" s="44">
        <f>AF144</f>
        <v>75.652797991872973</v>
      </c>
      <c r="AG38" s="44"/>
      <c r="AH38" s="44"/>
      <c r="AI38" s="27"/>
      <c r="AJ38" s="27"/>
      <c r="AK38" s="27"/>
      <c r="AL38" s="27"/>
      <c r="AM38" s="27"/>
      <c r="AN38" s="27"/>
    </row>
    <row r="39" spans="1:40">
      <c r="A39" s="148" t="s">
        <v>3163</v>
      </c>
      <c r="H39"/>
      <c r="AA39" s="44"/>
      <c r="AC39">
        <v>2022</v>
      </c>
      <c r="AD39" t="s">
        <v>76</v>
      </c>
      <c r="AE39">
        <v>11</v>
      </c>
      <c r="AF39" s="44">
        <f>AVERAGE(AF149:AF150)</f>
        <v>79.730332793076599</v>
      </c>
      <c r="AG39" s="64" t="s">
        <v>52</v>
      </c>
      <c r="AH39">
        <f>((AF149-AF150)/AVERAGE(AF149,AF150))*100</f>
        <v>0.60241153853238472</v>
      </c>
      <c r="AI39" s="27"/>
      <c r="AJ39" s="27"/>
      <c r="AK39" s="27"/>
      <c r="AL39" s="27"/>
      <c r="AM39" s="27"/>
      <c r="AN39" s="27"/>
    </row>
    <row r="40" spans="1:40">
      <c r="A40" s="148" t="s">
        <v>38</v>
      </c>
      <c r="H40"/>
      <c r="AA40" s="44"/>
      <c r="AC40">
        <v>2022</v>
      </c>
      <c r="AD40" t="s">
        <v>76</v>
      </c>
      <c r="AE40">
        <v>12</v>
      </c>
      <c r="AF40" s="44">
        <f>AF151</f>
        <v>76.615845940403659</v>
      </c>
      <c r="AG40" s="44"/>
      <c r="AH40" s="44"/>
      <c r="AI40" s="27"/>
      <c r="AJ40" s="27"/>
      <c r="AK40" s="27"/>
      <c r="AL40" s="27"/>
      <c r="AM40" s="27"/>
      <c r="AN40" s="27"/>
    </row>
    <row r="41" spans="1:40">
      <c r="A41" t="s">
        <v>3164</v>
      </c>
      <c r="H41"/>
      <c r="AA41" s="44"/>
      <c r="AC41">
        <v>2022</v>
      </c>
      <c r="AD41" t="s">
        <v>76</v>
      </c>
      <c r="AE41">
        <v>13</v>
      </c>
      <c r="AF41" s="44">
        <f>AF152</f>
        <v>76.617145424792767</v>
      </c>
      <c r="AG41" s="44"/>
      <c r="AH41" s="44"/>
      <c r="AI41" s="27"/>
      <c r="AJ41" s="27"/>
      <c r="AK41" s="27"/>
      <c r="AL41" s="27"/>
      <c r="AM41" s="27"/>
      <c r="AN41" s="27"/>
    </row>
    <row r="42" spans="1:40">
      <c r="A42" s="148">
        <v>45162</v>
      </c>
      <c r="B42">
        <v>1</v>
      </c>
      <c r="C42" t="s">
        <v>45</v>
      </c>
      <c r="H42">
        <v>0.22589999999999999</v>
      </c>
      <c r="AA42" s="44"/>
      <c r="AC42">
        <v>2022</v>
      </c>
      <c r="AD42" t="s">
        <v>76</v>
      </c>
      <c r="AE42">
        <v>14</v>
      </c>
      <c r="AF42" s="44"/>
      <c r="AG42" s="64" t="s">
        <v>3165</v>
      </c>
      <c r="AH42" s="44"/>
      <c r="AI42" s="27"/>
      <c r="AJ42" s="27"/>
      <c r="AK42" s="27"/>
      <c r="AL42" s="27"/>
      <c r="AM42" s="27"/>
      <c r="AN42" s="27"/>
    </row>
    <row r="43" spans="1:40">
      <c r="A43" s="148">
        <v>45162</v>
      </c>
      <c r="B43">
        <v>2</v>
      </c>
      <c r="C43" t="s">
        <v>49</v>
      </c>
      <c r="H43">
        <v>0.33160000000000001</v>
      </c>
      <c r="AA43" s="44"/>
      <c r="AC43">
        <v>2022</v>
      </c>
      <c r="AD43" t="s">
        <v>76</v>
      </c>
      <c r="AE43">
        <v>15</v>
      </c>
      <c r="AF43" s="44"/>
      <c r="AG43" s="64" t="s">
        <v>3166</v>
      </c>
      <c r="AH43" s="44"/>
      <c r="AI43" s="27"/>
      <c r="AJ43" s="27"/>
      <c r="AK43" s="27"/>
      <c r="AL43" s="27"/>
      <c r="AM43" s="27"/>
      <c r="AN43" s="27"/>
    </row>
    <row r="44" spans="1:40">
      <c r="A44" s="148">
        <v>45162</v>
      </c>
      <c r="B44">
        <v>3</v>
      </c>
      <c r="C44" t="s">
        <v>51</v>
      </c>
      <c r="G44">
        <v>0</v>
      </c>
      <c r="H44">
        <v>0.18429999999999999</v>
      </c>
      <c r="I44">
        <v>0.30323000000000006</v>
      </c>
      <c r="J44">
        <v>0.30323000000000006</v>
      </c>
      <c r="X44" s="44"/>
      <c r="Y44" s="44"/>
      <c r="Z44" s="44"/>
      <c r="AA44" s="44"/>
      <c r="AC44">
        <v>2022</v>
      </c>
      <c r="AD44" t="s">
        <v>76</v>
      </c>
      <c r="AE44">
        <v>16</v>
      </c>
      <c r="AF44" s="44">
        <f>AF155</f>
        <v>69.361820952840063</v>
      </c>
      <c r="AG44" s="44"/>
      <c r="AH44" s="44"/>
      <c r="AI44" s="27"/>
      <c r="AJ44" s="27"/>
      <c r="AK44" s="27"/>
      <c r="AL44" s="27"/>
      <c r="AM44" s="27"/>
      <c r="AN44" s="27"/>
    </row>
    <row r="45" spans="1:40">
      <c r="A45" s="148">
        <v>45162</v>
      </c>
      <c r="B45">
        <v>4</v>
      </c>
      <c r="C45" t="s">
        <v>3167</v>
      </c>
      <c r="D45">
        <v>266.60000000000002</v>
      </c>
      <c r="G45">
        <v>266.54668000000004</v>
      </c>
      <c r="H45">
        <v>31.649100000000001</v>
      </c>
      <c r="I45">
        <v>0.30323000000000006</v>
      </c>
      <c r="J45">
        <v>31.345870000000001</v>
      </c>
      <c r="K45">
        <v>276.28516841639276</v>
      </c>
      <c r="L45" s="277">
        <v>103.65357708315584</v>
      </c>
      <c r="M45">
        <v>261.23298320566198</v>
      </c>
      <c r="N45">
        <v>98.00646671182021</v>
      </c>
      <c r="O45">
        <v>128</v>
      </c>
      <c r="P45">
        <v>41.7</v>
      </c>
      <c r="Q45">
        <v>100</v>
      </c>
      <c r="R45">
        <v>3</v>
      </c>
      <c r="S45" t="s">
        <v>54</v>
      </c>
      <c r="T45" t="s">
        <v>54</v>
      </c>
      <c r="X45" s="44"/>
      <c r="Y45" s="44"/>
      <c r="Z45" s="44"/>
      <c r="AA45" s="44"/>
      <c r="AC45">
        <v>2022</v>
      </c>
      <c r="AD45" t="s">
        <v>76</v>
      </c>
      <c r="AE45">
        <v>17</v>
      </c>
      <c r="AF45" s="44"/>
      <c r="AG45" s="38" t="s">
        <v>3168</v>
      </c>
      <c r="AI45" s="27"/>
      <c r="AJ45" s="27"/>
      <c r="AK45" s="27"/>
      <c r="AL45" s="27"/>
      <c r="AM45" s="27"/>
      <c r="AN45" s="27"/>
    </row>
    <row r="46" spans="1:40">
      <c r="A46" s="148">
        <v>45162</v>
      </c>
      <c r="B46">
        <v>5</v>
      </c>
      <c r="C46" t="s">
        <v>3169</v>
      </c>
      <c r="D46">
        <v>1014.9</v>
      </c>
      <c r="G46">
        <v>1014.69702</v>
      </c>
      <c r="H46">
        <v>116.13760000000001</v>
      </c>
      <c r="I46">
        <v>0.30323000000000006</v>
      </c>
      <c r="J46">
        <v>115.83437000000001</v>
      </c>
      <c r="K46">
        <v>987.34468907481062</v>
      </c>
      <c r="L46" s="277">
        <v>97.304384423520901</v>
      </c>
      <c r="M46">
        <v>965.35071551207329</v>
      </c>
      <c r="N46">
        <v>95.136843460136845</v>
      </c>
      <c r="O46">
        <v>128</v>
      </c>
      <c r="P46">
        <v>41.7</v>
      </c>
      <c r="Q46">
        <v>100</v>
      </c>
      <c r="R46">
        <v>3</v>
      </c>
      <c r="S46" t="s">
        <v>54</v>
      </c>
      <c r="T46" t="s">
        <v>54</v>
      </c>
      <c r="X46" s="44"/>
      <c r="Y46" s="44"/>
      <c r="Z46" s="44"/>
      <c r="AA46" s="44"/>
      <c r="AC46">
        <v>2022</v>
      </c>
      <c r="AD46" t="s">
        <v>76</v>
      </c>
      <c r="AE46">
        <v>18</v>
      </c>
      <c r="AF46" s="44"/>
      <c r="AG46" s="38" t="s">
        <v>3168</v>
      </c>
      <c r="AI46" s="27"/>
      <c r="AJ46" s="27"/>
      <c r="AK46" s="27"/>
      <c r="AL46" s="27"/>
      <c r="AM46" s="27"/>
      <c r="AN46" s="27"/>
    </row>
    <row r="47" spans="1:40">
      <c r="A47" s="148">
        <v>45162</v>
      </c>
      <c r="B47">
        <v>6</v>
      </c>
      <c r="C47" t="s">
        <v>3170</v>
      </c>
      <c r="D47">
        <v>2033.6</v>
      </c>
      <c r="G47">
        <v>2033.19328</v>
      </c>
      <c r="H47">
        <v>239.21870000000001</v>
      </c>
      <c r="I47">
        <v>0.30323000000000006</v>
      </c>
      <c r="J47">
        <v>238.91547</v>
      </c>
      <c r="K47">
        <v>2023.201497612195</v>
      </c>
      <c r="L47" s="277">
        <v>99.508567016914157</v>
      </c>
      <c r="M47">
        <v>1991.0948702997503</v>
      </c>
      <c r="N47">
        <v>97.929443790988245</v>
      </c>
      <c r="O47">
        <v>128</v>
      </c>
      <c r="P47">
        <v>41.7</v>
      </c>
      <c r="Q47">
        <v>100</v>
      </c>
      <c r="R47">
        <v>3</v>
      </c>
      <c r="S47" t="s">
        <v>54</v>
      </c>
      <c r="T47" t="s">
        <v>54</v>
      </c>
      <c r="X47" s="348">
        <f>A48</f>
        <v>45162</v>
      </c>
      <c r="Y47" s="44"/>
      <c r="Z47" s="44"/>
      <c r="AA47" s="44"/>
      <c r="AC47">
        <v>2022</v>
      </c>
      <c r="AD47" t="s">
        <v>76</v>
      </c>
      <c r="AE47">
        <v>19</v>
      </c>
      <c r="AF47" s="44"/>
      <c r="AG47" s="38" t="s">
        <v>3168</v>
      </c>
      <c r="AI47" s="27"/>
      <c r="AJ47" s="27"/>
      <c r="AK47" s="27"/>
      <c r="AL47" s="27"/>
      <c r="AM47" s="27"/>
      <c r="AN47" s="27"/>
    </row>
    <row r="48" spans="1:40">
      <c r="A48" s="148">
        <v>45162</v>
      </c>
      <c r="B48">
        <v>7</v>
      </c>
      <c r="C48" t="s">
        <v>3171</v>
      </c>
      <c r="D48">
        <v>2921.7</v>
      </c>
      <c r="G48">
        <v>2921.1156599999999</v>
      </c>
      <c r="H48">
        <v>346.12259999999998</v>
      </c>
      <c r="I48">
        <v>0.30323000000000006</v>
      </c>
      <c r="J48">
        <v>345.81936999999999</v>
      </c>
      <c r="K48">
        <v>2922.9101667271088</v>
      </c>
      <c r="L48" s="277">
        <v>100.0614322380891</v>
      </c>
      <c r="M48">
        <v>2882.0200452373019</v>
      </c>
      <c r="N48">
        <v>98.661620445295966</v>
      </c>
      <c r="O48">
        <v>128</v>
      </c>
      <c r="P48">
        <v>41.7</v>
      </c>
      <c r="Q48">
        <v>100</v>
      </c>
      <c r="R48">
        <v>3</v>
      </c>
      <c r="S48" t="s">
        <v>54</v>
      </c>
      <c r="T48" t="s">
        <v>54</v>
      </c>
      <c r="X48" s="208">
        <f>((J44-INDEX(LINEST($H$44:$H$49,$G$44:$G$49),2))/INDEX(LINEST($H$44:$H$49,$G$44:$G$49),1)/100.09)*12.01</f>
        <v>1.6729358809023178</v>
      </c>
      <c r="Y48" s="208">
        <f>(J44-X48)^2</f>
        <v>1.8760942001783942</v>
      </c>
      <c r="Z48" s="44"/>
      <c r="AA48" s="44"/>
      <c r="AC48">
        <v>2022</v>
      </c>
      <c r="AD48" t="s">
        <v>76</v>
      </c>
      <c r="AE48">
        <v>20</v>
      </c>
      <c r="AF48" s="44">
        <f>AVERAGE(AF159:AF160)</f>
        <v>52.769539895909041</v>
      </c>
      <c r="AG48" s="44" t="s">
        <v>52</v>
      </c>
      <c r="AH48" s="458">
        <f>AH159</f>
        <v>0.99987478509459182</v>
      </c>
      <c r="AI48" s="27"/>
      <c r="AJ48" s="27"/>
      <c r="AK48" s="27"/>
      <c r="AL48" s="27"/>
      <c r="AM48" s="27"/>
      <c r="AN48" s="27"/>
    </row>
    <row r="49" spans="1:40" ht="15" thickBot="1">
      <c r="A49" s="148">
        <v>45162</v>
      </c>
      <c r="B49">
        <v>8</v>
      </c>
      <c r="C49" t="s">
        <v>3172</v>
      </c>
      <c r="D49">
        <v>3732</v>
      </c>
      <c r="G49">
        <v>3731.2536</v>
      </c>
      <c r="H49">
        <v>443.45159999999998</v>
      </c>
      <c r="I49">
        <v>0.30323000000000006</v>
      </c>
      <c r="J49">
        <v>443.14837</v>
      </c>
      <c r="K49">
        <v>3742.0359896043433</v>
      </c>
      <c r="L49" s="277">
        <v>100.288974986968</v>
      </c>
      <c r="M49">
        <v>3693.1490718817654</v>
      </c>
      <c r="N49">
        <v>98.978774101062584</v>
      </c>
      <c r="O49">
        <v>128</v>
      </c>
      <c r="P49">
        <v>41.7</v>
      </c>
      <c r="Q49">
        <v>100</v>
      </c>
      <c r="R49">
        <v>3</v>
      </c>
      <c r="S49" t="s">
        <v>54</v>
      </c>
      <c r="T49" t="s">
        <v>54</v>
      </c>
      <c r="X49" s="208">
        <f t="shared" ref="X49:X53" si="3">((J45-INDEX(LINEST($H$44:$H$49,$G$44:$G$49),2))/INDEX(LINEST($H$44:$H$49,$G$44:$G$49),1)/100.09)*12.01</f>
        <v>33.005011328199807</v>
      </c>
      <c r="Y49" s="208">
        <f t="shared" ref="Y49:Y53" si="4">(J45-X49)^2</f>
        <v>2.7527499469406131</v>
      </c>
      <c r="Z49" s="44"/>
      <c r="AA49" s="44"/>
      <c r="AC49" s="195">
        <v>2022</v>
      </c>
      <c r="AD49" s="195" t="s">
        <v>76</v>
      </c>
      <c r="AE49" s="195">
        <v>21</v>
      </c>
      <c r="AF49" s="391">
        <f>AF161</f>
        <v>53.656208178012044</v>
      </c>
      <c r="AG49" s="391"/>
      <c r="AH49" s="391"/>
      <c r="AI49" s="392"/>
      <c r="AJ49" s="27"/>
      <c r="AK49" s="27"/>
      <c r="AL49" s="27"/>
      <c r="AM49" s="27"/>
      <c r="AN49" s="27"/>
    </row>
    <row r="50" spans="1:40">
      <c r="A50" s="148">
        <v>45162</v>
      </c>
      <c r="B50">
        <v>9</v>
      </c>
      <c r="C50" t="s">
        <v>61</v>
      </c>
      <c r="H50">
        <v>0.55979999999999996</v>
      </c>
      <c r="I50">
        <v>0.30323000000000006</v>
      </c>
      <c r="J50">
        <v>0.25656999999999991</v>
      </c>
      <c r="O50">
        <v>128</v>
      </c>
      <c r="P50">
        <v>41.7</v>
      </c>
      <c r="Q50">
        <v>100</v>
      </c>
      <c r="R50">
        <v>3</v>
      </c>
      <c r="S50" t="s">
        <v>54</v>
      </c>
      <c r="T50" t="s">
        <v>54</v>
      </c>
      <c r="X50" s="208">
        <f t="shared" si="3"/>
        <v>118.28126542350205</v>
      </c>
      <c r="Y50" s="208">
        <f t="shared" si="4"/>
        <v>5.9872972135552374</v>
      </c>
      <c r="Z50" s="44"/>
      <c r="AA50" s="44"/>
      <c r="AC50">
        <v>2022</v>
      </c>
      <c r="AD50" t="s">
        <v>93</v>
      </c>
      <c r="AE50">
        <v>1</v>
      </c>
      <c r="AF50" s="44">
        <f>L524</f>
        <v>77.489697265803002</v>
      </c>
      <c r="AG50" s="44"/>
      <c r="AH50" s="44"/>
      <c r="AI50" s="27"/>
      <c r="AJ50" s="27"/>
      <c r="AK50" s="27"/>
      <c r="AL50" s="27"/>
      <c r="AM50" s="27"/>
      <c r="AN50" s="27"/>
    </row>
    <row r="51" spans="1:40">
      <c r="A51" s="148">
        <v>45162</v>
      </c>
      <c r="B51">
        <v>10</v>
      </c>
      <c r="C51" t="s">
        <v>63</v>
      </c>
      <c r="H51">
        <v>0.27800000000000002</v>
      </c>
      <c r="I51">
        <v>0.30323000000000006</v>
      </c>
      <c r="J51">
        <v>-2.523000000000003E-2</v>
      </c>
      <c r="O51">
        <v>128</v>
      </c>
      <c r="P51">
        <v>41.7</v>
      </c>
      <c r="Q51">
        <v>100</v>
      </c>
      <c r="R51">
        <v>3</v>
      </c>
      <c r="S51" t="s">
        <v>54</v>
      </c>
      <c r="T51" t="s">
        <v>54</v>
      </c>
      <c r="X51" s="208">
        <f t="shared" si="3"/>
        <v>242.50994930272</v>
      </c>
      <c r="Y51" s="208">
        <f t="shared" si="4"/>
        <v>12.920281457682483</v>
      </c>
      <c r="Z51" s="44"/>
      <c r="AA51" s="44"/>
      <c r="AC51">
        <v>2022</v>
      </c>
      <c r="AD51" t="s">
        <v>93</v>
      </c>
      <c r="AE51">
        <v>2</v>
      </c>
      <c r="AF51" s="44">
        <f>L525</f>
        <v>74.926814619169619</v>
      </c>
      <c r="AG51" s="44"/>
      <c r="AH51" s="44"/>
      <c r="AI51" s="27"/>
      <c r="AJ51" s="27"/>
      <c r="AK51" s="27"/>
      <c r="AL51" s="27"/>
      <c r="AM51" s="27"/>
      <c r="AN51" s="27"/>
    </row>
    <row r="52" spans="1:40" ht="15.5">
      <c r="A52" s="148">
        <v>45162</v>
      </c>
      <c r="B52">
        <v>11</v>
      </c>
      <c r="C52" t="s">
        <v>64</v>
      </c>
      <c r="D52">
        <v>1007.9</v>
      </c>
      <c r="H52">
        <v>13.595800000000001</v>
      </c>
      <c r="I52">
        <v>0.30323000000000006</v>
      </c>
      <c r="J52">
        <v>13.292570000000001</v>
      </c>
      <c r="K52">
        <v>124.34767580730845</v>
      </c>
      <c r="L52" s="277">
        <v>12.337302887916305</v>
      </c>
      <c r="M52">
        <v>110.77879527893424</v>
      </c>
      <c r="N52">
        <v>10.991050231067986</v>
      </c>
      <c r="O52">
        <v>128</v>
      </c>
      <c r="P52">
        <v>41.7</v>
      </c>
      <c r="Q52">
        <v>100</v>
      </c>
      <c r="R52">
        <v>3</v>
      </c>
      <c r="S52" t="s">
        <v>54</v>
      </c>
      <c r="T52" t="s">
        <v>54</v>
      </c>
      <c r="X52" s="208">
        <f t="shared" si="3"/>
        <v>350.41060016264515</v>
      </c>
      <c r="Y52" s="208">
        <f t="shared" si="4"/>
        <v>21.079394406382711</v>
      </c>
      <c r="Z52" s="44"/>
      <c r="AA52" s="52" t="s">
        <v>42</v>
      </c>
      <c r="AC52">
        <v>2022</v>
      </c>
      <c r="AD52" t="s">
        <v>93</v>
      </c>
      <c r="AE52">
        <v>3</v>
      </c>
      <c r="AF52" s="44">
        <f>L528</f>
        <v>75.648154819494309</v>
      </c>
      <c r="AG52" s="44"/>
      <c r="AH52" s="44"/>
      <c r="AI52" s="27"/>
      <c r="AJ52" s="27"/>
      <c r="AK52" s="27"/>
      <c r="AL52" s="27"/>
      <c r="AM52" s="27"/>
      <c r="AN52" s="27"/>
    </row>
    <row r="53" spans="1:40" ht="15.5">
      <c r="A53" s="148">
        <v>45162</v>
      </c>
      <c r="B53">
        <v>12</v>
      </c>
      <c r="C53" t="s">
        <v>64</v>
      </c>
      <c r="D53">
        <v>1989.4</v>
      </c>
      <c r="H53">
        <v>27.241099999999999</v>
      </c>
      <c r="I53">
        <v>0.30323000000000006</v>
      </c>
      <c r="J53">
        <v>26.93787</v>
      </c>
      <c r="K53">
        <v>239.18721583039218</v>
      </c>
      <c r="L53" s="277">
        <v>12.023083132119844</v>
      </c>
      <c r="M53">
        <v>224.49720302248127</v>
      </c>
      <c r="N53">
        <v>11.284668896274317</v>
      </c>
      <c r="O53">
        <v>128</v>
      </c>
      <c r="P53">
        <v>41.7</v>
      </c>
      <c r="Q53">
        <v>100</v>
      </c>
      <c r="R53">
        <v>3</v>
      </c>
      <c r="S53" t="s">
        <v>54</v>
      </c>
      <c r="T53" t="s">
        <v>54</v>
      </c>
      <c r="X53" s="208">
        <f t="shared" si="3"/>
        <v>448.64707654513114</v>
      </c>
      <c r="Y53" s="208">
        <f t="shared" si="4"/>
        <v>30.235773669468063</v>
      </c>
      <c r="Z53" s="44"/>
      <c r="AA53" s="347">
        <f>(Y54/$AL$15)*100</f>
        <v>2.0780746973696691</v>
      </c>
      <c r="AC53">
        <v>2022</v>
      </c>
      <c r="AD53" t="s">
        <v>93</v>
      </c>
      <c r="AE53">
        <v>4</v>
      </c>
      <c r="AF53" s="44">
        <f t="shared" ref="AF53:AF54" si="5">L529</f>
        <v>66.848783464945782</v>
      </c>
      <c r="AG53" s="44"/>
      <c r="AH53" s="44"/>
      <c r="AI53" s="27"/>
      <c r="AJ53" s="27"/>
      <c r="AK53" s="27"/>
      <c r="AL53" s="27"/>
      <c r="AM53" s="27"/>
      <c r="AN53" s="27"/>
    </row>
    <row r="54" spans="1:40" ht="15.5">
      <c r="A54" s="148">
        <v>45162</v>
      </c>
      <c r="B54">
        <v>13</v>
      </c>
      <c r="C54" t="s">
        <v>65</v>
      </c>
      <c r="H54">
        <v>0.32369999999999999</v>
      </c>
      <c r="I54">
        <v>0.30323000000000006</v>
      </c>
      <c r="J54">
        <v>2.0469999999999933E-2</v>
      </c>
      <c r="O54">
        <v>128</v>
      </c>
      <c r="P54">
        <v>41.7</v>
      </c>
      <c r="Q54">
        <v>100</v>
      </c>
      <c r="R54">
        <v>3</v>
      </c>
      <c r="S54" t="s">
        <v>54</v>
      </c>
      <c r="T54" t="s">
        <v>54</v>
      </c>
      <c r="X54" s="44"/>
      <c r="Y54" s="347">
        <f>SQRT(SUM(Y48:Y53)/(6-2))</f>
        <v>4.325840695581828</v>
      </c>
      <c r="Z54" s="52" t="s">
        <v>60</v>
      </c>
      <c r="AA54" s="44"/>
      <c r="AC54">
        <v>2022</v>
      </c>
      <c r="AD54" t="s">
        <v>93</v>
      </c>
      <c r="AE54">
        <v>5</v>
      </c>
      <c r="AF54" s="44">
        <f t="shared" si="5"/>
        <v>76.970075613599562</v>
      </c>
      <c r="AG54" s="44"/>
      <c r="AH54" s="44"/>
      <c r="AJ54" s="27"/>
      <c r="AK54" s="27"/>
      <c r="AL54" s="27"/>
      <c r="AM54" s="27"/>
      <c r="AN54" s="27"/>
    </row>
    <row r="55" spans="1:40" ht="15.5">
      <c r="A55" s="148">
        <v>45162</v>
      </c>
      <c r="B55">
        <v>14</v>
      </c>
      <c r="C55" t="s">
        <v>66</v>
      </c>
      <c r="H55">
        <v>0.38919999999999999</v>
      </c>
      <c r="I55">
        <v>0.30323000000000006</v>
      </c>
      <c r="J55">
        <v>0.30323000000000006</v>
      </c>
      <c r="O55">
        <v>128</v>
      </c>
      <c r="P55">
        <v>41.7</v>
      </c>
      <c r="Q55">
        <v>100</v>
      </c>
      <c r="R55">
        <v>3</v>
      </c>
      <c r="S55" t="s">
        <v>54</v>
      </c>
      <c r="T55" t="s">
        <v>54</v>
      </c>
      <c r="X55" s="44"/>
      <c r="Y55" s="347">
        <f>(Y54/12.01)*100.09</f>
        <v>36.051073706976283</v>
      </c>
      <c r="Z55" s="52" t="s">
        <v>62</v>
      </c>
      <c r="AA55" s="44"/>
      <c r="AC55">
        <v>2022</v>
      </c>
      <c r="AD55" t="s">
        <v>93</v>
      </c>
      <c r="AE55">
        <v>6</v>
      </c>
      <c r="AF55" s="44">
        <f>L555</f>
        <v>75.414397032601002</v>
      </c>
      <c r="AG55" s="44"/>
      <c r="AH55" s="44"/>
      <c r="AI55" s="44"/>
      <c r="AJ55" s="27"/>
      <c r="AK55" s="27"/>
      <c r="AL55" s="27"/>
      <c r="AM55" s="27"/>
      <c r="AN55" s="27"/>
    </row>
    <row r="56" spans="1:40">
      <c r="A56" s="148">
        <v>45162</v>
      </c>
      <c r="B56">
        <v>15</v>
      </c>
      <c r="C56" t="s">
        <v>99</v>
      </c>
      <c r="D56">
        <v>2535.1999999999998</v>
      </c>
      <c r="E56" t="s">
        <v>3158</v>
      </c>
      <c r="H56">
        <v>197.61799999999999</v>
      </c>
      <c r="I56">
        <v>0.30323000000000006</v>
      </c>
      <c r="J56">
        <v>197.31476999999998</v>
      </c>
      <c r="K56">
        <v>1673.087886871625</v>
      </c>
      <c r="L56" s="277">
        <v>65.994315512449703</v>
      </c>
      <c r="M56">
        <v>1644.399278043297</v>
      </c>
      <c r="N56">
        <v>64.862704245948919</v>
      </c>
      <c r="O56">
        <v>128</v>
      </c>
      <c r="P56">
        <v>41.7</v>
      </c>
      <c r="Q56">
        <v>100</v>
      </c>
      <c r="R56">
        <v>3</v>
      </c>
      <c r="S56" t="s">
        <v>54</v>
      </c>
      <c r="T56" t="s">
        <v>54</v>
      </c>
      <c r="X56" s="44"/>
      <c r="Y56" s="44"/>
      <c r="Z56" s="44"/>
      <c r="AA56" s="44"/>
      <c r="AC56">
        <v>2022</v>
      </c>
      <c r="AD56" t="s">
        <v>93</v>
      </c>
      <c r="AE56">
        <v>7</v>
      </c>
      <c r="AF56" s="44">
        <f>AVERAGE(L556,L560)</f>
        <v>74.20951087100832</v>
      </c>
      <c r="AG56" s="64" t="s">
        <v>52</v>
      </c>
      <c r="AH56">
        <f>((L556-L560)/AVERAGE(L556,L560))*100</f>
        <v>-6.839406835216412E-2</v>
      </c>
      <c r="AI56" s="27"/>
      <c r="AJ56" s="27"/>
      <c r="AK56" s="27"/>
      <c r="AL56" s="27"/>
      <c r="AM56" s="27"/>
      <c r="AN56" s="27"/>
    </row>
    <row r="57" spans="1:40">
      <c r="A57" s="148">
        <v>45162</v>
      </c>
      <c r="B57">
        <v>16</v>
      </c>
      <c r="C57" t="s">
        <v>100</v>
      </c>
      <c r="D57">
        <v>2567.3000000000002</v>
      </c>
      <c r="H57">
        <v>188.30090000000001</v>
      </c>
      <c r="I57">
        <v>0.30323000000000006</v>
      </c>
      <c r="J57">
        <v>187.99767</v>
      </c>
      <c r="K57">
        <v>1594.6746985687607</v>
      </c>
      <c r="L57" s="277">
        <v>62.114856018726314</v>
      </c>
      <c r="M57">
        <v>1566.7516061865115</v>
      </c>
      <c r="N57">
        <v>61.027211708273718</v>
      </c>
      <c r="O57">
        <v>128</v>
      </c>
      <c r="P57">
        <v>41.7</v>
      </c>
      <c r="Q57">
        <v>100</v>
      </c>
      <c r="R57">
        <v>3</v>
      </c>
      <c r="S57" t="s">
        <v>54</v>
      </c>
      <c r="T57" t="s">
        <v>54</v>
      </c>
      <c r="X57" s="44"/>
      <c r="Y57" s="44"/>
      <c r="Z57" s="44"/>
      <c r="AA57" s="44"/>
      <c r="AC57">
        <v>2022</v>
      </c>
      <c r="AD57" t="s">
        <v>93</v>
      </c>
      <c r="AE57">
        <v>8</v>
      </c>
      <c r="AF57" s="44">
        <f>L557</f>
        <v>72.132016068871607</v>
      </c>
      <c r="AG57" s="44"/>
      <c r="AH57" s="44"/>
      <c r="AI57" s="27"/>
      <c r="AJ57" s="27"/>
      <c r="AK57" s="27"/>
      <c r="AL57" s="27"/>
      <c r="AM57" s="27"/>
      <c r="AN57" s="27"/>
    </row>
    <row r="58" spans="1:40">
      <c r="A58" s="148">
        <v>45162</v>
      </c>
      <c r="B58">
        <v>17</v>
      </c>
      <c r="C58" t="s">
        <v>3173</v>
      </c>
      <c r="D58">
        <v>2192.6999999999998</v>
      </c>
      <c r="H58">
        <v>148.78120000000001</v>
      </c>
      <c r="I58">
        <v>0.30323000000000006</v>
      </c>
      <c r="J58">
        <v>148.47797</v>
      </c>
      <c r="K58">
        <v>1262.0748898543857</v>
      </c>
      <c r="L58" s="277">
        <v>57.558028451424534</v>
      </c>
      <c r="M58">
        <v>1237.3988357452124</v>
      </c>
      <c r="N58">
        <v>56.432655436001845</v>
      </c>
      <c r="O58">
        <v>128</v>
      </c>
      <c r="P58">
        <v>41.7</v>
      </c>
      <c r="Q58">
        <v>100</v>
      </c>
      <c r="R58">
        <v>3</v>
      </c>
      <c r="S58" t="s">
        <v>54</v>
      </c>
      <c r="T58" t="s">
        <v>54</v>
      </c>
      <c r="X58" s="44"/>
      <c r="Y58" s="44"/>
      <c r="Z58" s="44"/>
      <c r="AA58" s="44"/>
      <c r="AC58">
        <v>2022</v>
      </c>
      <c r="AD58" t="s">
        <v>93</v>
      </c>
      <c r="AE58">
        <v>9</v>
      </c>
      <c r="AF58" s="44">
        <f>L558</f>
        <v>72.860644900303129</v>
      </c>
      <c r="AG58" s="44"/>
      <c r="AH58" s="44"/>
      <c r="AI58" s="27"/>
      <c r="AJ58" s="27"/>
      <c r="AK58" s="27"/>
      <c r="AL58" s="27"/>
      <c r="AM58" s="27"/>
      <c r="AN58" s="27"/>
    </row>
    <row r="59" spans="1:40">
      <c r="A59" s="148">
        <v>45162</v>
      </c>
      <c r="B59">
        <v>18</v>
      </c>
      <c r="C59" t="s">
        <v>3174</v>
      </c>
      <c r="D59">
        <v>2162.5</v>
      </c>
      <c r="H59">
        <v>145.2784</v>
      </c>
      <c r="I59">
        <v>0.30323000000000006</v>
      </c>
      <c r="J59">
        <v>144.97516999999999</v>
      </c>
      <c r="K59">
        <v>1232.5951465879966</v>
      </c>
      <c r="L59" s="277">
        <v>56.998619495398685</v>
      </c>
      <c r="M59">
        <v>1208.2068913655287</v>
      </c>
      <c r="N59">
        <v>55.870838907076475</v>
      </c>
      <c r="O59">
        <v>128</v>
      </c>
      <c r="P59">
        <v>41.7</v>
      </c>
      <c r="Q59">
        <v>100</v>
      </c>
      <c r="R59">
        <v>3</v>
      </c>
      <c r="S59" t="s">
        <v>54</v>
      </c>
      <c r="T59" t="s">
        <v>54</v>
      </c>
      <c r="AA59" s="44"/>
      <c r="AC59">
        <v>2022</v>
      </c>
      <c r="AD59" t="s">
        <v>93</v>
      </c>
      <c r="AE59">
        <v>10</v>
      </c>
      <c r="AF59" s="44">
        <f>L561</f>
        <v>77.050570104651754</v>
      </c>
      <c r="AG59" s="44"/>
      <c r="AH59" s="44"/>
      <c r="AI59" s="27"/>
      <c r="AJ59" s="27"/>
      <c r="AK59" s="27"/>
      <c r="AL59" s="27"/>
      <c r="AM59" s="27"/>
      <c r="AN59" s="27"/>
    </row>
    <row r="60" spans="1:40">
      <c r="A60" s="148">
        <v>45162</v>
      </c>
      <c r="B60">
        <v>19</v>
      </c>
      <c r="C60" t="s">
        <v>102</v>
      </c>
      <c r="D60">
        <v>2747.8</v>
      </c>
      <c r="H60">
        <v>219.15309999999999</v>
      </c>
      <c r="I60">
        <v>0.30323000000000006</v>
      </c>
      <c r="J60">
        <v>218.84986999999998</v>
      </c>
      <c r="K60">
        <v>1854.3283856771557</v>
      </c>
      <c r="L60" s="277">
        <v>67.484110403856008</v>
      </c>
      <c r="M60">
        <v>1823.8703986927558</v>
      </c>
      <c r="N60">
        <v>66.375660480848524</v>
      </c>
      <c r="O60">
        <v>128</v>
      </c>
      <c r="P60">
        <v>41.7</v>
      </c>
      <c r="Q60">
        <v>100</v>
      </c>
      <c r="R60">
        <v>3</v>
      </c>
      <c r="S60" t="s">
        <v>54</v>
      </c>
      <c r="T60" t="s">
        <v>54</v>
      </c>
      <c r="AA60" s="44"/>
      <c r="AC60">
        <v>2022</v>
      </c>
      <c r="AD60" t="s">
        <v>93</v>
      </c>
      <c r="AE60">
        <v>11</v>
      </c>
      <c r="AF60" s="44">
        <f>AVERAGE(AF230:AF231)</f>
        <v>78.872279924359887</v>
      </c>
      <c r="AG60" s="64" t="s">
        <v>52</v>
      </c>
      <c r="AH60" s="44">
        <f>AH230</f>
        <v>-1.5553428042268465</v>
      </c>
      <c r="AI60" s="27"/>
      <c r="AJ60" s="27"/>
      <c r="AK60" s="27"/>
      <c r="AL60" s="27"/>
      <c r="AM60" s="27"/>
      <c r="AN60" s="27"/>
    </row>
    <row r="61" spans="1:40">
      <c r="A61" s="148">
        <v>45162</v>
      </c>
      <c r="B61">
        <v>20</v>
      </c>
      <c r="C61" t="s">
        <v>104</v>
      </c>
      <c r="D61">
        <v>2799.8</v>
      </c>
      <c r="H61">
        <v>242.5736</v>
      </c>
      <c r="I61">
        <v>0.30323000000000006</v>
      </c>
      <c r="J61">
        <v>242.27036999999999</v>
      </c>
      <c r="K61">
        <v>2051.4365069431324</v>
      </c>
      <c r="L61" s="277">
        <v>73.270823163909299</v>
      </c>
      <c r="M61">
        <v>2019.0542325811823</v>
      </c>
      <c r="N61">
        <v>72.114230751524474</v>
      </c>
      <c r="O61">
        <v>128</v>
      </c>
      <c r="P61">
        <v>41.7</v>
      </c>
      <c r="Q61">
        <v>100</v>
      </c>
      <c r="R61">
        <v>3</v>
      </c>
      <c r="S61" t="s">
        <v>54</v>
      </c>
      <c r="T61" t="s">
        <v>54</v>
      </c>
      <c r="AA61" s="44"/>
      <c r="AC61">
        <v>2022</v>
      </c>
      <c r="AD61" t="s">
        <v>93</v>
      </c>
      <c r="AE61">
        <v>12</v>
      </c>
      <c r="AF61" s="44">
        <f>L562</f>
        <v>75.89706552902544</v>
      </c>
      <c r="AG61" s="44"/>
      <c r="AH61" s="44"/>
      <c r="AI61" s="27"/>
      <c r="AJ61" s="27"/>
      <c r="AK61" s="27"/>
      <c r="AL61" s="27"/>
      <c r="AM61" s="27"/>
      <c r="AN61" s="27"/>
    </row>
    <row r="62" spans="1:40">
      <c r="A62" s="148">
        <v>45162</v>
      </c>
      <c r="B62">
        <v>21</v>
      </c>
      <c r="C62" t="s">
        <v>105</v>
      </c>
      <c r="D62">
        <v>2274.6</v>
      </c>
      <c r="H62">
        <v>190.47989999999999</v>
      </c>
      <c r="I62">
        <v>0.30323000000000006</v>
      </c>
      <c r="J62">
        <v>190.17666999999997</v>
      </c>
      <c r="K62">
        <v>1613.01327358802</v>
      </c>
      <c r="L62" s="277">
        <v>70.914150777632116</v>
      </c>
      <c r="M62">
        <v>1584.9111490674436</v>
      </c>
      <c r="N62">
        <v>69.678675330495196</v>
      </c>
      <c r="O62">
        <v>128</v>
      </c>
      <c r="P62">
        <v>41.7</v>
      </c>
      <c r="Q62">
        <v>100</v>
      </c>
      <c r="R62">
        <v>3</v>
      </c>
      <c r="S62" t="s">
        <v>54</v>
      </c>
      <c r="T62" t="s">
        <v>54</v>
      </c>
      <c r="AA62" s="44"/>
      <c r="AC62">
        <v>2022</v>
      </c>
      <c r="AD62" t="s">
        <v>93</v>
      </c>
      <c r="AE62">
        <v>13</v>
      </c>
      <c r="AF62" s="44">
        <f>AVERAGE(AF237:AF238)</f>
        <v>67.236085237491039</v>
      </c>
      <c r="AG62" s="64" t="s">
        <v>52</v>
      </c>
      <c r="AH62" s="44">
        <f>AH237</f>
        <v>-3.6937597442062922</v>
      </c>
      <c r="AI62" s="27"/>
      <c r="AJ62" s="27"/>
      <c r="AK62" s="27"/>
      <c r="AL62" s="27"/>
      <c r="AM62" s="27"/>
      <c r="AN62" s="27"/>
    </row>
    <row r="63" spans="1:40">
      <c r="A63" s="148">
        <v>45162</v>
      </c>
      <c r="B63">
        <v>23</v>
      </c>
      <c r="C63" t="s">
        <v>74</v>
      </c>
      <c r="H63">
        <v>0.32129999999999997</v>
      </c>
      <c r="I63">
        <v>0.30323000000000006</v>
      </c>
      <c r="J63">
        <v>1.8069999999999919E-2</v>
      </c>
      <c r="M63">
        <v>0.15059336386344646</v>
      </c>
      <c r="O63">
        <v>128</v>
      </c>
      <c r="P63">
        <v>41.7</v>
      </c>
      <c r="Q63">
        <v>100</v>
      </c>
      <c r="R63">
        <v>3</v>
      </c>
      <c r="S63" t="s">
        <v>54</v>
      </c>
      <c r="T63" t="s">
        <v>54</v>
      </c>
      <c r="AA63" s="44"/>
      <c r="AC63">
        <v>2022</v>
      </c>
      <c r="AD63" t="s">
        <v>93</v>
      </c>
      <c r="AE63">
        <v>14</v>
      </c>
      <c r="AF63" s="44">
        <f>AVERAGE(AF239:AF240)</f>
        <v>62.362810057453608</v>
      </c>
      <c r="AG63" s="64" t="s">
        <v>52</v>
      </c>
      <c r="AH63" s="44">
        <f>AH239</f>
        <v>-0.79519841552636361</v>
      </c>
      <c r="AI63" s="27"/>
      <c r="AJ63" s="27"/>
      <c r="AK63" s="27"/>
      <c r="AL63" s="27"/>
      <c r="AM63" s="27"/>
      <c r="AN63" s="27"/>
    </row>
    <row r="64" spans="1:40">
      <c r="A64" s="148">
        <v>45162</v>
      </c>
      <c r="B64">
        <v>22</v>
      </c>
      <c r="C64" t="s">
        <v>107</v>
      </c>
      <c r="D64">
        <v>2387.1999999999998</v>
      </c>
      <c r="H64">
        <v>199.6986</v>
      </c>
      <c r="I64">
        <v>0.30323000000000006</v>
      </c>
      <c r="J64">
        <v>199.39536999999999</v>
      </c>
      <c r="K64">
        <v>1690.59832247744</v>
      </c>
      <c r="L64" s="277">
        <v>70.819299701635401</v>
      </c>
      <c r="M64">
        <v>1661.7387663030809</v>
      </c>
      <c r="N64">
        <v>69.610370572347563</v>
      </c>
      <c r="O64">
        <v>128</v>
      </c>
      <c r="P64">
        <v>41.7</v>
      </c>
      <c r="Q64">
        <v>100</v>
      </c>
      <c r="R64">
        <v>3</v>
      </c>
      <c r="S64" t="s">
        <v>54</v>
      </c>
      <c r="T64" t="s">
        <v>54</v>
      </c>
      <c r="AA64" s="44"/>
      <c r="AC64">
        <v>2022</v>
      </c>
      <c r="AD64" t="s">
        <v>93</v>
      </c>
      <c r="AE64">
        <v>15</v>
      </c>
      <c r="AF64" s="44">
        <f>AVERAGE(AF241:AF244)</f>
        <v>57.706363580897133</v>
      </c>
      <c r="AG64" s="64" t="s">
        <v>3157</v>
      </c>
      <c r="AH64" s="44">
        <f>AH241</f>
        <v>-0.25705159754981238</v>
      </c>
      <c r="AI64" s="44">
        <f>AH242</f>
        <v>-1.2264576063717452</v>
      </c>
      <c r="AJ64" s="44">
        <f>AH243</f>
        <v>0.34530102338662333</v>
      </c>
      <c r="AK64" s="44">
        <f>AH244</f>
        <v>1.1382081805349462</v>
      </c>
      <c r="AL64" s="44"/>
      <c r="AM64" s="27"/>
      <c r="AN64" s="27"/>
    </row>
    <row r="65" spans="1:40">
      <c r="A65" s="148">
        <v>45162</v>
      </c>
      <c r="B65">
        <v>24</v>
      </c>
      <c r="C65" t="s">
        <v>108</v>
      </c>
      <c r="D65">
        <v>2929.9</v>
      </c>
      <c r="H65">
        <v>251.72229999999999</v>
      </c>
      <c r="I65">
        <v>0.30323000000000006</v>
      </c>
      <c r="J65">
        <v>251.41906999999998</v>
      </c>
      <c r="K65">
        <v>2128.4324322660777</v>
      </c>
      <c r="L65" s="277">
        <v>72.645224487732605</v>
      </c>
      <c r="M65">
        <v>2095.2984776269773</v>
      </c>
      <c r="N65">
        <v>71.51433419662709</v>
      </c>
      <c r="O65">
        <v>128</v>
      </c>
      <c r="P65">
        <v>41.7</v>
      </c>
      <c r="Q65">
        <v>100</v>
      </c>
      <c r="R65">
        <v>3</v>
      </c>
      <c r="S65" t="s">
        <v>54</v>
      </c>
      <c r="T65" t="s">
        <v>54</v>
      </c>
      <c r="AA65" s="44"/>
      <c r="AC65">
        <v>2022</v>
      </c>
      <c r="AD65" t="s">
        <v>93</v>
      </c>
      <c r="AE65">
        <v>16</v>
      </c>
      <c r="AF65" s="44">
        <f>AVERAGE(AF245:AF247)</f>
        <v>68.556134240857176</v>
      </c>
      <c r="AG65" s="64" t="s">
        <v>3175</v>
      </c>
      <c r="AH65" s="44">
        <f>AH245</f>
        <v>-1.5637168706666631</v>
      </c>
      <c r="AI65" s="44">
        <f>AH246</f>
        <v>2.5488711298190045</v>
      </c>
      <c r="AJ65" s="44">
        <f>AH247</f>
        <v>-0.98515425915234167</v>
      </c>
      <c r="AK65" s="44"/>
      <c r="AL65" s="44"/>
      <c r="AM65" s="27"/>
      <c r="AN65" s="27"/>
    </row>
    <row r="66" spans="1:40">
      <c r="A66" s="148">
        <v>45162</v>
      </c>
      <c r="B66">
        <v>25</v>
      </c>
      <c r="C66" t="s">
        <v>109</v>
      </c>
      <c r="D66">
        <v>2926</v>
      </c>
      <c r="H66">
        <v>244.2</v>
      </c>
      <c r="I66">
        <v>0.30323000000000006</v>
      </c>
      <c r="J66">
        <v>243.89676999999998</v>
      </c>
      <c r="K66">
        <v>2065.1243722076224</v>
      </c>
      <c r="L66" s="277">
        <v>70.578413267519551</v>
      </c>
      <c r="M66">
        <v>2032.6084687177351</v>
      </c>
      <c r="N66">
        <v>69.467138370394224</v>
      </c>
      <c r="O66">
        <v>128</v>
      </c>
      <c r="P66">
        <v>41.7</v>
      </c>
      <c r="Q66">
        <v>100</v>
      </c>
      <c r="R66">
        <v>3</v>
      </c>
      <c r="S66" t="s">
        <v>54</v>
      </c>
      <c r="T66" t="s">
        <v>54</v>
      </c>
      <c r="AA66" s="44"/>
      <c r="AC66">
        <v>2022</v>
      </c>
      <c r="AD66" t="s">
        <v>93</v>
      </c>
      <c r="AE66">
        <v>17</v>
      </c>
      <c r="AF66" s="44">
        <f>AVERAGE(AF248:AF249)</f>
        <v>73.514730433964701</v>
      </c>
      <c r="AG66" s="64" t="s">
        <v>52</v>
      </c>
      <c r="AH66" s="44">
        <f>AH248</f>
        <v>-0.66356026503967458</v>
      </c>
      <c r="AI66" s="44"/>
      <c r="AJ66" s="44"/>
      <c r="AK66" s="44"/>
      <c r="AL66" s="44"/>
      <c r="AM66" s="27"/>
      <c r="AN66" s="27"/>
    </row>
    <row r="67" spans="1:40">
      <c r="A67" s="148">
        <v>45162</v>
      </c>
      <c r="B67">
        <v>26</v>
      </c>
      <c r="C67" t="s">
        <v>117</v>
      </c>
      <c r="D67">
        <v>2727.2</v>
      </c>
      <c r="H67">
        <v>250.46119999999999</v>
      </c>
      <c r="I67">
        <v>0.30323000000000006</v>
      </c>
      <c r="J67">
        <v>250.15796999999998</v>
      </c>
      <c r="K67">
        <v>2117.8189504134903</v>
      </c>
      <c r="L67" s="514">
        <v>77.655432326690018</v>
      </c>
      <c r="M67">
        <v>2084.7886109325559</v>
      </c>
      <c r="N67">
        <v>76.444287581862582</v>
      </c>
      <c r="O67">
        <v>128</v>
      </c>
      <c r="P67">
        <v>41.7</v>
      </c>
      <c r="Q67">
        <v>100</v>
      </c>
      <c r="R67">
        <v>3</v>
      </c>
      <c r="S67" t="s">
        <v>54</v>
      </c>
      <c r="T67" t="s">
        <v>54</v>
      </c>
      <c r="AA67" s="44"/>
      <c r="AC67">
        <v>2022</v>
      </c>
      <c r="AD67" t="s">
        <v>93</v>
      </c>
      <c r="AE67">
        <v>18</v>
      </c>
      <c r="AF67" s="44">
        <f>AVERAGE(AF250:AF251)</f>
        <v>71.572303862458924</v>
      </c>
      <c r="AG67" s="64" t="s">
        <v>52</v>
      </c>
      <c r="AH67" s="44">
        <f>AH250</f>
        <v>-1.8391278450155397</v>
      </c>
      <c r="AI67" s="44"/>
      <c r="AJ67" s="44"/>
      <c r="AK67" s="44"/>
      <c r="AL67" s="44"/>
      <c r="AM67" s="27"/>
      <c r="AN67" s="27"/>
    </row>
    <row r="68" spans="1:40">
      <c r="A68" s="148">
        <v>45162</v>
      </c>
      <c r="B68">
        <v>27</v>
      </c>
      <c r="C68" t="s">
        <v>118</v>
      </c>
      <c r="D68">
        <v>2737.2</v>
      </c>
      <c r="H68">
        <v>243.6437</v>
      </c>
      <c r="I68">
        <v>0.30323000000000006</v>
      </c>
      <c r="J68">
        <v>243.34046999999998</v>
      </c>
      <c r="K68">
        <v>2060.4425230643392</v>
      </c>
      <c r="L68" s="277">
        <v>75.275556154622947</v>
      </c>
      <c r="M68">
        <v>2027.972326586178</v>
      </c>
      <c r="N68">
        <v>74.089300255230825</v>
      </c>
      <c r="O68">
        <v>128</v>
      </c>
      <c r="P68">
        <v>41.7</v>
      </c>
      <c r="Q68">
        <v>100</v>
      </c>
      <c r="R68">
        <v>3</v>
      </c>
      <c r="S68" t="s">
        <v>54</v>
      </c>
      <c r="T68" t="s">
        <v>54</v>
      </c>
      <c r="AA68" s="44"/>
      <c r="AC68">
        <v>2022</v>
      </c>
      <c r="AD68" t="s">
        <v>93</v>
      </c>
      <c r="AE68">
        <v>19</v>
      </c>
      <c r="AF68" s="44">
        <f>AVERAGE(AF252:AF253)</f>
        <v>71.209945716490836</v>
      </c>
      <c r="AG68" s="64" t="s">
        <v>52</v>
      </c>
      <c r="AH68" s="44">
        <f>AH252</f>
        <v>-1.097167006447981</v>
      </c>
      <c r="AI68" s="44"/>
      <c r="AJ68" s="44"/>
      <c r="AK68" s="44"/>
      <c r="AL68" s="44"/>
      <c r="AM68" s="27"/>
      <c r="AN68" s="27"/>
    </row>
    <row r="69" spans="1:40">
      <c r="A69" s="148">
        <v>45162</v>
      </c>
      <c r="B69">
        <v>28</v>
      </c>
      <c r="C69" t="s">
        <v>3176</v>
      </c>
      <c r="D69">
        <v>2812.2</v>
      </c>
      <c r="H69">
        <v>102.78060000000001</v>
      </c>
      <c r="I69">
        <v>0.30323000000000006</v>
      </c>
      <c r="J69">
        <v>102.47737000000001</v>
      </c>
      <c r="K69">
        <v>874.93149654050728</v>
      </c>
      <c r="L69" s="277">
        <v>31.111994045249531</v>
      </c>
      <c r="M69">
        <v>854.03496780183195</v>
      </c>
      <c r="N69">
        <v>30.368927096288743</v>
      </c>
      <c r="O69">
        <v>128</v>
      </c>
      <c r="P69">
        <v>41.7</v>
      </c>
      <c r="Q69">
        <v>100</v>
      </c>
      <c r="R69">
        <v>3</v>
      </c>
      <c r="S69" t="s">
        <v>54</v>
      </c>
      <c r="T69" t="s">
        <v>54</v>
      </c>
      <c r="AA69" s="44"/>
      <c r="AC69">
        <v>2022</v>
      </c>
      <c r="AD69" t="s">
        <v>93</v>
      </c>
      <c r="AE69">
        <v>20</v>
      </c>
      <c r="AF69" s="44">
        <f>AVERAGE(AF254:AF256)</f>
        <v>72.645345110830917</v>
      </c>
      <c r="AG69" s="64" t="s">
        <v>3175</v>
      </c>
      <c r="AH69" s="44">
        <f>AH254</f>
        <v>-1.6604380931425694E-4</v>
      </c>
      <c r="AI69" s="44">
        <f>AH255</f>
        <v>-0.91796686690690499</v>
      </c>
      <c r="AJ69" s="44">
        <f>AH257</f>
        <v>0.60130916603033013</v>
      </c>
      <c r="AK69" s="44"/>
      <c r="AL69" s="44"/>
      <c r="AM69" s="27"/>
      <c r="AN69" s="27"/>
    </row>
    <row r="70" spans="1:40">
      <c r="A70" s="148">
        <v>45162</v>
      </c>
      <c r="B70">
        <v>29</v>
      </c>
      <c r="C70" t="s">
        <v>82</v>
      </c>
      <c r="H70">
        <v>0.188</v>
      </c>
      <c r="I70">
        <v>0.30323000000000006</v>
      </c>
      <c r="J70">
        <v>-0.11523000000000005</v>
      </c>
      <c r="O70">
        <v>128</v>
      </c>
      <c r="P70">
        <v>41.7</v>
      </c>
      <c r="Q70">
        <v>100</v>
      </c>
      <c r="R70">
        <v>3</v>
      </c>
      <c r="S70" t="s">
        <v>54</v>
      </c>
      <c r="T70" t="s">
        <v>54</v>
      </c>
      <c r="AA70" s="44"/>
      <c r="AC70">
        <v>2022</v>
      </c>
      <c r="AD70" t="s">
        <v>93</v>
      </c>
      <c r="AE70">
        <v>21</v>
      </c>
      <c r="AF70" s="44">
        <f>AVERAGE(AF257:AF258)</f>
        <v>70.36685210175213</v>
      </c>
      <c r="AG70" s="64" t="s">
        <v>52</v>
      </c>
      <c r="AH70" s="44">
        <f>AH257</f>
        <v>0.60130916603033013</v>
      </c>
      <c r="AI70" s="27"/>
      <c r="AJ70" s="27"/>
      <c r="AK70" s="27"/>
      <c r="AL70" s="27"/>
      <c r="AM70" s="27"/>
      <c r="AN70" s="27"/>
    </row>
    <row r="71" spans="1:40">
      <c r="A71" s="148">
        <v>45162</v>
      </c>
      <c r="B71">
        <v>30</v>
      </c>
      <c r="C71" t="s">
        <v>3177</v>
      </c>
      <c r="D71">
        <v>2069.9</v>
      </c>
      <c r="G71">
        <v>2069.4860200000003</v>
      </c>
      <c r="H71">
        <v>243.16380000000001</v>
      </c>
      <c r="I71">
        <v>0.30323000000000006</v>
      </c>
      <c r="J71">
        <v>242.86057</v>
      </c>
      <c r="K71">
        <v>2056.4036602136084</v>
      </c>
      <c r="L71" s="277">
        <v>99.367844978900038</v>
      </c>
      <c r="M71">
        <v>2023.9728935303913</v>
      </c>
      <c r="N71">
        <v>97.781192015575201</v>
      </c>
      <c r="O71">
        <v>128</v>
      </c>
      <c r="P71">
        <v>41.7</v>
      </c>
      <c r="Q71">
        <v>100</v>
      </c>
      <c r="R71">
        <v>3</v>
      </c>
      <c r="S71" t="s">
        <v>54</v>
      </c>
      <c r="T71" t="s">
        <v>54</v>
      </c>
      <c r="AA71" s="44"/>
      <c r="AF71" s="44"/>
      <c r="AG71" s="44"/>
      <c r="AH71" s="44"/>
    </row>
    <row r="72" spans="1:40">
      <c r="A72" s="148">
        <v>45162</v>
      </c>
      <c r="B72">
        <v>31</v>
      </c>
      <c r="C72" t="s">
        <v>84</v>
      </c>
      <c r="H72">
        <v>0.23050000000000001</v>
      </c>
      <c r="I72">
        <v>0.30323000000000006</v>
      </c>
      <c r="J72">
        <v>-7.2730000000000045E-2</v>
      </c>
      <c r="O72">
        <v>128</v>
      </c>
      <c r="P72">
        <v>41.7</v>
      </c>
      <c r="Q72">
        <v>100</v>
      </c>
      <c r="R72">
        <v>3</v>
      </c>
      <c r="S72" t="s">
        <v>54</v>
      </c>
      <c r="T72" t="s">
        <v>54</v>
      </c>
      <c r="AA72" s="44"/>
    </row>
    <row r="73" spans="1:40">
      <c r="H73"/>
      <c r="AA73" s="44"/>
    </row>
    <row r="74" spans="1:40">
      <c r="A74" s="148" t="s">
        <v>127</v>
      </c>
      <c r="H74"/>
      <c r="AA74" s="44"/>
    </row>
    <row r="75" spans="1:40">
      <c r="A75" s="148" t="s">
        <v>38</v>
      </c>
      <c r="H75"/>
      <c r="AA75" s="44"/>
    </row>
    <row r="76" spans="1:40">
      <c r="A76" s="148" t="s">
        <v>3178</v>
      </c>
      <c r="H76"/>
      <c r="AA76" s="44"/>
    </row>
    <row r="77" spans="1:40">
      <c r="A77" s="148">
        <v>45163</v>
      </c>
      <c r="B77">
        <v>1</v>
      </c>
      <c r="C77" t="s">
        <v>45</v>
      </c>
      <c r="H77">
        <v>0</v>
      </c>
      <c r="AA77" s="44"/>
    </row>
    <row r="78" spans="1:40">
      <c r="A78" s="148">
        <v>45163</v>
      </c>
      <c r="B78">
        <v>2</v>
      </c>
      <c r="C78" t="s">
        <v>49</v>
      </c>
      <c r="H78">
        <v>0</v>
      </c>
      <c r="AA78" s="44"/>
    </row>
    <row r="79" spans="1:40">
      <c r="A79" s="148">
        <v>45163</v>
      </c>
      <c r="B79">
        <v>3</v>
      </c>
      <c r="C79" t="s">
        <v>51</v>
      </c>
      <c r="G79">
        <v>0</v>
      </c>
      <c r="H79">
        <v>0.27039999999999997</v>
      </c>
      <c r="I79">
        <v>0.31242500000000001</v>
      </c>
      <c r="J79">
        <v>0.31242500000000001</v>
      </c>
      <c r="AA79" s="44"/>
      <c r="AC79" s="475">
        <v>2022</v>
      </c>
      <c r="AD79" s="476" t="s">
        <v>46</v>
      </c>
      <c r="AE79" s="476">
        <v>1</v>
      </c>
      <c r="AF79" s="515">
        <f>L67</f>
        <v>77.655432326690018</v>
      </c>
      <c r="AG79" s="477">
        <v>45162</v>
      </c>
      <c r="AH79" s="478">
        <f>((AF79-AF80)/AVERAGE(AF79:AF80))*100</f>
        <v>-2.7100048563908374</v>
      </c>
      <c r="AI79" t="s">
        <v>3088</v>
      </c>
    </row>
    <row r="80" spans="1:40">
      <c r="A80" s="148">
        <v>45163</v>
      </c>
      <c r="B80">
        <v>4</v>
      </c>
      <c r="C80" t="s">
        <v>3179</v>
      </c>
      <c r="D80">
        <v>268.3</v>
      </c>
      <c r="G80">
        <v>268.24634000000003</v>
      </c>
      <c r="H80">
        <v>30.325299999999999</v>
      </c>
      <c r="I80">
        <v>0.31242500000000001</v>
      </c>
      <c r="J80">
        <v>30.012874999999998</v>
      </c>
      <c r="K80">
        <v>254.24597325642486</v>
      </c>
      <c r="L80" s="277">
        <v>94.780779956373252</v>
      </c>
      <c r="M80">
        <v>250.12395160283097</v>
      </c>
      <c r="N80">
        <v>93.244124636642169</v>
      </c>
      <c r="O80">
        <v>128</v>
      </c>
      <c r="P80">
        <v>41.7</v>
      </c>
      <c r="Q80">
        <v>100</v>
      </c>
      <c r="R80">
        <v>3</v>
      </c>
      <c r="S80" t="s">
        <v>54</v>
      </c>
      <c r="T80" t="s">
        <v>54</v>
      </c>
      <c r="AA80" s="44"/>
      <c r="AC80" s="473">
        <v>2022</v>
      </c>
      <c r="AD80" s="193" t="s">
        <v>46</v>
      </c>
      <c r="AE80" s="193">
        <v>1</v>
      </c>
      <c r="AF80" s="516">
        <f>L333</f>
        <v>79.788805573288499</v>
      </c>
      <c r="AG80" s="389">
        <v>45356</v>
      </c>
      <c r="AH80" s="474"/>
    </row>
    <row r="81" spans="1:38">
      <c r="A81" s="148">
        <v>45163</v>
      </c>
      <c r="B81">
        <v>5</v>
      </c>
      <c r="C81" t="s">
        <v>3180</v>
      </c>
      <c r="D81">
        <v>1005</v>
      </c>
      <c r="G81">
        <v>1004.799</v>
      </c>
      <c r="H81">
        <v>118.2157</v>
      </c>
      <c r="I81">
        <v>0.31242500000000001</v>
      </c>
      <c r="J81">
        <v>117.90327499999999</v>
      </c>
      <c r="K81">
        <v>1007.1944018754779</v>
      </c>
      <c r="L81" s="277">
        <v>100.2383961245461</v>
      </c>
      <c r="M81">
        <v>982.59273894671105</v>
      </c>
      <c r="N81">
        <v>97.789979781698733</v>
      </c>
      <c r="O81">
        <v>128</v>
      </c>
      <c r="P81">
        <v>41.7</v>
      </c>
      <c r="Q81">
        <v>100</v>
      </c>
      <c r="R81">
        <v>3</v>
      </c>
      <c r="S81" t="s">
        <v>54</v>
      </c>
      <c r="T81" t="s">
        <v>54</v>
      </c>
      <c r="AA81" s="44"/>
      <c r="AC81">
        <v>2022</v>
      </c>
      <c r="AD81" t="s">
        <v>46</v>
      </c>
      <c r="AE81">
        <v>2</v>
      </c>
      <c r="AF81" s="514">
        <f>L68</f>
        <v>75.275556154622947</v>
      </c>
      <c r="AG81" s="383">
        <v>45162</v>
      </c>
      <c r="AH81">
        <f>((AF81-AF82)/AVERAGE(AF81:AF82))*100</f>
        <v>-3.4062824490524037</v>
      </c>
      <c r="AI81" t="s">
        <v>3088</v>
      </c>
    </row>
    <row r="82" spans="1:38">
      <c r="A82" s="148">
        <v>45163</v>
      </c>
      <c r="B82">
        <v>6</v>
      </c>
      <c r="C82" t="s">
        <v>3181</v>
      </c>
      <c r="D82">
        <v>2100.9</v>
      </c>
      <c r="G82">
        <v>2100.47982</v>
      </c>
      <c r="H82">
        <v>248.79</v>
      </c>
      <c r="I82">
        <v>0.31242500000000001</v>
      </c>
      <c r="J82">
        <v>248.477575</v>
      </c>
      <c r="K82">
        <v>2125.8116115255971</v>
      </c>
      <c r="L82" s="277">
        <v>101.20600023310851</v>
      </c>
      <c r="M82">
        <v>2070.7843864904248</v>
      </c>
      <c r="N82">
        <v>98.586254758230666</v>
      </c>
      <c r="O82">
        <v>128</v>
      </c>
      <c r="P82">
        <v>41.7</v>
      </c>
      <c r="Q82">
        <v>100</v>
      </c>
      <c r="R82">
        <v>3</v>
      </c>
      <c r="S82" t="s">
        <v>54</v>
      </c>
      <c r="T82" t="s">
        <v>54</v>
      </c>
      <c r="X82" s="44"/>
      <c r="Y82" s="44"/>
      <c r="Z82" s="44"/>
      <c r="AA82" s="44"/>
      <c r="AC82">
        <v>2022</v>
      </c>
      <c r="AD82" t="s">
        <v>46</v>
      </c>
      <c r="AE82">
        <v>2</v>
      </c>
      <c r="AF82" s="514">
        <f>L334</f>
        <v>77.884081075626099</v>
      </c>
      <c r="AG82" s="383">
        <v>45356</v>
      </c>
    </row>
    <row r="83" spans="1:38">
      <c r="A83" s="148">
        <v>45163</v>
      </c>
      <c r="B83">
        <v>7</v>
      </c>
      <c r="C83" t="s">
        <v>3182</v>
      </c>
      <c r="D83">
        <v>2896.2</v>
      </c>
      <c r="G83">
        <v>2895.6207599999998</v>
      </c>
      <c r="H83">
        <v>338.73379999999997</v>
      </c>
      <c r="I83">
        <v>0.31242500000000001</v>
      </c>
      <c r="J83">
        <v>338.42137499999995</v>
      </c>
      <c r="K83">
        <v>2896.3513163628299</v>
      </c>
      <c r="L83" s="277">
        <v>100.02522969764971</v>
      </c>
      <c r="M83">
        <v>2820.3659803288924</v>
      </c>
      <c r="N83">
        <v>97.401083017822145</v>
      </c>
      <c r="O83">
        <v>128</v>
      </c>
      <c r="P83">
        <v>41.7</v>
      </c>
      <c r="Q83">
        <v>100</v>
      </c>
      <c r="R83">
        <v>3</v>
      </c>
      <c r="S83" t="s">
        <v>54</v>
      </c>
      <c r="T83" t="s">
        <v>54</v>
      </c>
      <c r="X83" s="44"/>
      <c r="Y83" s="44"/>
      <c r="Z83" s="44"/>
      <c r="AA83" s="44"/>
      <c r="AC83" s="464">
        <v>2022</v>
      </c>
      <c r="AD83" s="465" t="s">
        <v>46</v>
      </c>
      <c r="AE83" s="465">
        <v>3</v>
      </c>
      <c r="AF83" s="465">
        <f>L91</f>
        <v>68.289082435930723</v>
      </c>
      <c r="AG83" s="466">
        <v>45163</v>
      </c>
      <c r="AH83" s="467">
        <f>((AF83-AF84)/AVERAGE(AF83:AF84))*100</f>
        <v>36.574414201679325</v>
      </c>
      <c r="AI83" t="s">
        <v>3088</v>
      </c>
    </row>
    <row r="84" spans="1:38">
      <c r="A84" s="148">
        <v>45163</v>
      </c>
      <c r="B84">
        <v>8</v>
      </c>
      <c r="C84" t="s">
        <v>3183</v>
      </c>
      <c r="D84">
        <v>3785.2</v>
      </c>
      <c r="G84">
        <v>3784.4429599999999</v>
      </c>
      <c r="H84">
        <v>440.73439999999999</v>
      </c>
      <c r="I84">
        <v>0.31242500000000001</v>
      </c>
      <c r="J84">
        <v>440.42197499999997</v>
      </c>
      <c r="K84">
        <v>3770.180443186699</v>
      </c>
      <c r="L84" s="277">
        <v>99.623127710893002</v>
      </c>
      <c r="M84">
        <v>3670.4276001457119</v>
      </c>
      <c r="N84">
        <v>96.9872617698461</v>
      </c>
      <c r="O84">
        <v>128</v>
      </c>
      <c r="P84">
        <v>41.7</v>
      </c>
      <c r="Q84">
        <v>100</v>
      </c>
      <c r="R84">
        <v>3</v>
      </c>
      <c r="S84" t="s">
        <v>54</v>
      </c>
      <c r="T84" t="s">
        <v>54</v>
      </c>
      <c r="X84" s="348">
        <f>A85</f>
        <v>45163</v>
      </c>
      <c r="Y84" s="44"/>
      <c r="Z84" s="44"/>
      <c r="AA84" s="44"/>
      <c r="AC84" s="468">
        <v>2022</v>
      </c>
      <c r="AD84" s="27" t="s">
        <v>46</v>
      </c>
      <c r="AE84" s="27">
        <v>3</v>
      </c>
      <c r="AF84" s="27">
        <f>L92</f>
        <v>47.174092508616553</v>
      </c>
      <c r="AG84" s="469">
        <v>45163</v>
      </c>
      <c r="AH84" s="470"/>
      <c r="AK84" s="247"/>
      <c r="AL84" t="s">
        <v>3184</v>
      </c>
    </row>
    <row r="85" spans="1:38">
      <c r="A85" s="148">
        <v>45163</v>
      </c>
      <c r="B85">
        <v>9</v>
      </c>
      <c r="C85" t="s">
        <v>61</v>
      </c>
      <c r="H85">
        <v>0.60019999999999996</v>
      </c>
      <c r="I85">
        <v>0.31242500000000001</v>
      </c>
      <c r="J85">
        <v>0.28777499999999995</v>
      </c>
      <c r="K85">
        <v>-0.40604033714409099</v>
      </c>
      <c r="O85">
        <v>128</v>
      </c>
      <c r="P85">
        <v>41.7</v>
      </c>
      <c r="Q85">
        <v>100</v>
      </c>
      <c r="R85">
        <v>3</v>
      </c>
      <c r="S85" t="s">
        <v>54</v>
      </c>
      <c r="T85" t="s">
        <v>54</v>
      </c>
      <c r="X85" s="208">
        <f>((J79-INDEX(LINEST($H$79:$H$84,$G$79:$G$84),2))/INDEX(LINEST($H$79:$H$84,$G$79:$G$84),1)/100.09)*12.01</f>
        <v>-0.19363334899584178</v>
      </c>
      <c r="Y85" s="208">
        <f>(J79-X85)^2</f>
        <v>0.25609505258839721</v>
      </c>
      <c r="Z85" s="44"/>
      <c r="AA85" s="44"/>
      <c r="AC85" s="471">
        <v>2022</v>
      </c>
      <c r="AD85" t="s">
        <v>46</v>
      </c>
      <c r="AE85">
        <v>3</v>
      </c>
      <c r="AF85">
        <f>L129</f>
        <v>71.691020707762007</v>
      </c>
      <c r="AG85" s="384">
        <v>45254</v>
      </c>
      <c r="AH85" s="472"/>
      <c r="AI85" s="27"/>
      <c r="AJ85" s="27"/>
      <c r="AK85" s="263"/>
      <c r="AL85" t="s">
        <v>3185</v>
      </c>
    </row>
    <row r="86" spans="1:38">
      <c r="A86" s="148">
        <v>45163</v>
      </c>
      <c r="B86">
        <v>10</v>
      </c>
      <c r="C86" t="s">
        <v>63</v>
      </c>
      <c r="H86">
        <v>0.32829999999999998</v>
      </c>
      <c r="I86">
        <v>0.31242500000000001</v>
      </c>
      <c r="J86">
        <v>1.5874999999999972E-2</v>
      </c>
      <c r="K86">
        <v>-2.7353809447817907</v>
      </c>
      <c r="O86">
        <v>128</v>
      </c>
      <c r="P86">
        <v>41.7</v>
      </c>
      <c r="Q86">
        <v>100</v>
      </c>
      <c r="R86">
        <v>3</v>
      </c>
      <c r="S86" t="s">
        <v>54</v>
      </c>
      <c r="T86" t="s">
        <v>54</v>
      </c>
      <c r="X86" s="208">
        <f t="shared" ref="X86:X90" si="6">((J80-INDEX(LINEST($H$79:$H$84,$G$79:$G$84),2))/INDEX(LINEST($H$79:$H$84,$G$79:$G$84),1)/100.09)*12.01</f>
        <v>30.32355869224758</v>
      </c>
      <c r="Y86" s="208">
        <f t="shared" ref="Y86:Y90" si="7">(J80-X86)^2</f>
        <v>9.6524356628590768E-2</v>
      </c>
      <c r="Z86" s="44"/>
      <c r="AA86" s="44"/>
      <c r="AC86" s="471">
        <v>2022</v>
      </c>
      <c r="AD86" t="s">
        <v>46</v>
      </c>
      <c r="AE86">
        <v>3</v>
      </c>
      <c r="AF86">
        <f>L130</f>
        <v>68.413803012018562</v>
      </c>
      <c r="AG86" s="384">
        <v>45254</v>
      </c>
      <c r="AH86" s="470"/>
    </row>
    <row r="87" spans="1:38">
      <c r="A87" s="148">
        <v>45163</v>
      </c>
      <c r="B87">
        <v>11</v>
      </c>
      <c r="C87" t="s">
        <v>64</v>
      </c>
      <c r="D87">
        <v>956.1</v>
      </c>
      <c r="H87">
        <v>12.788399999999999</v>
      </c>
      <c r="I87">
        <v>0.31242500000000001</v>
      </c>
      <c r="J87">
        <v>12.475975</v>
      </c>
      <c r="K87">
        <v>104.00907254998286</v>
      </c>
      <c r="L87" s="277">
        <v>10.878472183870187</v>
      </c>
      <c r="M87">
        <v>103.97338365945046</v>
      </c>
      <c r="N87">
        <v>10.874739426780719</v>
      </c>
      <c r="O87">
        <v>128</v>
      </c>
      <c r="P87">
        <v>41.7</v>
      </c>
      <c r="Q87">
        <v>100</v>
      </c>
      <c r="R87">
        <v>3</v>
      </c>
      <c r="S87" t="s">
        <v>54</v>
      </c>
      <c r="T87" t="s">
        <v>54</v>
      </c>
      <c r="X87" s="208">
        <f t="shared" si="6"/>
        <v>120.63088452002799</v>
      </c>
      <c r="Y87" s="208">
        <f t="shared" si="7"/>
        <v>7.4398536937473594</v>
      </c>
      <c r="Z87" s="44"/>
      <c r="AA87" s="44"/>
      <c r="AC87" s="471">
        <v>2022</v>
      </c>
      <c r="AD87" t="s">
        <v>46</v>
      </c>
      <c r="AE87">
        <v>3</v>
      </c>
      <c r="AF87" s="514">
        <f>L335</f>
        <v>71.396892473119365</v>
      </c>
      <c r="AG87" s="383">
        <v>45356</v>
      </c>
      <c r="AH87" s="470">
        <f>((AF87-AF88)/AVERAGE(AF87:AF88))*100</f>
        <v>2.8023327256353339</v>
      </c>
      <c r="AI87" t="s">
        <v>3088</v>
      </c>
    </row>
    <row r="88" spans="1:38">
      <c r="A88" s="148">
        <v>45163</v>
      </c>
      <c r="B88">
        <v>12</v>
      </c>
      <c r="C88" t="s">
        <v>64</v>
      </c>
      <c r="D88">
        <v>2028.7</v>
      </c>
      <c r="H88">
        <v>28.6005</v>
      </c>
      <c r="I88">
        <v>0.31242500000000001</v>
      </c>
      <c r="J88">
        <v>28.288074999999999</v>
      </c>
      <c r="K88">
        <v>239.46978097965581</v>
      </c>
      <c r="L88" s="277">
        <v>11.804100210955577</v>
      </c>
      <c r="M88">
        <v>235.74966084512906</v>
      </c>
      <c r="N88">
        <v>11.620725629473508</v>
      </c>
      <c r="O88">
        <v>128</v>
      </c>
      <c r="P88">
        <v>41.7</v>
      </c>
      <c r="Q88">
        <v>100</v>
      </c>
      <c r="R88">
        <v>3</v>
      </c>
      <c r="S88" t="s">
        <v>54</v>
      </c>
      <c r="T88" t="s">
        <v>54</v>
      </c>
      <c r="X88" s="208">
        <f t="shared" si="6"/>
        <v>254.79588837521979</v>
      </c>
      <c r="Y88" s="208">
        <f t="shared" si="7"/>
        <v>39.921083907481261</v>
      </c>
      <c r="Z88" s="44"/>
      <c r="AA88" s="44"/>
      <c r="AC88" s="473">
        <v>2022</v>
      </c>
      <c r="AD88" s="193" t="s">
        <v>46</v>
      </c>
      <c r="AE88" s="193">
        <v>3</v>
      </c>
      <c r="AF88" s="516">
        <f>L338</f>
        <v>69.423760846899185</v>
      </c>
      <c r="AG88" s="389">
        <v>45356</v>
      </c>
      <c r="AH88" s="474"/>
    </row>
    <row r="89" spans="1:38" ht="15.5">
      <c r="A89" s="148">
        <v>45163</v>
      </c>
      <c r="B89">
        <v>13</v>
      </c>
      <c r="C89" t="s">
        <v>65</v>
      </c>
      <c r="H89">
        <v>0.32800000000000001</v>
      </c>
      <c r="I89">
        <v>0.31242500000000001</v>
      </c>
      <c r="J89">
        <v>1.5575000000000006E-2</v>
      </c>
      <c r="K89">
        <v>-2.7379510153308577</v>
      </c>
      <c r="O89">
        <v>128</v>
      </c>
      <c r="P89">
        <v>41.7</v>
      </c>
      <c r="Q89">
        <v>100</v>
      </c>
      <c r="R89">
        <v>3</v>
      </c>
      <c r="S89" t="s">
        <v>54</v>
      </c>
      <c r="T89" t="s">
        <v>54</v>
      </c>
      <c r="X89" s="208">
        <f t="shared" si="6"/>
        <v>347.21308129718517</v>
      </c>
      <c r="Y89" s="208">
        <f t="shared" si="7"/>
        <v>77.294099615966161</v>
      </c>
      <c r="Z89" s="44"/>
      <c r="AA89" s="52" t="s">
        <v>42</v>
      </c>
      <c r="AC89" s="475">
        <v>2022</v>
      </c>
      <c r="AD89" s="476" t="s">
        <v>46</v>
      </c>
      <c r="AE89" s="476">
        <v>4</v>
      </c>
      <c r="AF89" s="515">
        <f>L69</f>
        <v>31.111994045249531</v>
      </c>
      <c r="AG89" s="477">
        <v>45162</v>
      </c>
      <c r="AH89" s="478">
        <f>((AF89-AF92)/AVERAGE(AF89,AF92))*100</f>
        <v>-0.60109774494883883</v>
      </c>
      <c r="AI89" t="s">
        <v>3088</v>
      </c>
    </row>
    <row r="90" spans="1:38" ht="15.5">
      <c r="A90" s="148">
        <v>45163</v>
      </c>
      <c r="B90">
        <v>14</v>
      </c>
      <c r="C90" t="s">
        <v>66</v>
      </c>
      <c r="H90">
        <v>0.18820000000000001</v>
      </c>
      <c r="I90">
        <v>0.31242500000000001</v>
      </c>
      <c r="J90">
        <v>-0.124225</v>
      </c>
      <c r="K90">
        <v>-3.9356038911960676</v>
      </c>
      <c r="O90">
        <v>128</v>
      </c>
      <c r="P90">
        <v>41.7</v>
      </c>
      <c r="Q90">
        <v>100</v>
      </c>
      <c r="R90">
        <v>3</v>
      </c>
      <c r="S90" t="s">
        <v>54</v>
      </c>
      <c r="T90" t="s">
        <v>54</v>
      </c>
      <c r="X90" s="208">
        <f t="shared" si="6"/>
        <v>452.01862796472915</v>
      </c>
      <c r="Y90" s="208">
        <f t="shared" si="7"/>
        <v>134.48235998436192</v>
      </c>
      <c r="Z90" s="44"/>
      <c r="AA90" s="347">
        <f>(Y91/$AL$15)*100</f>
        <v>3.8691980810541655</v>
      </c>
      <c r="AC90" s="471">
        <v>2022</v>
      </c>
      <c r="AD90" t="s">
        <v>46</v>
      </c>
      <c r="AE90">
        <v>4</v>
      </c>
      <c r="AF90">
        <f>L131</f>
        <v>30.431193646099096</v>
      </c>
      <c r="AG90" s="384">
        <v>45254</v>
      </c>
      <c r="AH90" s="470"/>
    </row>
    <row r="91" spans="1:38" ht="15.5">
      <c r="A91" s="148">
        <v>45163</v>
      </c>
      <c r="B91">
        <v>15</v>
      </c>
      <c r="C91" t="s">
        <v>119</v>
      </c>
      <c r="D91">
        <v>2582.6</v>
      </c>
      <c r="E91" t="s">
        <v>3186</v>
      </c>
      <c r="H91">
        <v>206.5136</v>
      </c>
      <c r="I91">
        <v>0.31242500000000001</v>
      </c>
      <c r="J91">
        <v>206.20117500000001</v>
      </c>
      <c r="K91">
        <v>1763.6338429903469</v>
      </c>
      <c r="L91" s="277">
        <v>68.289082435930723</v>
      </c>
      <c r="M91">
        <v>1718.4575858243134</v>
      </c>
      <c r="N91">
        <v>66.539827531337153</v>
      </c>
      <c r="O91">
        <v>128</v>
      </c>
      <c r="P91">
        <v>41.7</v>
      </c>
      <c r="Q91">
        <v>100</v>
      </c>
      <c r="R91">
        <v>3</v>
      </c>
      <c r="S91" t="s">
        <v>54</v>
      </c>
      <c r="T91" t="s">
        <v>54</v>
      </c>
      <c r="X91" s="44"/>
      <c r="Y91" s="347">
        <f>SQRT(SUM(Y85:Y90)/(6-2))</f>
        <v>8.054346910376621</v>
      </c>
      <c r="Z91" s="52" t="s">
        <v>60</v>
      </c>
      <c r="AA91" s="44"/>
      <c r="AC91" s="471">
        <v>2022</v>
      </c>
      <c r="AD91" t="s">
        <v>46</v>
      </c>
      <c r="AE91">
        <v>4</v>
      </c>
      <c r="AF91">
        <f>L132</f>
        <v>31.255029087948653</v>
      </c>
      <c r="AG91" s="384">
        <v>45254</v>
      </c>
      <c r="AH91" s="470"/>
    </row>
    <row r="92" spans="1:38" ht="15.5">
      <c r="A92" s="148">
        <v>45163</v>
      </c>
      <c r="B92">
        <v>16</v>
      </c>
      <c r="C92" t="s">
        <v>121</v>
      </c>
      <c r="D92">
        <v>2741.1</v>
      </c>
      <c r="E92" t="s">
        <v>3186</v>
      </c>
      <c r="H92">
        <v>151.58770000000001</v>
      </c>
      <c r="I92">
        <v>0.31242500000000001</v>
      </c>
      <c r="J92">
        <v>151.27527500000002</v>
      </c>
      <c r="K92">
        <v>1293.0890497536882</v>
      </c>
      <c r="L92" s="277">
        <v>47.174092508616553</v>
      </c>
      <c r="M92">
        <v>1260.7112635095755</v>
      </c>
      <c r="N92">
        <v>45.992895680915531</v>
      </c>
      <c r="O92">
        <v>128</v>
      </c>
      <c r="P92">
        <v>41.7</v>
      </c>
      <c r="Q92">
        <v>100</v>
      </c>
      <c r="R92">
        <v>3</v>
      </c>
      <c r="S92" t="s">
        <v>54</v>
      </c>
      <c r="T92" t="s">
        <v>54</v>
      </c>
      <c r="X92" s="44"/>
      <c r="Y92" s="347">
        <f>(Y91/12.01)*100.09</f>
        <v>67.124028497884765</v>
      </c>
      <c r="Z92" s="52" t="s">
        <v>62</v>
      </c>
      <c r="AA92" s="44"/>
      <c r="AC92" s="473">
        <v>2022</v>
      </c>
      <c r="AD92" s="193" t="s">
        <v>46</v>
      </c>
      <c r="AE92" s="193">
        <v>4</v>
      </c>
      <c r="AF92" s="193">
        <f>L336</f>
        <v>31.299571301191897</v>
      </c>
      <c r="AG92" s="389">
        <v>45356</v>
      </c>
      <c r="AH92" s="474"/>
      <c r="AK92" s="247"/>
      <c r="AL92" t="s">
        <v>3184</v>
      </c>
    </row>
    <row r="93" spans="1:38">
      <c r="A93" s="148">
        <v>45163</v>
      </c>
      <c r="B93">
        <v>17</v>
      </c>
      <c r="C93" t="s">
        <v>122</v>
      </c>
      <c r="D93">
        <v>2947.4</v>
      </c>
      <c r="E93" t="s">
        <v>3186</v>
      </c>
      <c r="H93">
        <v>180.81299999999999</v>
      </c>
      <c r="I93">
        <v>0.31242500000000001</v>
      </c>
      <c r="J93">
        <v>180.500575</v>
      </c>
      <c r="K93">
        <v>1543.4593258125115</v>
      </c>
      <c r="L93" s="277">
        <v>52.366808909971887</v>
      </c>
      <c r="M93">
        <v>1504.2716529350541</v>
      </c>
      <c r="N93">
        <v>51.037241396995796</v>
      </c>
      <c r="O93">
        <v>128</v>
      </c>
      <c r="P93">
        <v>41.7</v>
      </c>
      <c r="Q93">
        <v>100</v>
      </c>
      <c r="R93">
        <v>3</v>
      </c>
      <c r="S93" t="s">
        <v>54</v>
      </c>
      <c r="T93" t="s">
        <v>54</v>
      </c>
      <c r="X93" s="44"/>
      <c r="Y93" s="44"/>
      <c r="Z93" s="44"/>
      <c r="AA93" s="44"/>
      <c r="AC93" s="475">
        <v>2022</v>
      </c>
      <c r="AD93" s="476" t="s">
        <v>46</v>
      </c>
      <c r="AE93" s="476">
        <v>5</v>
      </c>
      <c r="AF93" s="515">
        <f>L93</f>
        <v>52.366808909971887</v>
      </c>
      <c r="AG93" s="477">
        <v>45163</v>
      </c>
      <c r="AH93" s="478">
        <f>((AF93-AF94)/AVERAGE(AF93:AF94))*100</f>
        <v>2.1833052457448607</v>
      </c>
      <c r="AI93" t="s">
        <v>3088</v>
      </c>
      <c r="AK93" t="s">
        <v>3187</v>
      </c>
    </row>
    <row r="94" spans="1:38">
      <c r="A94" s="148">
        <v>45163</v>
      </c>
      <c r="B94">
        <v>18</v>
      </c>
      <c r="C94" t="s">
        <v>123</v>
      </c>
      <c r="D94">
        <v>2269.1</v>
      </c>
      <c r="E94" t="s">
        <v>3186</v>
      </c>
      <c r="H94">
        <v>164.83330000000001</v>
      </c>
      <c r="I94">
        <v>0.31242500000000001</v>
      </c>
      <c r="J94">
        <v>164.52087500000002</v>
      </c>
      <c r="K94">
        <v>1406.5628046360932</v>
      </c>
      <c r="L94" s="277">
        <v>61.98769576643133</v>
      </c>
      <c r="M94">
        <v>1371.0986160491259</v>
      </c>
      <c r="N94">
        <v>60.424777050333873</v>
      </c>
      <c r="O94">
        <v>128</v>
      </c>
      <c r="P94">
        <v>41.7</v>
      </c>
      <c r="Q94">
        <v>100</v>
      </c>
      <c r="R94">
        <v>3</v>
      </c>
      <c r="S94" t="s">
        <v>54</v>
      </c>
      <c r="T94" t="s">
        <v>54</v>
      </c>
      <c r="AA94" s="44"/>
      <c r="AC94" s="473">
        <v>2022</v>
      </c>
      <c r="AD94" s="193" t="s">
        <v>46</v>
      </c>
      <c r="AE94" s="193">
        <v>5</v>
      </c>
      <c r="AF94" s="516">
        <f>L339</f>
        <v>51.235828006705972</v>
      </c>
      <c r="AG94" s="389">
        <v>45356</v>
      </c>
      <c r="AH94" s="474"/>
      <c r="AK94" s="148">
        <v>45162</v>
      </c>
    </row>
    <row r="95" spans="1:38">
      <c r="A95" s="148">
        <v>45163</v>
      </c>
      <c r="B95">
        <v>19</v>
      </c>
      <c r="C95" t="s">
        <v>124</v>
      </c>
      <c r="D95">
        <v>2167.5</v>
      </c>
      <c r="E95" t="s">
        <v>3186</v>
      </c>
      <c r="H95">
        <v>131.83760000000001</v>
      </c>
      <c r="I95">
        <v>0.31242500000000001</v>
      </c>
      <c r="J95">
        <v>131.52517500000002</v>
      </c>
      <c r="K95">
        <v>1123.891881916596</v>
      </c>
      <c r="L95" s="277">
        <v>51.851989938481935</v>
      </c>
      <c r="M95">
        <v>1096.1161337010826</v>
      </c>
      <c r="N95">
        <v>50.570525199588587</v>
      </c>
      <c r="O95">
        <v>128</v>
      </c>
      <c r="P95">
        <v>41.7</v>
      </c>
      <c r="Q95">
        <v>100</v>
      </c>
      <c r="R95">
        <v>3</v>
      </c>
      <c r="S95" t="s">
        <v>54</v>
      </c>
      <c r="T95" t="s">
        <v>54</v>
      </c>
      <c r="AA95" s="44"/>
      <c r="AC95">
        <v>2022</v>
      </c>
      <c r="AD95" t="s">
        <v>46</v>
      </c>
      <c r="AE95">
        <v>6</v>
      </c>
      <c r="AF95" s="514">
        <f>L94</f>
        <v>61.98769576643133</v>
      </c>
      <c r="AG95" s="383">
        <v>45163</v>
      </c>
      <c r="AH95">
        <f>((AF95-AF96)/AVERAGE(AF95:AF96))*100</f>
        <v>-2.3871524365620003</v>
      </c>
      <c r="AI95" t="s">
        <v>3088</v>
      </c>
      <c r="AK95" s="148">
        <v>45163</v>
      </c>
    </row>
    <row r="96" spans="1:38">
      <c r="A96" s="148">
        <v>45163</v>
      </c>
      <c r="B96">
        <v>20</v>
      </c>
      <c r="C96" t="s">
        <v>125</v>
      </c>
      <c r="D96">
        <v>2949.4</v>
      </c>
      <c r="E96" t="s">
        <v>3186</v>
      </c>
      <c r="H96">
        <v>218.34270000000001</v>
      </c>
      <c r="I96">
        <v>0.31242500000000001</v>
      </c>
      <c r="J96">
        <v>218.03027500000002</v>
      </c>
      <c r="K96">
        <v>1864.9725814302408</v>
      </c>
      <c r="L96" s="277">
        <v>63.232270340755434</v>
      </c>
      <c r="M96">
        <v>1817.0399854079935</v>
      </c>
      <c r="N96">
        <v>61.607106035396811</v>
      </c>
      <c r="O96">
        <v>128</v>
      </c>
      <c r="P96">
        <v>41.7</v>
      </c>
      <c r="Q96">
        <v>100</v>
      </c>
      <c r="R96">
        <v>3</v>
      </c>
      <c r="S96" t="s">
        <v>54</v>
      </c>
      <c r="T96" t="s">
        <v>54</v>
      </c>
      <c r="AA96" s="44"/>
      <c r="AC96">
        <v>2022</v>
      </c>
      <c r="AD96" t="s">
        <v>46</v>
      </c>
      <c r="AE96">
        <v>6</v>
      </c>
      <c r="AF96" s="514">
        <f>L340</f>
        <v>63.485311744443059</v>
      </c>
      <c r="AG96" s="383">
        <v>45356</v>
      </c>
      <c r="AK96" s="148">
        <v>45351</v>
      </c>
    </row>
    <row r="97" spans="1:38">
      <c r="A97" s="148">
        <v>45163</v>
      </c>
      <c r="B97">
        <v>21</v>
      </c>
      <c r="C97" t="s">
        <v>3188</v>
      </c>
      <c r="D97">
        <v>2216.6</v>
      </c>
      <c r="E97" t="s">
        <v>3186</v>
      </c>
      <c r="H97">
        <v>188.5247</v>
      </c>
      <c r="I97">
        <v>0.31242500000000001</v>
      </c>
      <c r="J97">
        <v>188.21227500000001</v>
      </c>
      <c r="K97">
        <v>1609.524702656644</v>
      </c>
      <c r="L97" s="277">
        <v>72.612320791150594</v>
      </c>
      <c r="M97">
        <v>1568.5401003122399</v>
      </c>
      <c r="N97">
        <v>70.763335753507178</v>
      </c>
      <c r="O97">
        <v>128</v>
      </c>
      <c r="P97">
        <v>41.7</v>
      </c>
      <c r="Q97">
        <v>100</v>
      </c>
      <c r="R97">
        <v>3</v>
      </c>
      <c r="S97" t="s">
        <v>54</v>
      </c>
      <c r="T97" t="s">
        <v>54</v>
      </c>
      <c r="AA97" s="44"/>
      <c r="AC97" s="464">
        <v>2022</v>
      </c>
      <c r="AD97" s="465" t="s">
        <v>46</v>
      </c>
      <c r="AE97" s="465">
        <v>7</v>
      </c>
      <c r="AF97" s="465">
        <f>L95</f>
        <v>51.851989938481935</v>
      </c>
      <c r="AG97" s="466">
        <v>45163</v>
      </c>
      <c r="AH97" s="467">
        <f>((AF97-AF98)/AVERAGE(AF97:AF98))*100</f>
        <v>-25.181561246590057</v>
      </c>
      <c r="AI97" s="27" t="s">
        <v>3088</v>
      </c>
      <c r="AJ97" s="27"/>
      <c r="AK97" s="148">
        <v>45352</v>
      </c>
    </row>
    <row r="98" spans="1:38">
      <c r="A98" s="148">
        <v>45163</v>
      </c>
      <c r="B98">
        <v>23</v>
      </c>
      <c r="C98" t="s">
        <v>74</v>
      </c>
      <c r="H98">
        <v>0.27600000000000002</v>
      </c>
      <c r="I98">
        <v>0.31242500000000001</v>
      </c>
      <c r="J98">
        <v>-3.6424999999999985E-2</v>
      </c>
      <c r="K98">
        <v>-3.1834299105024662</v>
      </c>
      <c r="M98">
        <v>-0.30356188592839289</v>
      </c>
      <c r="O98">
        <v>128</v>
      </c>
      <c r="P98">
        <v>41.7</v>
      </c>
      <c r="Q98">
        <v>100</v>
      </c>
      <c r="R98">
        <v>3</v>
      </c>
      <c r="S98" t="s">
        <v>54</v>
      </c>
      <c r="T98" t="s">
        <v>54</v>
      </c>
      <c r="AA98" s="44"/>
      <c r="AC98" s="468">
        <v>2022</v>
      </c>
      <c r="AD98" s="27" t="s">
        <v>46</v>
      </c>
      <c r="AE98" s="27">
        <v>7</v>
      </c>
      <c r="AF98" s="27">
        <f>L341</f>
        <v>66.789934353318273</v>
      </c>
      <c r="AG98" s="469">
        <v>45356</v>
      </c>
      <c r="AH98" s="472"/>
      <c r="AI98" s="27"/>
      <c r="AJ98" s="27"/>
      <c r="AK98" s="148">
        <v>45356</v>
      </c>
    </row>
    <row r="99" spans="1:38">
      <c r="A99" s="148">
        <v>45163</v>
      </c>
      <c r="B99">
        <v>22</v>
      </c>
      <c r="C99" t="s">
        <v>135</v>
      </c>
      <c r="D99">
        <v>2807.9</v>
      </c>
      <c r="E99" t="s">
        <v>3186</v>
      </c>
      <c r="H99">
        <v>251.88579999999999</v>
      </c>
      <c r="I99">
        <v>0.31242500000000001</v>
      </c>
      <c r="J99">
        <v>251.573375</v>
      </c>
      <c r="K99">
        <v>2152.3330262116019</v>
      </c>
      <c r="L99" s="277">
        <v>76.652766345368491</v>
      </c>
      <c r="M99">
        <v>2096.5844382805994</v>
      </c>
      <c r="N99">
        <v>74.66734706651232</v>
      </c>
      <c r="O99">
        <v>128</v>
      </c>
      <c r="P99">
        <v>41.7</v>
      </c>
      <c r="Q99">
        <v>100</v>
      </c>
      <c r="R99">
        <v>3</v>
      </c>
      <c r="S99" t="s">
        <v>54</v>
      </c>
      <c r="T99" t="s">
        <v>54</v>
      </c>
      <c r="AA99" s="44"/>
      <c r="AC99" s="479">
        <v>2022</v>
      </c>
      <c r="AD99" s="193" t="s">
        <v>46</v>
      </c>
      <c r="AE99" s="480">
        <v>7</v>
      </c>
      <c r="AF99" s="517">
        <f>L522</f>
        <v>67.018420910104922</v>
      </c>
      <c r="AG99" s="389">
        <v>45475</v>
      </c>
      <c r="AH99" s="481"/>
      <c r="AI99" s="27"/>
      <c r="AJ99" s="27"/>
      <c r="AK99" s="148">
        <v>45357</v>
      </c>
    </row>
    <row r="100" spans="1:38">
      <c r="A100" s="148">
        <v>45163</v>
      </c>
      <c r="B100">
        <v>24</v>
      </c>
      <c r="C100" t="s">
        <v>136</v>
      </c>
      <c r="D100">
        <v>2845.5</v>
      </c>
      <c r="E100" t="s">
        <v>3186</v>
      </c>
      <c r="H100">
        <v>257.75189999999998</v>
      </c>
      <c r="I100">
        <v>0.31242500000000001</v>
      </c>
      <c r="J100">
        <v>257.43947499999996</v>
      </c>
      <c r="K100">
        <v>2202.587329037874</v>
      </c>
      <c r="L100" s="277">
        <v>77.40598590890437</v>
      </c>
      <c r="M100">
        <v>2145.4718611781846</v>
      </c>
      <c r="N100">
        <v>75.398765109055859</v>
      </c>
      <c r="O100">
        <v>128</v>
      </c>
      <c r="P100">
        <v>41.7</v>
      </c>
      <c r="Q100">
        <v>100</v>
      </c>
      <c r="R100">
        <v>3</v>
      </c>
      <c r="S100" t="s">
        <v>54</v>
      </c>
      <c r="T100" t="s">
        <v>54</v>
      </c>
      <c r="AA100" s="44"/>
      <c r="AC100" s="475">
        <v>2022</v>
      </c>
      <c r="AD100" s="476" t="s">
        <v>46</v>
      </c>
      <c r="AE100" s="476">
        <v>8</v>
      </c>
      <c r="AF100" s="515">
        <f>L96</f>
        <v>63.232270340755434</v>
      </c>
      <c r="AG100" s="477">
        <v>45163</v>
      </c>
      <c r="AH100" s="478">
        <f>((AF100-AF103)/AVERAGE(AF100,AF103))*100</f>
        <v>-2.8212344410811898</v>
      </c>
      <c r="AI100" t="s">
        <v>3088</v>
      </c>
      <c r="AK100" s="148">
        <v>45370</v>
      </c>
    </row>
    <row r="101" spans="1:38">
      <c r="A101" s="148">
        <v>45163</v>
      </c>
      <c r="B101">
        <v>25</v>
      </c>
      <c r="C101" t="s">
        <v>138</v>
      </c>
      <c r="D101">
        <v>2118.6999999999998</v>
      </c>
      <c r="E101" t="s">
        <v>3186</v>
      </c>
      <c r="H101">
        <v>194.14179999999999</v>
      </c>
      <c r="I101">
        <v>0.31242500000000001</v>
      </c>
      <c r="J101">
        <v>193.829375</v>
      </c>
      <c r="K101">
        <v>1657.6458469271911</v>
      </c>
      <c r="L101" s="277">
        <v>78.23881847015582</v>
      </c>
      <c r="M101">
        <v>1615.3523849916737</v>
      </c>
      <c r="N101">
        <v>76.242619766445173</v>
      </c>
      <c r="O101">
        <v>128</v>
      </c>
      <c r="P101">
        <v>41.7</v>
      </c>
      <c r="Q101">
        <v>100</v>
      </c>
      <c r="R101">
        <v>3</v>
      </c>
      <c r="S101" t="s">
        <v>54</v>
      </c>
      <c r="T101" t="s">
        <v>54</v>
      </c>
      <c r="AA101" s="44"/>
      <c r="AC101" s="471">
        <v>2022</v>
      </c>
      <c r="AD101" t="s">
        <v>46</v>
      </c>
      <c r="AE101">
        <v>8</v>
      </c>
      <c r="AF101">
        <f>L133</f>
        <v>63.921027945592165</v>
      </c>
      <c r="AG101" s="384">
        <v>45254</v>
      </c>
      <c r="AH101" s="470"/>
      <c r="AK101" s="148">
        <v>45371</v>
      </c>
    </row>
    <row r="102" spans="1:38">
      <c r="A102" s="148">
        <v>45163</v>
      </c>
      <c r="B102">
        <v>26</v>
      </c>
      <c r="C102" t="s">
        <v>137</v>
      </c>
      <c r="D102">
        <v>2538.9</v>
      </c>
      <c r="E102" t="s">
        <v>3186</v>
      </c>
      <c r="H102">
        <v>226.09809999999999</v>
      </c>
      <c r="I102">
        <v>0.31242500000000001</v>
      </c>
      <c r="J102">
        <v>225.785675</v>
      </c>
      <c r="K102">
        <v>1931.412331884354</v>
      </c>
      <c r="L102" s="277">
        <v>76.072800499600376</v>
      </c>
      <c r="M102">
        <v>1881.6726237094088</v>
      </c>
      <c r="N102">
        <v>74.113695841088997</v>
      </c>
      <c r="O102">
        <v>128</v>
      </c>
      <c r="P102">
        <v>41.7</v>
      </c>
      <c r="Q102">
        <v>100</v>
      </c>
      <c r="R102">
        <v>3</v>
      </c>
      <c r="S102" t="s">
        <v>54</v>
      </c>
      <c r="T102" t="s">
        <v>54</v>
      </c>
      <c r="AA102" s="44"/>
      <c r="AC102" s="471">
        <v>2022</v>
      </c>
      <c r="AD102" t="s">
        <v>46</v>
      </c>
      <c r="AE102">
        <v>8</v>
      </c>
      <c r="AF102">
        <f>L135</f>
        <v>64.246426187292343</v>
      </c>
      <c r="AG102" s="384">
        <v>45254</v>
      </c>
      <c r="AH102" s="470"/>
      <c r="AK102" s="148">
        <v>45373</v>
      </c>
    </row>
    <row r="103" spans="1:38">
      <c r="A103" s="148">
        <v>45163</v>
      </c>
      <c r="B103">
        <v>27</v>
      </c>
      <c r="C103" t="s">
        <v>139</v>
      </c>
      <c r="D103">
        <v>2322.9</v>
      </c>
      <c r="E103" t="s">
        <v>3186</v>
      </c>
      <c r="H103">
        <v>204.07579999999999</v>
      </c>
      <c r="I103">
        <v>0.31242500000000001</v>
      </c>
      <c r="J103">
        <v>203.763375</v>
      </c>
      <c r="K103">
        <v>1742.7494497086286</v>
      </c>
      <c r="L103" s="277">
        <v>75.024729850989218</v>
      </c>
      <c r="M103">
        <v>1698.1412326186512</v>
      </c>
      <c r="N103">
        <v>73.104362332371224</v>
      </c>
      <c r="O103">
        <v>128</v>
      </c>
      <c r="P103">
        <v>41.7</v>
      </c>
      <c r="Q103">
        <v>100</v>
      </c>
      <c r="R103">
        <v>3</v>
      </c>
      <c r="S103" t="s">
        <v>54</v>
      </c>
      <c r="T103" t="s">
        <v>54</v>
      </c>
      <c r="AA103" s="44"/>
      <c r="AC103" s="473">
        <v>2022</v>
      </c>
      <c r="AD103" s="193" t="s">
        <v>46</v>
      </c>
      <c r="AE103" s="193">
        <v>8</v>
      </c>
      <c r="AF103" s="516">
        <f>L342</f>
        <v>65.041725414352499</v>
      </c>
      <c r="AG103" s="389">
        <v>45356</v>
      </c>
      <c r="AH103" s="474"/>
      <c r="AK103" s="148">
        <v>45401</v>
      </c>
    </row>
    <row r="104" spans="1:38">
      <c r="A104" s="148">
        <v>45163</v>
      </c>
      <c r="B104">
        <v>28</v>
      </c>
      <c r="C104" t="s">
        <v>140</v>
      </c>
      <c r="D104">
        <v>2210.1999999999998</v>
      </c>
      <c r="E104" t="s">
        <v>3186</v>
      </c>
      <c r="H104">
        <v>189.7594</v>
      </c>
      <c r="I104">
        <v>0.31242500000000001</v>
      </c>
      <c r="J104">
        <v>189.44697500000001</v>
      </c>
      <c r="K104">
        <v>1620.1022563464207</v>
      </c>
      <c r="L104" s="277">
        <v>73.301160815601335</v>
      </c>
      <c r="M104">
        <v>1578.8299523522066</v>
      </c>
      <c r="N104">
        <v>71.433804739489943</v>
      </c>
      <c r="O104">
        <v>128</v>
      </c>
      <c r="P104">
        <v>41.7</v>
      </c>
      <c r="Q104">
        <v>100</v>
      </c>
      <c r="R104">
        <v>3</v>
      </c>
      <c r="S104" t="s">
        <v>54</v>
      </c>
      <c r="T104" t="s">
        <v>54</v>
      </c>
      <c r="AA104" s="44"/>
      <c r="AC104" s="475">
        <v>2022</v>
      </c>
      <c r="AD104" s="476" t="s">
        <v>46</v>
      </c>
      <c r="AE104" s="476">
        <v>9</v>
      </c>
      <c r="AF104" s="515">
        <f>L97</f>
        <v>72.612320791150594</v>
      </c>
      <c r="AG104" s="477">
        <v>45163</v>
      </c>
      <c r="AH104" s="478">
        <f>((AF104-AF105)/AVERAGE(AF104:AF105))*100</f>
        <v>1.0034238604608567</v>
      </c>
      <c r="AI104" t="s">
        <v>3088</v>
      </c>
      <c r="AK104" s="148">
        <v>45405</v>
      </c>
    </row>
    <row r="105" spans="1:38">
      <c r="A105" s="148">
        <v>45163</v>
      </c>
      <c r="B105">
        <v>29</v>
      </c>
      <c r="C105" t="s">
        <v>82</v>
      </c>
      <c r="H105">
        <v>0.2722</v>
      </c>
      <c r="I105">
        <v>0.31242500000000001</v>
      </c>
      <c r="J105">
        <v>-4.0225000000000011E-2</v>
      </c>
      <c r="K105">
        <v>-3.2159841374573146</v>
      </c>
      <c r="O105">
        <v>128</v>
      </c>
      <c r="P105">
        <v>41.7</v>
      </c>
      <c r="Q105">
        <v>100</v>
      </c>
      <c r="R105">
        <v>3</v>
      </c>
      <c r="S105" t="s">
        <v>54</v>
      </c>
      <c r="T105" t="s">
        <v>54</v>
      </c>
      <c r="AA105" s="44"/>
      <c r="AC105" s="473">
        <v>2022</v>
      </c>
      <c r="AD105" s="193" t="s">
        <v>46</v>
      </c>
      <c r="AE105" s="193">
        <v>9</v>
      </c>
      <c r="AF105" s="516">
        <f>L365</f>
        <v>71.887348710119184</v>
      </c>
      <c r="AG105" s="389">
        <v>45357</v>
      </c>
      <c r="AH105" s="474"/>
      <c r="AK105" s="148">
        <v>45475</v>
      </c>
    </row>
    <row r="106" spans="1:38">
      <c r="A106" s="148">
        <v>45163</v>
      </c>
      <c r="B106">
        <v>30</v>
      </c>
      <c r="C106" t="s">
        <v>3189</v>
      </c>
      <c r="D106">
        <v>2103.4</v>
      </c>
      <c r="G106">
        <v>2102.9793199999999</v>
      </c>
      <c r="H106">
        <v>249.50540000000001</v>
      </c>
      <c r="I106">
        <v>0.31242500000000001</v>
      </c>
      <c r="J106">
        <v>249.19297500000002</v>
      </c>
      <c r="K106">
        <v>2131.9403730949389</v>
      </c>
      <c r="L106" s="277">
        <v>101.37714397947283</v>
      </c>
      <c r="M106">
        <v>2076.746450270608</v>
      </c>
      <c r="N106">
        <v>98.732834946781779</v>
      </c>
      <c r="O106">
        <v>128</v>
      </c>
      <c r="P106">
        <v>41.7</v>
      </c>
      <c r="Q106">
        <v>100</v>
      </c>
      <c r="R106">
        <v>3</v>
      </c>
      <c r="S106" t="s">
        <v>54</v>
      </c>
      <c r="T106" t="s">
        <v>54</v>
      </c>
      <c r="AA106" s="44"/>
      <c r="AC106">
        <v>2022</v>
      </c>
      <c r="AD106" t="s">
        <v>46</v>
      </c>
      <c r="AE106">
        <v>10</v>
      </c>
      <c r="AF106" s="514">
        <f>L99</f>
        <v>76.652766345368491</v>
      </c>
      <c r="AG106" s="383">
        <v>45163</v>
      </c>
      <c r="AH106">
        <f>((AF106-AF107)/AVERAGE(AF106:AF107))*100</f>
        <v>1.1629878307593988</v>
      </c>
      <c r="AI106" t="s">
        <v>3088</v>
      </c>
      <c r="AK106" s="148">
        <v>45476</v>
      </c>
    </row>
    <row r="107" spans="1:38">
      <c r="A107" s="148">
        <v>45163</v>
      </c>
      <c r="B107">
        <v>31</v>
      </c>
      <c r="C107" t="s">
        <v>84</v>
      </c>
      <c r="H107">
        <v>0.2361</v>
      </c>
      <c r="I107">
        <v>0.31242500000000001</v>
      </c>
      <c r="J107">
        <v>-7.6325000000000004E-2</v>
      </c>
      <c r="K107">
        <v>-3.5252492935283737</v>
      </c>
      <c r="O107">
        <v>128</v>
      </c>
      <c r="P107">
        <v>41.7</v>
      </c>
      <c r="Q107">
        <v>100</v>
      </c>
      <c r="R107">
        <v>3</v>
      </c>
      <c r="S107" t="s">
        <v>54</v>
      </c>
      <c r="T107" t="s">
        <v>54</v>
      </c>
      <c r="AA107" s="44"/>
      <c r="AC107" s="193">
        <v>2022</v>
      </c>
      <c r="AD107" s="193" t="s">
        <v>46</v>
      </c>
      <c r="AE107" s="193">
        <v>10</v>
      </c>
      <c r="AF107" s="516">
        <f>L366</f>
        <v>75.766457830914462</v>
      </c>
      <c r="AG107" s="389">
        <v>45357</v>
      </c>
    </row>
    <row r="108" spans="1:38">
      <c r="H108"/>
      <c r="AA108" s="44"/>
      <c r="AC108">
        <v>2022</v>
      </c>
      <c r="AD108" t="s">
        <v>46</v>
      </c>
      <c r="AE108">
        <v>11</v>
      </c>
      <c r="AF108" s="514">
        <f>L100</f>
        <v>77.40598590890437</v>
      </c>
      <c r="AG108" s="383">
        <v>45163</v>
      </c>
      <c r="AH108">
        <f>((AF108-AF109)/AVERAGE(AF108:AF109))*100</f>
        <v>-1.0701707192527352</v>
      </c>
      <c r="AI108" t="s">
        <v>3088</v>
      </c>
      <c r="AK108" s="263"/>
      <c r="AL108" t="s">
        <v>3185</v>
      </c>
    </row>
    <row r="109" spans="1:38">
      <c r="H109"/>
      <c r="AA109" s="44"/>
      <c r="AC109">
        <v>2022</v>
      </c>
      <c r="AD109" t="s">
        <v>46</v>
      </c>
      <c r="AE109">
        <v>11</v>
      </c>
      <c r="AF109" s="514">
        <f>L101</f>
        <v>78.23881847015582</v>
      </c>
      <c r="AG109" s="383">
        <v>45163</v>
      </c>
      <c r="AK109" s="148">
        <v>45254</v>
      </c>
    </row>
    <row r="110" spans="1:38">
      <c r="A110" s="148" t="s">
        <v>3149</v>
      </c>
      <c r="H110"/>
      <c r="AA110" s="44"/>
      <c r="AC110">
        <v>2022</v>
      </c>
      <c r="AD110" t="s">
        <v>46</v>
      </c>
      <c r="AE110">
        <v>11</v>
      </c>
      <c r="AF110">
        <f>L127</f>
        <v>78.215750691138183</v>
      </c>
      <c r="AG110" s="384">
        <v>45254</v>
      </c>
    </row>
    <row r="111" spans="1:38">
      <c r="A111" s="148" t="s">
        <v>38</v>
      </c>
      <c r="H111"/>
      <c r="AA111" s="44"/>
      <c r="AC111">
        <v>2022</v>
      </c>
      <c r="AD111" t="s">
        <v>46</v>
      </c>
      <c r="AE111">
        <v>11</v>
      </c>
      <c r="AF111">
        <f>L128</f>
        <v>76.957091869547696</v>
      </c>
      <c r="AG111" s="384">
        <v>45254</v>
      </c>
    </row>
    <row r="112" spans="1:38">
      <c r="A112" s="148" t="s">
        <v>3164</v>
      </c>
      <c r="H112"/>
      <c r="AA112" s="44"/>
      <c r="AC112">
        <v>2022</v>
      </c>
      <c r="AD112" t="s">
        <v>46</v>
      </c>
      <c r="AE112">
        <v>11</v>
      </c>
      <c r="AF112">
        <f>L136</f>
        <v>78.925827688939506</v>
      </c>
      <c r="AG112" s="384">
        <v>45254</v>
      </c>
      <c r="AK112" s="386"/>
      <c r="AL112" t="s">
        <v>3190</v>
      </c>
    </row>
    <row r="113" spans="1:38">
      <c r="A113" s="148">
        <v>45254</v>
      </c>
      <c r="B113">
        <v>1</v>
      </c>
      <c r="C113" t="s">
        <v>45</v>
      </c>
      <c r="H113">
        <v>0</v>
      </c>
      <c r="AA113" s="44"/>
      <c r="AC113">
        <v>2022</v>
      </c>
      <c r="AD113" t="s">
        <v>46</v>
      </c>
      <c r="AE113">
        <v>11</v>
      </c>
      <c r="AF113">
        <f>L137</f>
        <v>74.339003246946731</v>
      </c>
      <c r="AG113" s="384">
        <v>45254</v>
      </c>
      <c r="AK113" s="148">
        <v>45258</v>
      </c>
    </row>
    <row r="114" spans="1:38">
      <c r="A114" s="148">
        <v>45254</v>
      </c>
      <c r="B114">
        <v>2</v>
      </c>
      <c r="C114" t="s">
        <v>49</v>
      </c>
      <c r="H114">
        <v>0.3231</v>
      </c>
      <c r="AA114" s="44"/>
      <c r="AC114">
        <v>2022</v>
      </c>
      <c r="AD114" t="s">
        <v>46</v>
      </c>
      <c r="AE114">
        <v>11</v>
      </c>
      <c r="AF114" s="514">
        <f>L367</f>
        <v>76.095626785712184</v>
      </c>
      <c r="AG114" s="383">
        <v>45357</v>
      </c>
      <c r="AH114">
        <f>((AF114-AF115)/AVERAGE(AF114:AF115))*100</f>
        <v>-1.6642021672239877</v>
      </c>
      <c r="AI114" t="s">
        <v>3088</v>
      </c>
      <c r="AK114" s="148">
        <v>45345</v>
      </c>
    </row>
    <row r="115" spans="1:38">
      <c r="A115" s="148">
        <v>45254</v>
      </c>
      <c r="B115">
        <v>3</v>
      </c>
      <c r="C115" t="s">
        <v>51</v>
      </c>
      <c r="G115">
        <v>0</v>
      </c>
      <c r="H115">
        <v>0.18429999999999999</v>
      </c>
      <c r="I115">
        <v>0.25413000000000002</v>
      </c>
      <c r="J115">
        <v>0.25413000000000002</v>
      </c>
      <c r="AA115" s="44"/>
      <c r="AC115" s="193">
        <v>2022</v>
      </c>
      <c r="AD115" s="193" t="s">
        <v>46</v>
      </c>
      <c r="AE115" s="193">
        <v>11</v>
      </c>
      <c r="AF115" s="516">
        <f>L370</f>
        <v>77.372637878987675</v>
      </c>
      <c r="AG115" s="389">
        <v>45357</v>
      </c>
    </row>
    <row r="116" spans="1:38">
      <c r="A116" s="148">
        <v>45254</v>
      </c>
      <c r="B116">
        <v>4</v>
      </c>
      <c r="C116" t="s">
        <v>3191</v>
      </c>
      <c r="D116">
        <v>273.60000000000002</v>
      </c>
      <c r="G116">
        <v>273.54528000000005</v>
      </c>
      <c r="H116">
        <v>30.991900000000001</v>
      </c>
      <c r="I116">
        <v>0.25413000000000002</v>
      </c>
      <c r="J116">
        <v>30.737770000000001</v>
      </c>
      <c r="K116">
        <v>278.22067103470584</v>
      </c>
      <c r="L116" s="277">
        <v>101.70918358916879</v>
      </c>
      <c r="M116">
        <v>256.16514565362201</v>
      </c>
      <c r="N116">
        <v>93.646340983701847</v>
      </c>
      <c r="O116">
        <v>128</v>
      </c>
      <c r="P116">
        <v>41.7</v>
      </c>
      <c r="Q116">
        <v>100</v>
      </c>
      <c r="R116">
        <v>3</v>
      </c>
      <c r="S116" t="s">
        <v>54</v>
      </c>
      <c r="T116" t="s">
        <v>54</v>
      </c>
      <c r="AA116" s="44"/>
      <c r="AC116" s="475">
        <v>2022</v>
      </c>
      <c r="AD116" s="476" t="s">
        <v>46</v>
      </c>
      <c r="AE116" s="476">
        <v>12</v>
      </c>
      <c r="AF116" s="515">
        <f>L102</f>
        <v>76.072800499600376</v>
      </c>
      <c r="AG116" s="482">
        <v>45163</v>
      </c>
      <c r="AH116">
        <f>((AF116-AF117)/AVERAGE(AF116:AF117))*100</f>
        <v>-0.38911034099111941</v>
      </c>
      <c r="AI116" t="s">
        <v>3088</v>
      </c>
    </row>
    <row r="117" spans="1:38">
      <c r="A117" s="148">
        <v>45254</v>
      </c>
      <c r="B117">
        <v>5</v>
      </c>
      <c r="C117" t="s">
        <v>3192</v>
      </c>
      <c r="D117">
        <v>1026.3</v>
      </c>
      <c r="G117">
        <v>1026.09474</v>
      </c>
      <c r="H117">
        <v>113.79770000000001</v>
      </c>
      <c r="I117">
        <v>0.25413000000000002</v>
      </c>
      <c r="J117">
        <v>113.54357</v>
      </c>
      <c r="K117">
        <v>1012.6408848846193</v>
      </c>
      <c r="L117" s="277">
        <v>98.688829150865658</v>
      </c>
      <c r="M117">
        <v>946.25944390507914</v>
      </c>
      <c r="N117">
        <v>92.219500501978899</v>
      </c>
      <c r="O117">
        <v>128</v>
      </c>
      <c r="P117">
        <v>41.7</v>
      </c>
      <c r="Q117">
        <v>100</v>
      </c>
      <c r="R117">
        <v>3</v>
      </c>
      <c r="S117" t="s">
        <v>54</v>
      </c>
      <c r="T117" t="s">
        <v>54</v>
      </c>
      <c r="AA117" s="44"/>
      <c r="AC117" s="471">
        <v>2022</v>
      </c>
      <c r="AD117" t="s">
        <v>46</v>
      </c>
      <c r="AE117">
        <v>12</v>
      </c>
      <c r="AF117" s="514">
        <f>L368</f>
        <v>76.369384652830846</v>
      </c>
      <c r="AG117" s="484">
        <v>45357</v>
      </c>
    </row>
    <row r="118" spans="1:38">
      <c r="A118" s="148">
        <v>45254</v>
      </c>
      <c r="B118">
        <v>6</v>
      </c>
      <c r="C118" t="s">
        <v>3193</v>
      </c>
      <c r="D118">
        <v>1977.8</v>
      </c>
      <c r="G118">
        <v>1977.40444</v>
      </c>
      <c r="H118">
        <v>221.13630000000001</v>
      </c>
      <c r="I118">
        <v>0.25413000000000002</v>
      </c>
      <c r="J118">
        <v>220.88217</v>
      </c>
      <c r="K118">
        <v>1964.6471159258062</v>
      </c>
      <c r="L118" s="277">
        <v>99.354844976771986</v>
      </c>
      <c r="M118">
        <v>1840.807360141549</v>
      </c>
      <c r="N118">
        <v>93.092102096298987</v>
      </c>
      <c r="O118">
        <v>128</v>
      </c>
      <c r="P118">
        <v>41.7</v>
      </c>
      <c r="Q118">
        <v>100</v>
      </c>
      <c r="R118">
        <v>3</v>
      </c>
      <c r="S118" t="s">
        <v>54</v>
      </c>
      <c r="T118" t="s">
        <v>54</v>
      </c>
      <c r="AA118" s="44"/>
      <c r="AC118" s="475">
        <v>2022</v>
      </c>
      <c r="AD118" s="476" t="s">
        <v>46</v>
      </c>
      <c r="AE118" s="476">
        <v>13</v>
      </c>
      <c r="AF118" s="515">
        <f>L103</f>
        <v>75.024729850989218</v>
      </c>
      <c r="AG118" s="477">
        <v>45163</v>
      </c>
      <c r="AH118" s="478">
        <f>((AF118-AF119)/AVERAGE(AF118:AF119))*100</f>
        <v>0.89221997997297042</v>
      </c>
      <c r="AI118" t="s">
        <v>3088</v>
      </c>
    </row>
    <row r="119" spans="1:38">
      <c r="A119" s="148">
        <v>45254</v>
      </c>
      <c r="B119">
        <v>7</v>
      </c>
      <c r="C119" t="s">
        <v>3194</v>
      </c>
      <c r="D119">
        <v>3033.1</v>
      </c>
      <c r="G119">
        <v>3032.4933799999999</v>
      </c>
      <c r="H119">
        <v>343.57060000000001</v>
      </c>
      <c r="I119">
        <v>0.25413000000000002</v>
      </c>
      <c r="J119">
        <v>343.31647000000004</v>
      </c>
      <c r="K119">
        <v>3050.539949381488</v>
      </c>
      <c r="L119" s="277">
        <v>100.59510663734699</v>
      </c>
      <c r="M119">
        <v>2861.1611558950876</v>
      </c>
      <c r="N119">
        <v>94.350120424503217</v>
      </c>
      <c r="O119">
        <v>128</v>
      </c>
      <c r="P119">
        <v>41.7</v>
      </c>
      <c r="Q119">
        <v>100</v>
      </c>
      <c r="R119">
        <v>3</v>
      </c>
      <c r="S119" t="s">
        <v>54</v>
      </c>
      <c r="T119" t="s">
        <v>54</v>
      </c>
      <c r="AA119" s="44"/>
      <c r="AC119" s="473">
        <v>2022</v>
      </c>
      <c r="AD119" s="193" t="s">
        <v>46</v>
      </c>
      <c r="AE119" s="193">
        <v>13</v>
      </c>
      <c r="AF119" s="516">
        <f>L371</f>
        <v>74.358317154949518</v>
      </c>
      <c r="AG119" s="389">
        <v>45357</v>
      </c>
      <c r="AH119" s="474"/>
      <c r="AK119" s="388"/>
      <c r="AL119" t="s">
        <v>3195</v>
      </c>
    </row>
    <row r="120" spans="1:38">
      <c r="A120" s="148">
        <v>45254</v>
      </c>
      <c r="B120">
        <v>8</v>
      </c>
      <c r="C120" t="s">
        <v>3196</v>
      </c>
      <c r="D120">
        <v>3888.2</v>
      </c>
      <c r="G120">
        <v>3887.42236</v>
      </c>
      <c r="H120">
        <v>437.43669999999997</v>
      </c>
      <c r="I120">
        <v>0.25413000000000002</v>
      </c>
      <c r="J120">
        <v>437.18257</v>
      </c>
      <c r="K120">
        <v>3883.0560440905219</v>
      </c>
      <c r="L120" s="277">
        <v>99.887680948836291</v>
      </c>
      <c r="M120">
        <v>3643.4307603080765</v>
      </c>
      <c r="N120">
        <v>93.72356340277048</v>
      </c>
      <c r="O120">
        <v>128</v>
      </c>
      <c r="P120">
        <v>41.7</v>
      </c>
      <c r="Q120">
        <v>100</v>
      </c>
      <c r="R120">
        <v>3</v>
      </c>
      <c r="S120" t="s">
        <v>54</v>
      </c>
      <c r="T120" t="s">
        <v>54</v>
      </c>
      <c r="AA120" s="44"/>
      <c r="AC120" s="475">
        <v>2022</v>
      </c>
      <c r="AD120" s="476" t="s">
        <v>46</v>
      </c>
      <c r="AE120" s="476">
        <v>14</v>
      </c>
      <c r="AF120" s="515">
        <f>L104</f>
        <v>73.301160815601335</v>
      </c>
      <c r="AG120" s="477">
        <v>45163</v>
      </c>
      <c r="AH120" s="478">
        <f>((AF120-AF121)/AVERAGE(AF120:AF121))*100</f>
        <v>-1.4688061862973911</v>
      </c>
      <c r="AI120" t="s">
        <v>3088</v>
      </c>
      <c r="AK120" s="148">
        <v>45261</v>
      </c>
    </row>
    <row r="121" spans="1:38">
      <c r="A121" s="148">
        <v>45254</v>
      </c>
      <c r="B121">
        <v>9</v>
      </c>
      <c r="C121" t="s">
        <v>61</v>
      </c>
      <c r="H121">
        <v>0.74009999999999998</v>
      </c>
      <c r="I121">
        <v>0.25413000000000002</v>
      </c>
      <c r="J121">
        <v>0.48596999999999996</v>
      </c>
      <c r="K121">
        <v>9.9117672460242527</v>
      </c>
      <c r="O121">
        <v>128</v>
      </c>
      <c r="P121">
        <v>41.7</v>
      </c>
      <c r="Q121">
        <v>100</v>
      </c>
      <c r="R121">
        <v>3</v>
      </c>
      <c r="S121" t="s">
        <v>54</v>
      </c>
      <c r="T121" t="s">
        <v>54</v>
      </c>
      <c r="X121" s="376"/>
      <c r="AA121" s="44"/>
      <c r="AC121" s="473">
        <v>2022</v>
      </c>
      <c r="AD121" s="193" t="s">
        <v>46</v>
      </c>
      <c r="AE121" s="193">
        <v>14</v>
      </c>
      <c r="AF121" s="516">
        <f>L372</f>
        <v>74.385778264381358</v>
      </c>
      <c r="AG121" s="389">
        <v>45357</v>
      </c>
      <c r="AH121" s="474"/>
    </row>
    <row r="122" spans="1:38">
      <c r="A122" s="148">
        <v>45254</v>
      </c>
      <c r="B122">
        <v>10</v>
      </c>
      <c r="C122" t="s">
        <v>63</v>
      </c>
      <c r="H122">
        <v>0.13389999999999999</v>
      </c>
      <c r="I122">
        <v>0.25413000000000002</v>
      </c>
      <c r="J122">
        <v>-0.12023000000000003</v>
      </c>
      <c r="K122">
        <v>4.535265435332037</v>
      </c>
      <c r="O122">
        <v>128</v>
      </c>
      <c r="P122">
        <v>41.7</v>
      </c>
      <c r="Q122">
        <v>100</v>
      </c>
      <c r="R122">
        <v>3</v>
      </c>
      <c r="S122" t="s">
        <v>54</v>
      </c>
      <c r="T122" t="s">
        <v>54</v>
      </c>
      <c r="X122" s="220"/>
      <c r="Y122" s="220"/>
      <c r="AA122" s="44"/>
      <c r="AC122" s="475">
        <v>2022</v>
      </c>
      <c r="AD122" s="476" t="s">
        <v>46</v>
      </c>
      <c r="AE122" s="476">
        <v>15</v>
      </c>
      <c r="AF122" s="476">
        <f>L138</f>
        <v>72.094270741850764</v>
      </c>
      <c r="AG122" s="485">
        <v>45254</v>
      </c>
      <c r="AH122" s="478"/>
    </row>
    <row r="123" spans="1:38">
      <c r="A123" s="148">
        <v>45254</v>
      </c>
      <c r="B123">
        <v>11</v>
      </c>
      <c r="C123" t="s">
        <v>64</v>
      </c>
      <c r="D123">
        <v>966.3</v>
      </c>
      <c r="H123">
        <v>12.821</v>
      </c>
      <c r="I123">
        <v>0.25413000000000002</v>
      </c>
      <c r="J123">
        <v>12.56687</v>
      </c>
      <c r="K123">
        <v>117.05954145386258</v>
      </c>
      <c r="L123" s="277">
        <v>12.114202779039903</v>
      </c>
      <c r="M123">
        <v>104.73089244796003</v>
      </c>
      <c r="N123">
        <v>10.838341348231403</v>
      </c>
      <c r="O123">
        <v>128</v>
      </c>
      <c r="P123">
        <v>41.7</v>
      </c>
      <c r="Q123">
        <v>100</v>
      </c>
      <c r="R123">
        <v>3</v>
      </c>
      <c r="S123" t="s">
        <v>54</v>
      </c>
      <c r="T123" t="s">
        <v>54</v>
      </c>
      <c r="X123" s="220"/>
      <c r="Y123" s="220"/>
      <c r="AA123" s="44"/>
      <c r="AC123" s="471">
        <v>2022</v>
      </c>
      <c r="AD123" t="s">
        <v>46</v>
      </c>
      <c r="AE123">
        <v>15</v>
      </c>
      <c r="AF123">
        <f>L139</f>
        <v>71.691944980202948</v>
      </c>
      <c r="AG123" s="384">
        <v>45254</v>
      </c>
      <c r="AH123" s="470"/>
    </row>
    <row r="124" spans="1:38">
      <c r="A124" s="148">
        <v>45254</v>
      </c>
      <c r="B124">
        <v>12</v>
      </c>
      <c r="C124" t="s">
        <v>64</v>
      </c>
      <c r="D124">
        <v>1964.3</v>
      </c>
      <c r="H124">
        <v>26.897300000000001</v>
      </c>
      <c r="I124">
        <v>0.25413000000000002</v>
      </c>
      <c r="J124">
        <v>26.643170000000001</v>
      </c>
      <c r="K124">
        <v>241.90489354532883</v>
      </c>
      <c r="L124" s="277">
        <v>12.315068652717448</v>
      </c>
      <c r="M124">
        <v>222.04120610324733</v>
      </c>
      <c r="N124">
        <v>11.303833737374502</v>
      </c>
      <c r="O124">
        <v>128</v>
      </c>
      <c r="P124">
        <v>41.7</v>
      </c>
      <c r="Q124">
        <v>100</v>
      </c>
      <c r="R124">
        <v>3</v>
      </c>
      <c r="S124" t="s">
        <v>54</v>
      </c>
      <c r="T124" t="s">
        <v>54</v>
      </c>
      <c r="X124" s="220"/>
      <c r="Y124" s="220"/>
      <c r="AA124" s="44"/>
      <c r="AC124" s="473">
        <v>2022</v>
      </c>
      <c r="AD124" s="193" t="s">
        <v>46</v>
      </c>
      <c r="AE124" s="193">
        <v>15</v>
      </c>
      <c r="AF124" s="516">
        <f>L373</f>
        <v>71.153571201162194</v>
      </c>
      <c r="AG124" s="389">
        <v>45357</v>
      </c>
      <c r="AH124" s="481"/>
    </row>
    <row r="125" spans="1:38">
      <c r="A125" s="148">
        <v>45254</v>
      </c>
      <c r="B125">
        <v>13</v>
      </c>
      <c r="C125" t="s">
        <v>65</v>
      </c>
      <c r="H125">
        <v>0</v>
      </c>
      <c r="I125">
        <v>0.25413000000000002</v>
      </c>
      <c r="J125">
        <v>-0.25413000000000002</v>
      </c>
      <c r="K125">
        <v>3.3476811521718792</v>
      </c>
      <c r="O125">
        <v>128</v>
      </c>
      <c r="P125">
        <v>41.7</v>
      </c>
      <c r="Q125">
        <v>100</v>
      </c>
      <c r="R125">
        <v>3</v>
      </c>
      <c r="S125" t="s">
        <v>54</v>
      </c>
      <c r="T125" t="s">
        <v>54</v>
      </c>
      <c r="X125" s="220"/>
      <c r="Y125" s="220"/>
      <c r="AA125" s="44"/>
      <c r="AC125" s="263">
        <v>2022</v>
      </c>
      <c r="AD125" s="263" t="s">
        <v>46</v>
      </c>
      <c r="AE125" s="263">
        <v>16</v>
      </c>
      <c r="AF125" s="263" t="s">
        <v>3159</v>
      </c>
      <c r="AG125" s="263"/>
    </row>
    <row r="126" spans="1:38" ht="15.5">
      <c r="A126" s="148">
        <v>45254</v>
      </c>
      <c r="B126">
        <v>14</v>
      </c>
      <c r="C126" t="s">
        <v>66</v>
      </c>
      <c r="H126">
        <v>0.1</v>
      </c>
      <c r="I126">
        <v>0.25413000000000002</v>
      </c>
      <c r="J126">
        <v>-0.15413000000000002</v>
      </c>
      <c r="K126">
        <v>4.2345999596103843</v>
      </c>
      <c r="O126">
        <v>128</v>
      </c>
      <c r="P126">
        <v>41.7</v>
      </c>
      <c r="Q126">
        <v>100</v>
      </c>
      <c r="R126">
        <v>3</v>
      </c>
      <c r="S126" t="s">
        <v>54</v>
      </c>
      <c r="T126" t="s">
        <v>54</v>
      </c>
      <c r="X126" s="220"/>
      <c r="Y126" s="220"/>
      <c r="AA126" s="52"/>
      <c r="AC126" s="263">
        <v>2022</v>
      </c>
      <c r="AD126" s="263" t="s">
        <v>46</v>
      </c>
      <c r="AE126" s="263">
        <v>17</v>
      </c>
      <c r="AF126" s="263" t="s">
        <v>3159</v>
      </c>
      <c r="AG126" s="263"/>
    </row>
    <row r="127" spans="1:38" ht="15.5">
      <c r="A127" s="148">
        <v>45254</v>
      </c>
      <c r="B127">
        <v>15</v>
      </c>
      <c r="C127" t="s">
        <v>3197</v>
      </c>
      <c r="D127">
        <v>2326.3000000000002</v>
      </c>
      <c r="E127" t="s">
        <v>3198</v>
      </c>
      <c r="H127">
        <v>204.7747</v>
      </c>
      <c r="I127">
        <v>0.25413000000000002</v>
      </c>
      <c r="J127">
        <v>204.52056999999999</v>
      </c>
      <c r="K127">
        <v>1819.5330083279478</v>
      </c>
      <c r="L127" s="277">
        <v>78.215750691138183</v>
      </c>
      <c r="M127">
        <v>1704.451611265612</v>
      </c>
      <c r="N127">
        <v>73.268779231638732</v>
      </c>
      <c r="O127">
        <v>128</v>
      </c>
      <c r="P127">
        <v>41.7</v>
      </c>
      <c r="Q127">
        <v>100</v>
      </c>
      <c r="R127">
        <v>3</v>
      </c>
      <c r="S127" t="s">
        <v>54</v>
      </c>
      <c r="T127" t="s">
        <v>54</v>
      </c>
      <c r="X127" s="220"/>
      <c r="Y127" s="220"/>
      <c r="AA127" s="347"/>
      <c r="AC127">
        <v>2022</v>
      </c>
      <c r="AD127" t="s">
        <v>46</v>
      </c>
      <c r="AE127">
        <v>18</v>
      </c>
      <c r="AF127" s="514">
        <f>L458</f>
        <v>70.446478281874576</v>
      </c>
      <c r="AG127" s="383">
        <v>45373</v>
      </c>
    </row>
    <row r="128" spans="1:38" ht="15.5">
      <c r="A128" s="148">
        <v>45254</v>
      </c>
      <c r="B128">
        <v>16</v>
      </c>
      <c r="C128" t="s">
        <v>3199</v>
      </c>
      <c r="D128">
        <v>2652.6</v>
      </c>
      <c r="H128">
        <v>229.7861</v>
      </c>
      <c r="I128">
        <v>0.25413000000000002</v>
      </c>
      <c r="J128">
        <v>229.53197</v>
      </c>
      <c r="K128">
        <v>2041.3638189316218</v>
      </c>
      <c r="L128" s="277">
        <v>76.957091869547696</v>
      </c>
      <c r="M128">
        <v>1912.8938282514571</v>
      </c>
      <c r="N128">
        <v>72.113919484711488</v>
      </c>
      <c r="O128">
        <v>128</v>
      </c>
      <c r="P128">
        <v>41.7</v>
      </c>
      <c r="Q128">
        <v>100</v>
      </c>
      <c r="R128">
        <v>3</v>
      </c>
      <c r="S128" t="s">
        <v>54</v>
      </c>
      <c r="T128" t="s">
        <v>54</v>
      </c>
      <c r="Y128" s="378"/>
      <c r="Z128" s="377"/>
      <c r="AA128" s="44"/>
      <c r="AC128">
        <v>2022</v>
      </c>
      <c r="AD128" t="s">
        <v>46</v>
      </c>
      <c r="AE128">
        <v>19</v>
      </c>
      <c r="AF128" s="514">
        <f t="shared" ref="AF128:AF129" si="8">L459</f>
        <v>70.987032078938213</v>
      </c>
      <c r="AG128" s="383">
        <v>45373</v>
      </c>
    </row>
    <row r="129" spans="1:35" ht="15.5">
      <c r="A129" s="148">
        <v>45254</v>
      </c>
      <c r="B129">
        <v>17</v>
      </c>
      <c r="C129" t="s">
        <v>119</v>
      </c>
      <c r="D129">
        <v>3118.7</v>
      </c>
      <c r="H129">
        <v>251.71190000000001</v>
      </c>
      <c r="I129">
        <v>0.25413000000000002</v>
      </c>
      <c r="J129">
        <v>251.45777000000001</v>
      </c>
      <c r="K129">
        <v>2235.8278628129738</v>
      </c>
      <c r="L129" s="277">
        <v>71.691020707762007</v>
      </c>
      <c r="M129">
        <v>2095.6209991090759</v>
      </c>
      <c r="N129">
        <v>67.195337772439672</v>
      </c>
      <c r="O129">
        <v>128</v>
      </c>
      <c r="P129">
        <v>41.7</v>
      </c>
      <c r="Q129">
        <v>100</v>
      </c>
      <c r="R129">
        <v>3</v>
      </c>
      <c r="S129" t="s">
        <v>54</v>
      </c>
      <c r="T129" t="s">
        <v>54</v>
      </c>
      <c r="Y129" s="378"/>
      <c r="Z129" s="377"/>
      <c r="AA129" s="44"/>
      <c r="AC129">
        <v>2022</v>
      </c>
      <c r="AD129" t="s">
        <v>46</v>
      </c>
      <c r="AE129">
        <v>20</v>
      </c>
      <c r="AF129" s="514">
        <f t="shared" si="8"/>
        <v>64.74330861420539</v>
      </c>
      <c r="AG129" s="383">
        <v>45373</v>
      </c>
    </row>
    <row r="130" spans="1:35">
      <c r="A130" s="148">
        <v>45254</v>
      </c>
      <c r="B130">
        <v>18</v>
      </c>
      <c r="C130" t="s">
        <v>121</v>
      </c>
      <c r="D130">
        <v>2394.6999999999998</v>
      </c>
      <c r="H130">
        <v>184.34129999999999</v>
      </c>
      <c r="I130">
        <v>0.25413000000000002</v>
      </c>
      <c r="J130">
        <v>184.08716999999999</v>
      </c>
      <c r="K130">
        <v>1638.3053407288082</v>
      </c>
      <c r="L130" s="277">
        <v>68.413803012018562</v>
      </c>
      <c r="M130">
        <v>1534.1619354954205</v>
      </c>
      <c r="N130">
        <v>64.064890612411602</v>
      </c>
      <c r="O130">
        <v>128</v>
      </c>
      <c r="P130">
        <v>41.7</v>
      </c>
      <c r="Q130">
        <v>100</v>
      </c>
      <c r="R130">
        <v>3</v>
      </c>
      <c r="S130" t="s">
        <v>54</v>
      </c>
      <c r="T130" t="s">
        <v>54</v>
      </c>
      <c r="AA130" s="44"/>
      <c r="AC130">
        <v>2022</v>
      </c>
      <c r="AD130" t="s">
        <v>46</v>
      </c>
      <c r="AE130">
        <v>21</v>
      </c>
      <c r="AF130" s="514">
        <f>L462</f>
        <v>70.123018513013619</v>
      </c>
      <c r="AG130" s="383">
        <v>45373</v>
      </c>
    </row>
    <row r="131" spans="1:35">
      <c r="A131" s="148">
        <v>45254</v>
      </c>
      <c r="B131">
        <v>19</v>
      </c>
      <c r="C131" t="s">
        <v>3200</v>
      </c>
      <c r="D131">
        <v>2046.2</v>
      </c>
      <c r="H131">
        <v>69.83</v>
      </c>
      <c r="I131">
        <v>0.25413000000000002</v>
      </c>
      <c r="J131">
        <v>69.575869999999995</v>
      </c>
      <c r="K131">
        <v>622.68308438647978</v>
      </c>
      <c r="L131" s="277">
        <v>30.431193646099096</v>
      </c>
      <c r="M131">
        <v>579.83753774354705</v>
      </c>
      <c r="N131">
        <v>28.337285590047262</v>
      </c>
      <c r="O131">
        <v>128</v>
      </c>
      <c r="P131">
        <v>41.7</v>
      </c>
      <c r="Q131">
        <v>100</v>
      </c>
      <c r="R131">
        <v>3</v>
      </c>
      <c r="S131" t="s">
        <v>54</v>
      </c>
      <c r="T131" t="s">
        <v>54</v>
      </c>
      <c r="AA131" s="44"/>
    </row>
    <row r="132" spans="1:35">
      <c r="A132" s="148">
        <v>45254</v>
      </c>
      <c r="B132">
        <v>20</v>
      </c>
      <c r="C132" t="s">
        <v>3201</v>
      </c>
      <c r="D132">
        <v>2295.1</v>
      </c>
      <c r="H132">
        <v>80.501900000000006</v>
      </c>
      <c r="I132">
        <v>0.25413000000000002</v>
      </c>
      <c r="J132">
        <v>80.247770000000003</v>
      </c>
      <c r="K132">
        <v>717.33417259750956</v>
      </c>
      <c r="L132" s="277">
        <v>31.255029087948653</v>
      </c>
      <c r="M132">
        <v>668.77596164029978</v>
      </c>
      <c r="N132">
        <v>29.139295091294489</v>
      </c>
      <c r="O132">
        <v>128</v>
      </c>
      <c r="P132">
        <v>41.7</v>
      </c>
      <c r="Q132">
        <v>100</v>
      </c>
      <c r="R132">
        <v>3</v>
      </c>
      <c r="S132" t="s">
        <v>54</v>
      </c>
      <c r="T132" t="s">
        <v>54</v>
      </c>
      <c r="AA132" s="44"/>
      <c r="AC132">
        <v>2022</v>
      </c>
      <c r="AD132" t="s">
        <v>76</v>
      </c>
      <c r="AE132">
        <v>1</v>
      </c>
      <c r="AF132" s="514">
        <f>L396</f>
        <v>73.22242712567386</v>
      </c>
      <c r="AG132" s="383">
        <v>45370</v>
      </c>
    </row>
    <row r="133" spans="1:35">
      <c r="A133" s="148">
        <v>45254</v>
      </c>
      <c r="B133">
        <v>21</v>
      </c>
      <c r="C133" t="s">
        <v>3202</v>
      </c>
      <c r="D133">
        <v>2373.4</v>
      </c>
      <c r="H133">
        <v>170.6756</v>
      </c>
      <c r="I133">
        <v>0.25413000000000002</v>
      </c>
      <c r="J133">
        <v>170.42147</v>
      </c>
      <c r="K133">
        <v>1517.1016772606845</v>
      </c>
      <c r="L133" s="277">
        <v>63.921027945592165</v>
      </c>
      <c r="M133">
        <v>1420.2735164279768</v>
      </c>
      <c r="N133">
        <v>59.841304307237579</v>
      </c>
      <c r="O133">
        <v>128</v>
      </c>
      <c r="P133">
        <v>41.7</v>
      </c>
      <c r="Q133">
        <v>100</v>
      </c>
      <c r="R133">
        <v>3</v>
      </c>
      <c r="S133" t="s">
        <v>54</v>
      </c>
      <c r="T133" t="s">
        <v>54</v>
      </c>
      <c r="AA133" s="44"/>
      <c r="AC133" s="475">
        <v>2022</v>
      </c>
      <c r="AD133" s="476" t="s">
        <v>76</v>
      </c>
      <c r="AE133" s="476">
        <v>2</v>
      </c>
      <c r="AF133" s="515">
        <f>L397</f>
        <v>73.958267995989985</v>
      </c>
      <c r="AG133" s="482">
        <v>45370</v>
      </c>
      <c r="AH133">
        <f>((AF133-AF134)/AVERAGE(AF133:AF134))*100</f>
        <v>0.41968372015136157</v>
      </c>
      <c r="AI133" t="s">
        <v>3088</v>
      </c>
    </row>
    <row r="134" spans="1:35">
      <c r="A134" s="148">
        <v>45254</v>
      </c>
      <c r="B134">
        <v>23</v>
      </c>
      <c r="C134" t="s">
        <v>74</v>
      </c>
      <c r="H134">
        <v>0.46229999999999999</v>
      </c>
      <c r="I134">
        <v>0.25413000000000002</v>
      </c>
      <c r="J134">
        <v>0.20816999999999997</v>
      </c>
      <c r="K134">
        <v>7.4479067989600871</v>
      </c>
      <c r="M134">
        <v>1.7348655537052453</v>
      </c>
      <c r="O134">
        <v>128</v>
      </c>
      <c r="P134">
        <v>41.7</v>
      </c>
      <c r="Q134">
        <v>100</v>
      </c>
      <c r="R134">
        <v>3</v>
      </c>
      <c r="S134" t="s">
        <v>54</v>
      </c>
      <c r="T134" t="s">
        <v>54</v>
      </c>
      <c r="AA134" s="44"/>
      <c r="AC134" s="473">
        <v>2022</v>
      </c>
      <c r="AD134" s="193" t="s">
        <v>76</v>
      </c>
      <c r="AE134" s="193">
        <v>2</v>
      </c>
      <c r="AF134" s="516">
        <f>L491</f>
        <v>73.648527151454488</v>
      </c>
      <c r="AG134" s="483">
        <v>45405</v>
      </c>
    </row>
    <row r="135" spans="1:35">
      <c r="A135" s="148">
        <v>45254</v>
      </c>
      <c r="B135">
        <v>22</v>
      </c>
      <c r="C135" t="s">
        <v>3203</v>
      </c>
      <c r="D135">
        <v>3033.4</v>
      </c>
      <c r="H135">
        <v>219.3553</v>
      </c>
      <c r="I135">
        <v>0.25413000000000002</v>
      </c>
      <c r="J135">
        <v>219.10117</v>
      </c>
      <c r="K135">
        <v>1948.8510919653263</v>
      </c>
      <c r="L135" s="277">
        <v>64.246426187292343</v>
      </c>
      <c r="M135">
        <v>1825.9647048542881</v>
      </c>
      <c r="N135">
        <v>60.195315647599656</v>
      </c>
      <c r="O135">
        <v>128</v>
      </c>
      <c r="P135">
        <v>41.7</v>
      </c>
      <c r="Q135">
        <v>100</v>
      </c>
      <c r="R135">
        <v>3</v>
      </c>
      <c r="S135" t="s">
        <v>54</v>
      </c>
      <c r="T135" t="s">
        <v>54</v>
      </c>
      <c r="AA135" s="44"/>
      <c r="AC135">
        <v>2022</v>
      </c>
      <c r="AD135" t="s">
        <v>76</v>
      </c>
      <c r="AE135">
        <v>3</v>
      </c>
      <c r="AF135" s="514">
        <f>L398</f>
        <v>71.855473522521095</v>
      </c>
      <c r="AG135" s="383">
        <v>45370</v>
      </c>
    </row>
    <row r="136" spans="1:35">
      <c r="A136" s="148">
        <v>45254</v>
      </c>
      <c r="B136">
        <v>24</v>
      </c>
      <c r="C136" t="s">
        <v>3197</v>
      </c>
      <c r="D136">
        <v>2340.6999999999998</v>
      </c>
      <c r="H136">
        <v>207.9186</v>
      </c>
      <c r="I136">
        <v>0.25413000000000002</v>
      </c>
      <c r="J136">
        <v>207.66446999999999</v>
      </c>
      <c r="K136">
        <v>1847.4168487150068</v>
      </c>
      <c r="L136" s="277">
        <v>78.925827688939506</v>
      </c>
      <c r="M136">
        <v>1730.6525230890925</v>
      </c>
      <c r="N136">
        <v>73.937391510620444</v>
      </c>
      <c r="O136">
        <v>128</v>
      </c>
      <c r="P136">
        <v>41.7</v>
      </c>
      <c r="Q136">
        <v>100</v>
      </c>
      <c r="R136">
        <v>3</v>
      </c>
      <c r="S136" t="s">
        <v>54</v>
      </c>
      <c r="T136" t="s">
        <v>54</v>
      </c>
      <c r="AA136" s="44"/>
      <c r="AC136">
        <v>2022</v>
      </c>
      <c r="AD136" t="s">
        <v>76</v>
      </c>
      <c r="AE136">
        <v>4</v>
      </c>
      <c r="AF136" s="514">
        <f>L401</f>
        <v>70.84442953702181</v>
      </c>
      <c r="AG136" s="383">
        <v>45370</v>
      </c>
    </row>
    <row r="137" spans="1:35">
      <c r="A137" s="148">
        <v>45254</v>
      </c>
      <c r="B137">
        <v>25</v>
      </c>
      <c r="C137" t="s">
        <v>138</v>
      </c>
      <c r="D137">
        <v>2250.6999999999998</v>
      </c>
      <c r="H137">
        <v>188.2698</v>
      </c>
      <c r="I137">
        <v>0.25413000000000002</v>
      </c>
      <c r="J137">
        <v>188.01567</v>
      </c>
      <c r="K137">
        <v>1673.1479460790299</v>
      </c>
      <c r="L137" s="277">
        <v>74.339003246946731</v>
      </c>
      <c r="M137">
        <v>1566.9016161781849</v>
      </c>
      <c r="N137">
        <v>69.618412768391394</v>
      </c>
      <c r="O137">
        <v>128</v>
      </c>
      <c r="P137">
        <v>41.7</v>
      </c>
      <c r="Q137">
        <v>100</v>
      </c>
      <c r="R137">
        <v>3</v>
      </c>
      <c r="S137" t="s">
        <v>54</v>
      </c>
      <c r="T137" t="s">
        <v>54</v>
      </c>
      <c r="AA137" s="44"/>
      <c r="AC137">
        <v>2022</v>
      </c>
      <c r="AD137" t="s">
        <v>76</v>
      </c>
      <c r="AE137">
        <v>5</v>
      </c>
      <c r="AF137" s="514">
        <f>L402</f>
        <v>72.170712113184663</v>
      </c>
      <c r="AG137" s="383">
        <v>45370</v>
      </c>
    </row>
    <row r="138" spans="1:35">
      <c r="A138" s="148">
        <v>45254</v>
      </c>
      <c r="B138">
        <v>26</v>
      </c>
      <c r="C138" t="s">
        <v>3204</v>
      </c>
      <c r="D138">
        <v>2538.5</v>
      </c>
      <c r="H138">
        <v>205.9676</v>
      </c>
      <c r="I138">
        <v>0.25413000000000002</v>
      </c>
      <c r="J138">
        <v>205.71347</v>
      </c>
      <c r="K138">
        <v>1830.1130627818816</v>
      </c>
      <c r="L138" s="277">
        <v>72.094270741850764</v>
      </c>
      <c r="M138">
        <v>1714.3931067693591</v>
      </c>
      <c r="N138">
        <v>67.535674877658423</v>
      </c>
      <c r="O138">
        <v>128</v>
      </c>
      <c r="P138">
        <v>41.7</v>
      </c>
      <c r="Q138">
        <v>100</v>
      </c>
      <c r="R138">
        <v>3</v>
      </c>
      <c r="S138" t="s">
        <v>54</v>
      </c>
      <c r="T138" t="s">
        <v>54</v>
      </c>
      <c r="AA138" s="44"/>
      <c r="AC138" s="475">
        <v>2022</v>
      </c>
      <c r="AD138" s="476" t="s">
        <v>76</v>
      </c>
      <c r="AE138" s="476">
        <v>6</v>
      </c>
      <c r="AF138" s="515">
        <f>L403</f>
        <v>70.987413562517972</v>
      </c>
      <c r="AG138" s="482">
        <v>45370</v>
      </c>
      <c r="AH138">
        <f>((AF138-AF139)/AVERAGE(AF138:AF139))*100</f>
        <v>-1.216913742707979</v>
      </c>
      <c r="AI138" t="s">
        <v>3088</v>
      </c>
    </row>
    <row r="139" spans="1:35">
      <c r="A139" s="148">
        <v>45254</v>
      </c>
      <c r="B139">
        <v>27</v>
      </c>
      <c r="C139" t="s">
        <v>3205</v>
      </c>
      <c r="D139">
        <v>2625</v>
      </c>
      <c r="H139">
        <v>211.8081</v>
      </c>
      <c r="I139">
        <v>0.25413000000000002</v>
      </c>
      <c r="J139">
        <v>211.55396999999999</v>
      </c>
      <c r="K139">
        <v>1881.9135557303275</v>
      </c>
      <c r="L139" s="277">
        <v>71.691944980202948</v>
      </c>
      <c r="M139">
        <v>1763.0671821232306</v>
      </c>
      <c r="N139">
        <v>67.164464080884969</v>
      </c>
      <c r="O139">
        <v>128</v>
      </c>
      <c r="P139">
        <v>41.7</v>
      </c>
      <c r="Q139">
        <v>100</v>
      </c>
      <c r="R139">
        <v>3</v>
      </c>
      <c r="S139" t="s">
        <v>54</v>
      </c>
      <c r="T139" t="s">
        <v>54</v>
      </c>
      <c r="AA139" s="44"/>
      <c r="AC139" s="473">
        <v>2022</v>
      </c>
      <c r="AD139" s="193" t="s">
        <v>76</v>
      </c>
      <c r="AE139" s="193">
        <v>6</v>
      </c>
      <c r="AF139" s="516">
        <f>L399</f>
        <v>71.856557519883751</v>
      </c>
      <c r="AG139" s="483">
        <v>45370</v>
      </c>
    </row>
    <row r="140" spans="1:35">
      <c r="A140" s="148">
        <v>45254</v>
      </c>
      <c r="B140">
        <v>29</v>
      </c>
      <c r="C140" t="s">
        <v>82</v>
      </c>
      <c r="H140">
        <v>0.22600000000000001</v>
      </c>
      <c r="I140">
        <v>0.25413000000000002</v>
      </c>
      <c r="J140">
        <v>-2.8130000000000016E-2</v>
      </c>
      <c r="K140">
        <v>5.3521176569829008</v>
      </c>
      <c r="O140">
        <v>128</v>
      </c>
      <c r="P140">
        <v>41.7</v>
      </c>
      <c r="Q140">
        <v>100</v>
      </c>
      <c r="R140">
        <v>3</v>
      </c>
      <c r="S140" t="s">
        <v>54</v>
      </c>
      <c r="T140" t="s">
        <v>54</v>
      </c>
      <c r="AA140" s="44"/>
      <c r="AC140">
        <v>2022</v>
      </c>
      <c r="AD140" t="s">
        <v>76</v>
      </c>
      <c r="AE140">
        <v>7</v>
      </c>
      <c r="AF140" s="514">
        <f>L404</f>
        <v>69.913179121790151</v>
      </c>
      <c r="AG140" s="383">
        <v>45370</v>
      </c>
    </row>
    <row r="141" spans="1:35">
      <c r="A141" s="148">
        <v>45254</v>
      </c>
      <c r="B141">
        <v>30</v>
      </c>
      <c r="C141" t="s">
        <v>3206</v>
      </c>
      <c r="D141">
        <v>2073.5</v>
      </c>
      <c r="G141">
        <v>2073.0853000000002</v>
      </c>
      <c r="H141">
        <v>227.65469999999999</v>
      </c>
      <c r="I141">
        <v>0.25413000000000002</v>
      </c>
      <c r="J141">
        <v>227.40056999999999</v>
      </c>
      <c r="K141">
        <v>2022.4600314698775</v>
      </c>
      <c r="L141" s="277">
        <v>97.557974651109504</v>
      </c>
      <c r="M141">
        <v>1895.1309784596169</v>
      </c>
      <c r="N141">
        <v>91.397684034705421</v>
      </c>
      <c r="O141">
        <v>128</v>
      </c>
      <c r="P141">
        <v>41.7</v>
      </c>
      <c r="Q141">
        <v>100</v>
      </c>
      <c r="R141">
        <v>3</v>
      </c>
      <c r="S141" t="s">
        <v>54</v>
      </c>
      <c r="T141" t="s">
        <v>54</v>
      </c>
      <c r="AA141" s="44"/>
      <c r="AC141" s="475">
        <v>2022</v>
      </c>
      <c r="AD141" s="476" t="s">
        <v>76</v>
      </c>
      <c r="AE141" s="476">
        <v>8</v>
      </c>
      <c r="AF141" s="515">
        <f>L405</f>
        <v>69.415236880335542</v>
      </c>
      <c r="AG141" s="482">
        <v>45370</v>
      </c>
      <c r="AH141">
        <f>((AF141-AF142)/AVERAGE(AF141:AF142))*100</f>
        <v>-1.4426925330028129</v>
      </c>
      <c r="AI141" t="s">
        <v>3088</v>
      </c>
    </row>
    <row r="142" spans="1:35">
      <c r="A142" s="148">
        <v>45254</v>
      </c>
      <c r="B142">
        <v>31</v>
      </c>
      <c r="C142" t="s">
        <v>84</v>
      </c>
      <c r="H142">
        <v>0.37159999999999999</v>
      </c>
      <c r="I142">
        <v>0.25413000000000002</v>
      </c>
      <c r="J142">
        <v>0.11746999999999996</v>
      </c>
      <c r="K142">
        <v>6.6434714406133635</v>
      </c>
      <c r="O142">
        <v>128</v>
      </c>
      <c r="P142">
        <v>41.7</v>
      </c>
      <c r="Q142">
        <v>100</v>
      </c>
      <c r="R142">
        <v>3</v>
      </c>
      <c r="S142" t="s">
        <v>54</v>
      </c>
      <c r="T142" t="s">
        <v>54</v>
      </c>
      <c r="AA142" s="44"/>
      <c r="AC142" s="473">
        <v>2022</v>
      </c>
      <c r="AD142" s="193" t="s">
        <v>76</v>
      </c>
      <c r="AE142" s="193">
        <v>8</v>
      </c>
      <c r="AF142" s="516">
        <f>L489</f>
        <v>70.423961718533974</v>
      </c>
      <c r="AG142" s="483">
        <v>45405</v>
      </c>
    </row>
    <row r="143" spans="1:35">
      <c r="H143"/>
      <c r="AA143" s="44"/>
      <c r="AC143">
        <v>2022</v>
      </c>
      <c r="AD143" t="s">
        <v>76</v>
      </c>
      <c r="AE143">
        <v>9</v>
      </c>
      <c r="AF143" s="514">
        <f>L428</f>
        <v>72.45048363979042</v>
      </c>
      <c r="AG143" s="383">
        <v>45371</v>
      </c>
    </row>
    <row r="144" spans="1:35">
      <c r="H144"/>
      <c r="AA144" s="44"/>
      <c r="AC144" s="193">
        <v>2022</v>
      </c>
      <c r="AD144" s="193" t="s">
        <v>76</v>
      </c>
      <c r="AE144" s="193">
        <v>10</v>
      </c>
      <c r="AF144" s="516">
        <f>L429</f>
        <v>75.652797991872973</v>
      </c>
      <c r="AG144" s="389">
        <v>45371</v>
      </c>
    </row>
    <row r="145" spans="1:38">
      <c r="A145" s="148" t="s">
        <v>3207</v>
      </c>
      <c r="H145"/>
      <c r="AA145" s="44"/>
      <c r="AC145">
        <v>2022</v>
      </c>
      <c r="AD145" t="s">
        <v>76</v>
      </c>
      <c r="AE145">
        <v>11</v>
      </c>
      <c r="AF145">
        <f>L430</f>
        <v>80.63860314815382</v>
      </c>
      <c r="AG145" s="383">
        <v>45371</v>
      </c>
      <c r="AH145" s="27">
        <f>((AF145-AF146)/AVERAGE(AF145:AF146))*100</f>
        <v>5.4519141991504139</v>
      </c>
      <c r="AI145" t="s">
        <v>3088</v>
      </c>
    </row>
    <row r="146" spans="1:38">
      <c r="A146" s="148" t="s">
        <v>38</v>
      </c>
      <c r="H146"/>
      <c r="AA146" s="44"/>
      <c r="AC146">
        <v>2022</v>
      </c>
      <c r="AD146" t="s">
        <v>76</v>
      </c>
      <c r="AE146">
        <v>11</v>
      </c>
      <c r="AF146" s="27">
        <f>L433</f>
        <v>76.358918072288091</v>
      </c>
      <c r="AG146" s="383">
        <v>45371</v>
      </c>
      <c r="AH146" s="27"/>
      <c r="AI146" s="38" t="s">
        <v>3208</v>
      </c>
    </row>
    <row r="147" spans="1:38">
      <c r="A147" s="148" t="s">
        <v>3209</v>
      </c>
      <c r="H147"/>
      <c r="AA147" s="44"/>
      <c r="AC147">
        <v>2022</v>
      </c>
      <c r="AD147" t="s">
        <v>76</v>
      </c>
      <c r="AE147">
        <v>11</v>
      </c>
      <c r="AF147">
        <f>L487</f>
        <v>72.234766691046332</v>
      </c>
      <c r="AG147" s="383">
        <v>45405</v>
      </c>
      <c r="AH147" s="27">
        <f>((AF147-AF148)/AVERAGE(AF147:AF148))*100</f>
        <v>10.017209598958804</v>
      </c>
      <c r="AI147" t="s">
        <v>3088</v>
      </c>
    </row>
    <row r="148" spans="1:38">
      <c r="A148" s="148">
        <v>45258</v>
      </c>
      <c r="B148">
        <v>1</v>
      </c>
      <c r="C148" t="s">
        <v>45</v>
      </c>
      <c r="H148">
        <v>0.3216</v>
      </c>
      <c r="AA148" s="44"/>
      <c r="AC148">
        <v>2022</v>
      </c>
      <c r="AD148" t="s">
        <v>76</v>
      </c>
      <c r="AE148">
        <v>11</v>
      </c>
      <c r="AF148">
        <f>L493</f>
        <v>65.343990457442985</v>
      </c>
      <c r="AG148" s="383">
        <v>45405</v>
      </c>
    </row>
    <row r="149" spans="1:38">
      <c r="A149" s="148">
        <v>45258</v>
      </c>
      <c r="B149">
        <v>2</v>
      </c>
      <c r="C149" t="s">
        <v>49</v>
      </c>
      <c r="H149">
        <v>0.40789999999999998</v>
      </c>
      <c r="AA149" s="44"/>
      <c r="AC149">
        <v>2022</v>
      </c>
      <c r="AD149" t="s">
        <v>76</v>
      </c>
      <c r="AE149">
        <v>11</v>
      </c>
      <c r="AF149" s="514">
        <f>L523</f>
        <v>79.970485155304488</v>
      </c>
      <c r="AG149" s="383">
        <v>45475</v>
      </c>
      <c r="AH149" s="44">
        <f>((AF149-AF150)/AVERAGE(AF149:AF150))*100</f>
        <v>0.60241153853238472</v>
      </c>
      <c r="AI149" t="s">
        <v>3088</v>
      </c>
    </row>
    <row r="150" spans="1:38">
      <c r="A150" s="148">
        <v>45258</v>
      </c>
      <c r="B150">
        <v>3</v>
      </c>
      <c r="C150" t="s">
        <v>51</v>
      </c>
      <c r="G150">
        <v>0</v>
      </c>
      <c r="H150">
        <v>0.1883</v>
      </c>
      <c r="I150">
        <v>0.52455999999999992</v>
      </c>
      <c r="J150">
        <v>0.52455999999999992</v>
      </c>
      <c r="AA150" s="44"/>
      <c r="AC150" s="193">
        <v>2022</v>
      </c>
      <c r="AD150" s="193" t="s">
        <v>76</v>
      </c>
      <c r="AE150" s="193">
        <v>11</v>
      </c>
      <c r="AF150" s="514">
        <f>L527</f>
        <v>79.490180430848724</v>
      </c>
      <c r="AG150" s="383">
        <v>45475</v>
      </c>
    </row>
    <row r="151" spans="1:38">
      <c r="A151" s="148">
        <v>45258</v>
      </c>
      <c r="B151">
        <v>4</v>
      </c>
      <c r="C151" t="s">
        <v>3210</v>
      </c>
      <c r="D151">
        <v>302.39999999999998</v>
      </c>
      <c r="G151">
        <v>302.33951999999999</v>
      </c>
      <c r="H151">
        <v>33.576000000000001</v>
      </c>
      <c r="I151">
        <v>0.52455999999999992</v>
      </c>
      <c r="J151">
        <v>33.051439999999999</v>
      </c>
      <c r="K151">
        <v>277.94963341556837</v>
      </c>
      <c r="L151" s="277">
        <v>91.932947904252941</v>
      </c>
      <c r="M151">
        <v>275.44701328892592</v>
      </c>
      <c r="N151">
        <v>91.105196333223631</v>
      </c>
      <c r="O151">
        <v>128</v>
      </c>
      <c r="P151">
        <v>41.7</v>
      </c>
      <c r="Q151">
        <v>100</v>
      </c>
      <c r="R151">
        <v>3</v>
      </c>
      <c r="S151" t="s">
        <v>54</v>
      </c>
      <c r="T151" t="s">
        <v>54</v>
      </c>
      <c r="AA151" s="44"/>
      <c r="AC151">
        <v>2022</v>
      </c>
      <c r="AD151" t="s">
        <v>76</v>
      </c>
      <c r="AE151">
        <v>12</v>
      </c>
      <c r="AF151" s="514">
        <f>L431</f>
        <v>76.615845940403659</v>
      </c>
      <c r="AG151" s="383">
        <v>45371</v>
      </c>
    </row>
    <row r="152" spans="1:38">
      <c r="A152" s="148">
        <v>45258</v>
      </c>
      <c r="B152">
        <v>5</v>
      </c>
      <c r="C152" t="s">
        <v>3211</v>
      </c>
      <c r="D152">
        <v>1013.1</v>
      </c>
      <c r="G152">
        <v>1012.89738</v>
      </c>
      <c r="H152">
        <v>116.5859</v>
      </c>
      <c r="I152">
        <v>0.52455999999999992</v>
      </c>
      <c r="J152">
        <v>116.06134</v>
      </c>
      <c r="K152">
        <v>1043.2203116032479</v>
      </c>
      <c r="L152" s="277">
        <v>102.993682499529</v>
      </c>
      <c r="M152">
        <v>967.24225816819319</v>
      </c>
      <c r="N152">
        <v>95.492621194083185</v>
      </c>
      <c r="O152">
        <v>128</v>
      </c>
      <c r="P152">
        <v>41.7</v>
      </c>
      <c r="Q152">
        <v>100</v>
      </c>
      <c r="R152">
        <v>3</v>
      </c>
      <c r="S152" t="s">
        <v>54</v>
      </c>
      <c r="T152" t="s">
        <v>54</v>
      </c>
      <c r="AA152" s="44"/>
      <c r="AC152">
        <v>2022</v>
      </c>
      <c r="AD152" t="s">
        <v>76</v>
      </c>
      <c r="AE152">
        <v>13</v>
      </c>
      <c r="AF152" s="514">
        <f>L434</f>
        <v>76.617145424792767</v>
      </c>
      <c r="AG152" s="383">
        <v>45371</v>
      </c>
    </row>
    <row r="153" spans="1:38">
      <c r="A153" s="148">
        <v>45258</v>
      </c>
      <c r="B153">
        <v>6</v>
      </c>
      <c r="C153" t="s">
        <v>3212</v>
      </c>
      <c r="D153">
        <v>2026.3</v>
      </c>
      <c r="G153">
        <v>2025.89474</v>
      </c>
      <c r="H153">
        <v>233.20269999999999</v>
      </c>
      <c r="I153">
        <v>0.52455999999999992</v>
      </c>
      <c r="J153">
        <v>232.67813999999998</v>
      </c>
      <c r="K153">
        <v>2118.3139766248532</v>
      </c>
      <c r="L153" s="277">
        <v>104.56189725952166</v>
      </c>
      <c r="M153">
        <v>1939.1136580016653</v>
      </c>
      <c r="N153">
        <v>95.716407161492768</v>
      </c>
      <c r="O153">
        <v>128</v>
      </c>
      <c r="P153">
        <v>41.7</v>
      </c>
      <c r="Q153">
        <v>100</v>
      </c>
      <c r="R153">
        <v>3</v>
      </c>
      <c r="S153" t="s">
        <v>54</v>
      </c>
      <c r="T153" t="s">
        <v>54</v>
      </c>
      <c r="AA153" s="44"/>
      <c r="AC153" s="263">
        <v>2022</v>
      </c>
      <c r="AD153" s="263" t="s">
        <v>76</v>
      </c>
      <c r="AE153" s="263">
        <v>14</v>
      </c>
      <c r="AF153" s="263" t="s">
        <v>3165</v>
      </c>
      <c r="AG153" s="263"/>
    </row>
    <row r="154" spans="1:38">
      <c r="A154">
        <v>45258</v>
      </c>
      <c r="B154">
        <v>7</v>
      </c>
      <c r="C154" t="s">
        <v>3213</v>
      </c>
      <c r="D154">
        <v>3068.8</v>
      </c>
      <c r="G154">
        <v>3068.1862400000005</v>
      </c>
      <c r="H154">
        <v>323.50959999999998</v>
      </c>
      <c r="I154">
        <v>0.52455999999999992</v>
      </c>
      <c r="J154">
        <v>322.98503999999997</v>
      </c>
      <c r="K154">
        <v>2950.8559096717181</v>
      </c>
      <c r="L154" s="277">
        <v>96.175905856083816</v>
      </c>
      <c r="M154">
        <v>2691.7212867277267</v>
      </c>
      <c r="N154">
        <v>87.730048835879217</v>
      </c>
      <c r="O154">
        <v>128</v>
      </c>
      <c r="P154">
        <v>41.7</v>
      </c>
      <c r="Q154">
        <v>100</v>
      </c>
      <c r="R154">
        <v>3</v>
      </c>
      <c r="S154" t="s">
        <v>54</v>
      </c>
      <c r="T154" t="s">
        <v>54</v>
      </c>
      <c r="AA154" s="44"/>
      <c r="AC154" s="263">
        <v>2022</v>
      </c>
      <c r="AD154" s="263" t="s">
        <v>76</v>
      </c>
      <c r="AE154" s="263">
        <v>15</v>
      </c>
      <c r="AF154" s="263" t="s">
        <v>3166</v>
      </c>
      <c r="AG154" s="263"/>
    </row>
    <row r="155" spans="1:38">
      <c r="A155">
        <v>45258</v>
      </c>
      <c r="B155">
        <v>8</v>
      </c>
      <c r="C155" t="s">
        <v>3214</v>
      </c>
      <c r="D155">
        <v>3654.5</v>
      </c>
      <c r="G155">
        <v>3653.7691</v>
      </c>
      <c r="H155">
        <v>404.19139999999999</v>
      </c>
      <c r="I155">
        <v>0.52455999999999992</v>
      </c>
      <c r="J155">
        <v>403.66683999999998</v>
      </c>
      <c r="K155">
        <v>3694.6637663659521</v>
      </c>
      <c r="L155" s="277">
        <v>101.11924605104225</v>
      </c>
      <c r="M155">
        <v>3364.1144059616986</v>
      </c>
      <c r="N155">
        <v>92.072441193990571</v>
      </c>
      <c r="O155">
        <v>128</v>
      </c>
      <c r="P155">
        <v>41.7</v>
      </c>
      <c r="Q155">
        <v>100</v>
      </c>
      <c r="R155">
        <v>3</v>
      </c>
      <c r="S155" t="s">
        <v>54</v>
      </c>
      <c r="T155" t="s">
        <v>54</v>
      </c>
      <c r="X155" s="376"/>
      <c r="AA155" s="44"/>
      <c r="AC155">
        <v>2022</v>
      </c>
      <c r="AD155" t="s">
        <v>76</v>
      </c>
      <c r="AE155">
        <v>16</v>
      </c>
      <c r="AF155" s="514">
        <f>L463</f>
        <v>69.361820952840063</v>
      </c>
      <c r="AG155" s="383">
        <v>45373</v>
      </c>
    </row>
    <row r="156" spans="1:38">
      <c r="A156" s="148">
        <v>45258</v>
      </c>
      <c r="B156">
        <v>9</v>
      </c>
      <c r="C156" t="s">
        <v>61</v>
      </c>
      <c r="H156">
        <v>0.77829999999999999</v>
      </c>
      <c r="I156">
        <v>0.52455999999999992</v>
      </c>
      <c r="J156">
        <v>0.25374000000000008</v>
      </c>
      <c r="K156">
        <v>-24.413315124257046</v>
      </c>
      <c r="O156">
        <v>128</v>
      </c>
      <c r="P156">
        <v>41.7</v>
      </c>
      <c r="Q156">
        <v>100</v>
      </c>
      <c r="R156">
        <v>3</v>
      </c>
      <c r="S156" t="s">
        <v>54</v>
      </c>
      <c r="T156" t="s">
        <v>54</v>
      </c>
      <c r="X156" s="220"/>
      <c r="Y156" s="220"/>
      <c r="AA156" s="44"/>
      <c r="AC156">
        <v>2022</v>
      </c>
      <c r="AD156" t="s">
        <v>76</v>
      </c>
      <c r="AE156">
        <v>17</v>
      </c>
      <c r="AF156" t="s">
        <v>3168</v>
      </c>
    </row>
    <row r="157" spans="1:38">
      <c r="A157" s="148">
        <v>45258</v>
      </c>
      <c r="B157">
        <v>10</v>
      </c>
      <c r="C157" t="s">
        <v>63</v>
      </c>
      <c r="H157">
        <v>0.4249</v>
      </c>
      <c r="I157">
        <v>0.52455999999999992</v>
      </c>
      <c r="J157">
        <v>-9.9659999999999915E-2</v>
      </c>
      <c r="K157">
        <v>-27.671319984780023</v>
      </c>
      <c r="O157">
        <v>128</v>
      </c>
      <c r="P157">
        <v>41.7</v>
      </c>
      <c r="Q157">
        <v>100</v>
      </c>
      <c r="R157">
        <v>3</v>
      </c>
      <c r="S157" t="s">
        <v>54</v>
      </c>
      <c r="T157" t="s">
        <v>54</v>
      </c>
      <c r="X157" s="220"/>
      <c r="Y157" s="220"/>
      <c r="AA157" s="44"/>
      <c r="AC157">
        <v>2022</v>
      </c>
      <c r="AD157" t="s">
        <v>76</v>
      </c>
      <c r="AE157">
        <v>18</v>
      </c>
      <c r="AF157" t="s">
        <v>3168</v>
      </c>
    </row>
    <row r="158" spans="1:38">
      <c r="A158" s="148">
        <v>45258</v>
      </c>
      <c r="B158">
        <v>11</v>
      </c>
      <c r="C158" t="s">
        <v>64</v>
      </c>
      <c r="D158">
        <v>1077.2</v>
      </c>
      <c r="H158">
        <v>15.2674</v>
      </c>
      <c r="I158">
        <v>0.52455999999999992</v>
      </c>
      <c r="J158">
        <v>14.742840000000001</v>
      </c>
      <c r="K158">
        <v>109.16211844847471</v>
      </c>
      <c r="L158" s="277">
        <v>10.133876573382352</v>
      </c>
      <c r="M158">
        <v>122.86518364696089</v>
      </c>
      <c r="N158">
        <v>11.405976944574906</v>
      </c>
      <c r="O158">
        <v>128</v>
      </c>
      <c r="P158">
        <v>41.7</v>
      </c>
      <c r="Q158">
        <v>100</v>
      </c>
      <c r="R158">
        <v>3</v>
      </c>
      <c r="S158" t="s">
        <v>54</v>
      </c>
      <c r="T158" t="s">
        <v>54</v>
      </c>
      <c r="X158" s="220"/>
      <c r="Y158" s="220"/>
      <c r="AA158" s="44"/>
      <c r="AC158">
        <v>2022</v>
      </c>
      <c r="AD158" t="s">
        <v>76</v>
      </c>
      <c r="AE158">
        <v>19</v>
      </c>
      <c r="AF158" t="s">
        <v>3168</v>
      </c>
    </row>
    <row r="159" spans="1:38">
      <c r="A159" s="148">
        <v>45258</v>
      </c>
      <c r="B159">
        <v>12</v>
      </c>
      <c r="C159" t="s">
        <v>64</v>
      </c>
      <c r="D159">
        <v>2054.6999999999998</v>
      </c>
      <c r="H159">
        <v>31.0793</v>
      </c>
      <c r="I159">
        <v>0.52455999999999992</v>
      </c>
      <c r="J159">
        <v>30.554739999999999</v>
      </c>
      <c r="K159">
        <v>254.93248362703494</v>
      </c>
      <c r="L159" s="277">
        <v>12.40728493828953</v>
      </c>
      <c r="M159">
        <v>254.63979405495422</v>
      </c>
      <c r="N159">
        <v>12.393040057183736</v>
      </c>
      <c r="O159">
        <v>128</v>
      </c>
      <c r="P159">
        <v>41.7</v>
      </c>
      <c r="Q159">
        <v>100</v>
      </c>
      <c r="R159">
        <v>3</v>
      </c>
      <c r="S159" t="s">
        <v>54</v>
      </c>
      <c r="T159" t="s">
        <v>54</v>
      </c>
      <c r="X159" s="220"/>
      <c r="Y159" s="220"/>
      <c r="AA159" s="44"/>
      <c r="AC159" s="475">
        <v>2022</v>
      </c>
      <c r="AD159" s="476" t="s">
        <v>76</v>
      </c>
      <c r="AE159" s="476">
        <v>20</v>
      </c>
      <c r="AF159" s="515">
        <f>L435</f>
        <v>53.033354557723854</v>
      </c>
      <c r="AG159" s="482">
        <v>45371</v>
      </c>
      <c r="AH159">
        <f>((AF159-AF160)/AVERAGE(AF159:AF160))*100</f>
        <v>0.99987478509459182</v>
      </c>
      <c r="AI159" t="s">
        <v>3088</v>
      </c>
    </row>
    <row r="160" spans="1:38" ht="15.5">
      <c r="A160" s="148">
        <v>45258</v>
      </c>
      <c r="B160">
        <v>13</v>
      </c>
      <c r="C160" t="s">
        <v>65</v>
      </c>
      <c r="H160">
        <v>0.2364</v>
      </c>
      <c r="I160">
        <v>0.52455999999999992</v>
      </c>
      <c r="J160">
        <v>-0.28815999999999992</v>
      </c>
      <c r="K160">
        <v>-29.409106957639615</v>
      </c>
      <c r="O160">
        <v>128</v>
      </c>
      <c r="P160">
        <v>41.7</v>
      </c>
      <c r="Q160">
        <v>100</v>
      </c>
      <c r="R160">
        <v>3</v>
      </c>
      <c r="S160" t="s">
        <v>54</v>
      </c>
      <c r="T160" t="s">
        <v>54</v>
      </c>
      <c r="X160" s="220"/>
      <c r="Y160" s="220"/>
      <c r="AA160" s="52"/>
      <c r="AC160" s="473">
        <v>2022</v>
      </c>
      <c r="AD160" s="193" t="s">
        <v>76</v>
      </c>
      <c r="AE160" s="193">
        <v>20</v>
      </c>
      <c r="AF160" s="516">
        <f>L490</f>
        <v>52.505725234094228</v>
      </c>
      <c r="AG160" s="483">
        <v>45405</v>
      </c>
      <c r="AJ160" s="521"/>
      <c r="AK160" s="521"/>
      <c r="AL160" t="s">
        <v>3184</v>
      </c>
    </row>
    <row r="161" spans="1:38" ht="15.5">
      <c r="A161" s="148">
        <v>45258</v>
      </c>
      <c r="B161">
        <v>14</v>
      </c>
      <c r="C161" t="s">
        <v>66</v>
      </c>
      <c r="H161">
        <v>0.36380000000000001</v>
      </c>
      <c r="I161">
        <v>0.52455999999999992</v>
      </c>
      <c r="J161">
        <v>-0.1607599999999999</v>
      </c>
      <c r="K161">
        <v>-28.234602658741405</v>
      </c>
      <c r="O161">
        <v>128</v>
      </c>
      <c r="P161">
        <v>41.7</v>
      </c>
      <c r="Q161">
        <v>100</v>
      </c>
      <c r="R161">
        <v>3</v>
      </c>
      <c r="S161" t="s">
        <v>54</v>
      </c>
      <c r="T161" t="s">
        <v>54</v>
      </c>
      <c r="X161" s="220"/>
      <c r="Y161" s="220"/>
      <c r="AA161" s="347"/>
      <c r="AC161">
        <v>2022</v>
      </c>
      <c r="AD161" t="s">
        <v>76</v>
      </c>
      <c r="AE161">
        <v>21</v>
      </c>
      <c r="AF161" s="514">
        <f>L464</f>
        <v>53.656208178012044</v>
      </c>
      <c r="AG161" s="383">
        <v>45373</v>
      </c>
      <c r="AJ161" s="263"/>
      <c r="AK161" s="263"/>
      <c r="AL161" t="s">
        <v>3185</v>
      </c>
    </row>
    <row r="162" spans="1:38" ht="15.5">
      <c r="A162" s="148">
        <v>45258</v>
      </c>
      <c r="B162">
        <v>15</v>
      </c>
      <c r="C162" t="s">
        <v>67</v>
      </c>
      <c r="D162">
        <v>2978.7</v>
      </c>
      <c r="E162" t="s">
        <v>68</v>
      </c>
      <c r="H162">
        <v>253.68219999999999</v>
      </c>
      <c r="I162">
        <v>0.52455999999999992</v>
      </c>
      <c r="J162">
        <v>253.15763999999999</v>
      </c>
      <c r="K162">
        <v>2307.1150817212883</v>
      </c>
      <c r="L162" s="277">
        <v>77.453757737311193</v>
      </c>
      <c r="M162">
        <v>2109.7875260283099</v>
      </c>
      <c r="N162">
        <v>70.829137745604129</v>
      </c>
      <c r="O162">
        <v>128</v>
      </c>
      <c r="P162">
        <v>41.7</v>
      </c>
      <c r="Q162">
        <v>100</v>
      </c>
      <c r="R162">
        <v>3</v>
      </c>
      <c r="S162" t="s">
        <v>54</v>
      </c>
      <c r="T162" t="s">
        <v>54</v>
      </c>
      <c r="Y162" s="378"/>
      <c r="Z162" s="377"/>
      <c r="AA162" s="44"/>
      <c r="AJ162" s="386"/>
      <c r="AK162" s="386"/>
      <c r="AL162" t="s">
        <v>3190</v>
      </c>
    </row>
    <row r="163" spans="1:38" ht="15.5">
      <c r="A163" s="148">
        <v>45258</v>
      </c>
      <c r="B163">
        <v>16</v>
      </c>
      <c r="C163" t="s">
        <v>69</v>
      </c>
      <c r="D163">
        <v>2539.1</v>
      </c>
      <c r="H163">
        <v>223.02889999999999</v>
      </c>
      <c r="I163">
        <v>0.52455999999999992</v>
      </c>
      <c r="J163">
        <v>222.50433999999998</v>
      </c>
      <c r="K163">
        <v>2024.5214190414106</v>
      </c>
      <c r="L163" s="277">
        <v>79.733819819676683</v>
      </c>
      <c r="M163">
        <v>1854.3263439300583</v>
      </c>
      <c r="N163">
        <v>73.030851243750092</v>
      </c>
      <c r="O163">
        <v>128</v>
      </c>
      <c r="P163">
        <v>41.7</v>
      </c>
      <c r="Q163">
        <v>100</v>
      </c>
      <c r="R163">
        <v>3</v>
      </c>
      <c r="S163" t="s">
        <v>54</v>
      </c>
      <c r="T163" t="s">
        <v>54</v>
      </c>
      <c r="Y163" s="378"/>
      <c r="Z163" s="377"/>
      <c r="AA163" s="44"/>
      <c r="AC163">
        <v>2022</v>
      </c>
      <c r="AD163" t="s">
        <v>93</v>
      </c>
      <c r="AE163">
        <v>1</v>
      </c>
      <c r="AF163">
        <f>L22</f>
        <v>75.237306793109482</v>
      </c>
      <c r="AG163" s="383">
        <f>A22</f>
        <v>45161</v>
      </c>
      <c r="AH163">
        <f>((AF163-AVERAGE($AF$163,$AF$167,$AF$168))/AVERAGE($AF$163,$AF$167,$AF$168))*100</f>
        <v>-1.7438518758733084</v>
      </c>
      <c r="AI163" t="s">
        <v>3088</v>
      </c>
      <c r="AJ163" s="388"/>
      <c r="AK163" s="388"/>
      <c r="AL163" t="s">
        <v>3195</v>
      </c>
    </row>
    <row r="164" spans="1:38">
      <c r="A164" s="148">
        <v>45258</v>
      </c>
      <c r="B164">
        <v>17</v>
      </c>
      <c r="C164" t="s">
        <v>70</v>
      </c>
      <c r="D164">
        <v>3023.3</v>
      </c>
      <c r="H164">
        <v>259.34160000000003</v>
      </c>
      <c r="I164">
        <v>0.52455999999999992</v>
      </c>
      <c r="J164">
        <v>258.81704000000002</v>
      </c>
      <c r="K164">
        <v>2359.2892546348248</v>
      </c>
      <c r="L164" s="277">
        <v>78.036888652625436</v>
      </c>
      <c r="M164">
        <v>2156.9523341881768</v>
      </c>
      <c r="N164">
        <v>71.344303714093101</v>
      </c>
      <c r="O164">
        <v>128</v>
      </c>
      <c r="P164">
        <v>41.7</v>
      </c>
      <c r="Q164">
        <v>100</v>
      </c>
      <c r="R164">
        <v>3</v>
      </c>
      <c r="S164" t="s">
        <v>54</v>
      </c>
      <c r="T164" t="s">
        <v>54</v>
      </c>
      <c r="AA164" s="44"/>
      <c r="AC164">
        <v>2022</v>
      </c>
      <c r="AD164" t="s">
        <v>93</v>
      </c>
      <c r="AE164">
        <v>1</v>
      </c>
      <c r="AF164">
        <f>L162</f>
        <v>77.453757737311193</v>
      </c>
      <c r="AG164" s="385">
        <v>45258</v>
      </c>
    </row>
    <row r="165" spans="1:38">
      <c r="A165" s="148">
        <v>45258</v>
      </c>
      <c r="B165">
        <v>18</v>
      </c>
      <c r="C165" t="s">
        <v>71</v>
      </c>
      <c r="D165">
        <v>2530.5</v>
      </c>
      <c r="H165">
        <v>142.37700000000001</v>
      </c>
      <c r="I165">
        <v>0.52455999999999992</v>
      </c>
      <c r="J165">
        <v>141.85244</v>
      </c>
      <c r="K165">
        <v>1280.9892113152853</v>
      </c>
      <c r="L165" s="277">
        <v>50.621980293036373</v>
      </c>
      <c r="M165">
        <v>1182.1824079600333</v>
      </c>
      <c r="N165">
        <v>46.717344712903902</v>
      </c>
      <c r="O165">
        <v>128</v>
      </c>
      <c r="P165">
        <v>41.7</v>
      </c>
      <c r="Q165">
        <v>100</v>
      </c>
      <c r="R165">
        <v>3</v>
      </c>
      <c r="S165" t="s">
        <v>54</v>
      </c>
      <c r="T165" t="s">
        <v>54</v>
      </c>
      <c r="AA165" s="44"/>
      <c r="AC165">
        <v>2022</v>
      </c>
      <c r="AD165" t="s">
        <v>93</v>
      </c>
      <c r="AE165">
        <v>1</v>
      </c>
      <c r="AF165">
        <f>L196</f>
        <v>86.839409068276467</v>
      </c>
      <c r="AG165" s="387">
        <v>45261</v>
      </c>
    </row>
    <row r="166" spans="1:38">
      <c r="A166" s="148">
        <v>45258</v>
      </c>
      <c r="B166">
        <v>19</v>
      </c>
      <c r="C166" t="s">
        <v>72</v>
      </c>
      <c r="D166">
        <v>2218</v>
      </c>
      <c r="H166">
        <v>185.49109999999999</v>
      </c>
      <c r="I166">
        <v>0.52455999999999992</v>
      </c>
      <c r="J166">
        <v>184.96653999999998</v>
      </c>
      <c r="K166">
        <v>1678.4593509787642</v>
      </c>
      <c r="L166" s="277">
        <v>75.674452253325711</v>
      </c>
      <c r="M166">
        <v>1541.490506960866</v>
      </c>
      <c r="N166">
        <v>69.499121143411458</v>
      </c>
      <c r="O166">
        <v>128</v>
      </c>
      <c r="P166">
        <v>41.7</v>
      </c>
      <c r="Q166">
        <v>100</v>
      </c>
      <c r="R166">
        <v>3</v>
      </c>
      <c r="S166" t="s">
        <v>54</v>
      </c>
      <c r="T166" t="s">
        <v>54</v>
      </c>
      <c r="AA166" s="44"/>
      <c r="AC166">
        <v>2022</v>
      </c>
      <c r="AD166" t="s">
        <v>93</v>
      </c>
      <c r="AE166">
        <v>1</v>
      </c>
      <c r="AF166">
        <f>L230</f>
        <v>80.870257586304731</v>
      </c>
      <c r="AG166" s="385">
        <v>45345</v>
      </c>
    </row>
    <row r="167" spans="1:38">
      <c r="A167" s="148">
        <v>45258</v>
      </c>
      <c r="B167">
        <v>21</v>
      </c>
      <c r="C167" t="s">
        <v>73</v>
      </c>
      <c r="D167">
        <v>3054.5</v>
      </c>
      <c r="H167">
        <v>251.1643</v>
      </c>
      <c r="I167">
        <v>0.52455999999999992</v>
      </c>
      <c r="J167">
        <v>250.63973999999999</v>
      </c>
      <c r="K167">
        <v>2283.9024885172398</v>
      </c>
      <c r="L167" s="277">
        <v>74.771729858151573</v>
      </c>
      <c r="M167">
        <v>2088.8036283597003</v>
      </c>
      <c r="N167">
        <v>68.384469744956633</v>
      </c>
      <c r="O167">
        <v>128</v>
      </c>
      <c r="P167">
        <v>41.7</v>
      </c>
      <c r="Q167">
        <v>100</v>
      </c>
      <c r="R167">
        <v>3</v>
      </c>
      <c r="S167" t="s">
        <v>54</v>
      </c>
      <c r="T167" t="s">
        <v>54</v>
      </c>
      <c r="AA167" s="44"/>
      <c r="AC167">
        <v>2022</v>
      </c>
      <c r="AD167" t="s">
        <v>93</v>
      </c>
      <c r="AE167">
        <v>1</v>
      </c>
      <c r="AF167">
        <f>L264</f>
        <v>76.990855523968023</v>
      </c>
      <c r="AG167" s="383">
        <v>45351</v>
      </c>
      <c r="AH167">
        <f>((AF167-AVERAGE($AF$163,$AF$167,$AF$168))/AVERAGE($AF$163,$AF$167,$AF$168))*100</f>
        <v>0.54619479360543899</v>
      </c>
      <c r="AI167" t="s">
        <v>3088</v>
      </c>
    </row>
    <row r="168" spans="1:38">
      <c r="A168" s="148">
        <v>45258</v>
      </c>
      <c r="B168">
        <v>23</v>
      </c>
      <c r="C168" t="s">
        <v>74</v>
      </c>
      <c r="H168">
        <v>0.91739999999999999</v>
      </c>
      <c r="I168">
        <v>0.52455999999999992</v>
      </c>
      <c r="J168">
        <v>0.39284000000000008</v>
      </c>
      <c r="K168">
        <v>-23.130948185664106</v>
      </c>
      <c r="M168">
        <v>3.273884729392174</v>
      </c>
      <c r="O168">
        <v>128</v>
      </c>
      <c r="P168">
        <v>41.7</v>
      </c>
      <c r="Q168">
        <v>100</v>
      </c>
      <c r="R168">
        <v>3</v>
      </c>
      <c r="S168" t="s">
        <v>54</v>
      </c>
      <c r="T168" t="s">
        <v>54</v>
      </c>
      <c r="AA168" s="44"/>
      <c r="AC168" s="455">
        <v>2022</v>
      </c>
      <c r="AD168" s="455" t="s">
        <v>93</v>
      </c>
      <c r="AE168" s="455">
        <v>1</v>
      </c>
      <c r="AF168" s="455">
        <f>L524</f>
        <v>77.489697265803002</v>
      </c>
      <c r="AG168" s="456">
        <v>45475</v>
      </c>
      <c r="AH168">
        <f>((AF168-AVERAGE($AF$163,$AF$167,$AF$168))/AVERAGE($AF$163,$AF$167,$AF$168))*100</f>
        <v>1.1976570822678509</v>
      </c>
      <c r="AI168" t="s">
        <v>3088</v>
      </c>
    </row>
    <row r="169" spans="1:38">
      <c r="A169" s="148">
        <v>45258</v>
      </c>
      <c r="B169">
        <v>22</v>
      </c>
      <c r="C169" t="s">
        <v>75</v>
      </c>
      <c r="D169">
        <v>2405.3000000000002</v>
      </c>
      <c r="H169">
        <v>193.1585</v>
      </c>
      <c r="I169">
        <v>0.52455999999999992</v>
      </c>
      <c r="J169">
        <v>192.63394</v>
      </c>
      <c r="K169">
        <v>1749.1453341920462</v>
      </c>
      <c r="L169" s="277">
        <v>72.720464565419945</v>
      </c>
      <c r="M169">
        <v>1605.3897630807662</v>
      </c>
      <c r="N169">
        <v>66.743847465212909</v>
      </c>
      <c r="O169">
        <v>128</v>
      </c>
      <c r="P169">
        <v>41.7</v>
      </c>
      <c r="Q169">
        <v>100</v>
      </c>
      <c r="R169">
        <v>3</v>
      </c>
      <c r="S169" t="s">
        <v>54</v>
      </c>
      <c r="T169" t="s">
        <v>54</v>
      </c>
      <c r="AA169" s="44"/>
      <c r="AC169">
        <v>2022</v>
      </c>
      <c r="AD169" t="s">
        <v>93</v>
      </c>
      <c r="AE169">
        <v>2</v>
      </c>
      <c r="AF169">
        <f>L23</f>
        <v>75.196729547120682</v>
      </c>
      <c r="AG169" s="383">
        <f>A23</f>
        <v>45161</v>
      </c>
      <c r="AH169">
        <f>((AF169-AVERAGE($AF$173,$AF$169,$AF$174))/AVERAGE($AF$169,$AF$173,$AF$174))*100</f>
        <v>-0.46511324709823437</v>
      </c>
      <c r="AI169" t="s">
        <v>3088</v>
      </c>
      <c r="AK169" s="247"/>
      <c r="AL169" t="s">
        <v>3184</v>
      </c>
    </row>
    <row r="170" spans="1:38">
      <c r="A170" s="148">
        <v>45258</v>
      </c>
      <c r="B170">
        <v>24</v>
      </c>
      <c r="C170" t="s">
        <v>77</v>
      </c>
      <c r="D170">
        <v>2659.5</v>
      </c>
      <c r="H170">
        <v>220.88310000000001</v>
      </c>
      <c r="I170">
        <v>0.52455999999999992</v>
      </c>
      <c r="J170">
        <v>220.35854</v>
      </c>
      <c r="K170">
        <v>2004.7392265408159</v>
      </c>
      <c r="L170" s="277">
        <v>75.380305566490549</v>
      </c>
      <c r="M170">
        <v>1836.4434861448794</v>
      </c>
      <c r="N170">
        <v>69.05220854088661</v>
      </c>
      <c r="O170">
        <v>128</v>
      </c>
      <c r="P170">
        <v>41.7</v>
      </c>
      <c r="Q170">
        <v>100</v>
      </c>
      <c r="R170">
        <v>3</v>
      </c>
      <c r="S170" t="s">
        <v>54</v>
      </c>
      <c r="T170" t="s">
        <v>54</v>
      </c>
      <c r="AA170" s="44"/>
      <c r="AC170">
        <v>2022</v>
      </c>
      <c r="AD170" t="s">
        <v>93</v>
      </c>
      <c r="AE170">
        <v>2</v>
      </c>
      <c r="AF170">
        <f>L163</f>
        <v>79.733819819676683</v>
      </c>
      <c r="AG170" s="385">
        <v>45258</v>
      </c>
      <c r="AK170" s="148">
        <v>45161</v>
      </c>
    </row>
    <row r="171" spans="1:38">
      <c r="A171" s="148">
        <v>45258</v>
      </c>
      <c r="B171">
        <v>25</v>
      </c>
      <c r="C171" t="s">
        <v>79</v>
      </c>
      <c r="D171">
        <v>2233.9</v>
      </c>
      <c r="H171">
        <v>180.8527</v>
      </c>
      <c r="I171">
        <v>0.52455999999999992</v>
      </c>
      <c r="J171">
        <v>180.32813999999999</v>
      </c>
      <c r="K171">
        <v>1635.6978067086743</v>
      </c>
      <c r="L171" s="277">
        <v>73.221621679962141</v>
      </c>
      <c r="M171">
        <v>1502.8345988842632</v>
      </c>
      <c r="N171">
        <v>67.27403191209379</v>
      </c>
      <c r="O171">
        <v>128</v>
      </c>
      <c r="P171">
        <v>41.7</v>
      </c>
      <c r="Q171">
        <v>100</v>
      </c>
      <c r="R171">
        <v>3</v>
      </c>
      <c r="S171" t="s">
        <v>54</v>
      </c>
      <c r="T171" t="s">
        <v>54</v>
      </c>
      <c r="AA171" s="44"/>
      <c r="AC171">
        <v>2022</v>
      </c>
      <c r="AD171" t="s">
        <v>93</v>
      </c>
      <c r="AE171">
        <v>2</v>
      </c>
      <c r="AF171">
        <f>L197</f>
        <v>86.015298183771506</v>
      </c>
      <c r="AG171" s="387">
        <v>45261</v>
      </c>
      <c r="AK171" s="148">
        <v>45162</v>
      </c>
    </row>
    <row r="172" spans="1:38">
      <c r="A172" s="148">
        <v>45258</v>
      </c>
      <c r="B172">
        <v>26</v>
      </c>
      <c r="C172" t="s">
        <v>80</v>
      </c>
      <c r="D172">
        <v>3101.4</v>
      </c>
      <c r="H172">
        <v>266.75959999999998</v>
      </c>
      <c r="I172">
        <v>0.52455999999999992</v>
      </c>
      <c r="J172">
        <v>266.23503999999997</v>
      </c>
      <c r="K172">
        <v>2427.6760120070921</v>
      </c>
      <c r="L172" s="277">
        <v>78.276778616337523</v>
      </c>
      <c r="M172">
        <v>2218.7731185345542</v>
      </c>
      <c r="N172">
        <v>71.541017557701494</v>
      </c>
      <c r="O172">
        <v>128</v>
      </c>
      <c r="P172">
        <v>41.7</v>
      </c>
      <c r="Q172">
        <v>100</v>
      </c>
      <c r="R172">
        <v>3</v>
      </c>
      <c r="S172" t="s">
        <v>54</v>
      </c>
      <c r="T172" t="s">
        <v>54</v>
      </c>
      <c r="AA172" s="44"/>
      <c r="AC172">
        <v>2022</v>
      </c>
      <c r="AD172" t="s">
        <v>93</v>
      </c>
      <c r="AE172">
        <v>2</v>
      </c>
      <c r="AF172">
        <f>L231</f>
        <v>80.59111942479818</v>
      </c>
      <c r="AG172" s="385">
        <v>45345</v>
      </c>
      <c r="AK172" s="148">
        <v>45163</v>
      </c>
    </row>
    <row r="173" spans="1:38">
      <c r="A173" s="148">
        <v>45258</v>
      </c>
      <c r="B173">
        <v>27</v>
      </c>
      <c r="C173" t="s">
        <v>81</v>
      </c>
      <c r="D173">
        <v>2388.9</v>
      </c>
      <c r="H173">
        <v>180.73500000000001</v>
      </c>
      <c r="I173">
        <v>0.52455999999999992</v>
      </c>
      <c r="J173">
        <v>180.21044000000001</v>
      </c>
      <c r="K173">
        <v>1634.6127269914036</v>
      </c>
      <c r="L173" s="277">
        <v>68.425330779496988</v>
      </c>
      <c r="M173">
        <v>1501.8537002164865</v>
      </c>
      <c r="N173">
        <v>62.868002018355156</v>
      </c>
      <c r="O173">
        <v>128</v>
      </c>
      <c r="P173">
        <v>41.7</v>
      </c>
      <c r="Q173">
        <v>100</v>
      </c>
      <c r="R173">
        <v>3</v>
      </c>
      <c r="S173" t="s">
        <v>54</v>
      </c>
      <c r="T173" t="s">
        <v>54</v>
      </c>
      <c r="AA173" s="44"/>
      <c r="AC173">
        <v>2022</v>
      </c>
      <c r="AD173" t="s">
        <v>93</v>
      </c>
      <c r="AE173">
        <v>2</v>
      </c>
      <c r="AF173">
        <f>L265</f>
        <v>76.520797331175018</v>
      </c>
      <c r="AG173" s="383">
        <v>45351</v>
      </c>
      <c r="AH173">
        <f>((AF173-AVERAGE($AF$173,$AF$169,$AF$174))/AVERAGE($AF$169,$AF$173,$AF$174))*100</f>
        <v>1.2875020292939319</v>
      </c>
      <c r="AK173" s="148">
        <v>45351</v>
      </c>
    </row>
    <row r="174" spans="1:38">
      <c r="A174" s="148">
        <v>45258</v>
      </c>
      <c r="B174">
        <v>29</v>
      </c>
      <c r="C174" t="s">
        <v>82</v>
      </c>
      <c r="H174">
        <v>1.0672999999999999</v>
      </c>
      <c r="I174">
        <v>0.52455999999999992</v>
      </c>
      <c r="J174">
        <v>0.54274</v>
      </c>
      <c r="K174">
        <v>-21.749015733506795</v>
      </c>
      <c r="O174">
        <v>128</v>
      </c>
      <c r="P174">
        <v>41.7</v>
      </c>
      <c r="Q174">
        <v>100</v>
      </c>
      <c r="R174">
        <v>3</v>
      </c>
      <c r="S174" t="s">
        <v>54</v>
      </c>
      <c r="T174" t="s">
        <v>54</v>
      </c>
      <c r="AA174" s="44"/>
      <c r="AC174" s="455">
        <v>2022</v>
      </c>
      <c r="AD174" s="455" t="s">
        <v>93</v>
      </c>
      <c r="AE174" s="455">
        <v>2</v>
      </c>
      <c r="AF174" s="455">
        <f>L525</f>
        <v>74.926814619169619</v>
      </c>
      <c r="AG174" s="456">
        <v>45475</v>
      </c>
      <c r="AH174">
        <f>((AF174-AVERAGE($AF$173,$AF$169,$AF$174))/AVERAGE($AF$169,$AF$173,$AF$174))*100</f>
        <v>-0.82238878219569744</v>
      </c>
      <c r="AK174" s="148">
        <v>45352</v>
      </c>
    </row>
    <row r="175" spans="1:38">
      <c r="A175" s="148">
        <v>45258</v>
      </c>
      <c r="B175">
        <v>30</v>
      </c>
      <c r="C175" t="s">
        <v>3215</v>
      </c>
      <c r="D175">
        <v>2109.6</v>
      </c>
      <c r="G175">
        <v>2109.1780800000001</v>
      </c>
      <c r="H175">
        <v>233.751</v>
      </c>
      <c r="I175">
        <v>0.52455999999999992</v>
      </c>
      <c r="J175">
        <v>233.22644</v>
      </c>
      <c r="K175">
        <v>2123.3687702440516</v>
      </c>
      <c r="L175" s="277">
        <v>100.67280664343198</v>
      </c>
      <c r="M175">
        <v>1943.6831290258119</v>
      </c>
      <c r="N175">
        <v>92.135150219274365</v>
      </c>
      <c r="O175">
        <v>128</v>
      </c>
      <c r="P175">
        <v>41.7</v>
      </c>
      <c r="Q175">
        <v>100</v>
      </c>
      <c r="R175">
        <v>3</v>
      </c>
      <c r="S175" t="s">
        <v>54</v>
      </c>
      <c r="T175" t="s">
        <v>54</v>
      </c>
      <c r="AA175" s="44"/>
      <c r="AC175">
        <v>2022</v>
      </c>
      <c r="AD175" t="s">
        <v>93</v>
      </c>
      <c r="AE175">
        <v>3</v>
      </c>
      <c r="AF175">
        <f>L24</f>
        <v>75.982845888209667</v>
      </c>
      <c r="AG175" s="383">
        <f>A24</f>
        <v>45161</v>
      </c>
      <c r="AH175">
        <f>((AF175-AVERAGE($AF$180,$AF$175,$AF$181))/AVERAGE($AF$175,$AF$180,$AF$181))*100</f>
        <v>-0.46595400165660827</v>
      </c>
      <c r="AI175" t="s">
        <v>3088</v>
      </c>
      <c r="AK175" s="148">
        <v>45356</v>
      </c>
    </row>
    <row r="176" spans="1:38">
      <c r="A176" s="148">
        <v>45258</v>
      </c>
      <c r="B176">
        <v>31</v>
      </c>
      <c r="C176" t="s">
        <v>84</v>
      </c>
      <c r="H176">
        <v>0.53969999999999996</v>
      </c>
      <c r="I176">
        <v>0.52455999999999992</v>
      </c>
      <c r="J176">
        <v>1.5140000000000042E-2</v>
      </c>
      <c r="K176">
        <v>-26.612975451706909</v>
      </c>
      <c r="O176">
        <v>128</v>
      </c>
      <c r="P176">
        <v>41.7</v>
      </c>
      <c r="Q176">
        <v>100</v>
      </c>
      <c r="R176">
        <v>3</v>
      </c>
      <c r="S176" t="s">
        <v>54</v>
      </c>
      <c r="T176" t="s">
        <v>54</v>
      </c>
      <c r="AA176" s="44"/>
      <c r="AC176">
        <v>2022</v>
      </c>
      <c r="AD176" t="s">
        <v>93</v>
      </c>
      <c r="AE176">
        <v>3</v>
      </c>
      <c r="AF176">
        <f>L164</f>
        <v>78.036888652625436</v>
      </c>
      <c r="AG176" s="385">
        <v>45258</v>
      </c>
      <c r="AK176" s="148">
        <v>45357</v>
      </c>
    </row>
    <row r="177" spans="1:38">
      <c r="H177"/>
      <c r="AA177" s="44"/>
      <c r="AC177">
        <v>2022</v>
      </c>
      <c r="AD177" t="s">
        <v>93</v>
      </c>
      <c r="AE177">
        <v>3</v>
      </c>
      <c r="AF177">
        <f>L198</f>
        <v>83.304492520541501</v>
      </c>
      <c r="AG177" s="387">
        <v>45261</v>
      </c>
      <c r="AK177" s="148">
        <v>45370</v>
      </c>
    </row>
    <row r="178" spans="1:38">
      <c r="H178"/>
      <c r="X178" s="376"/>
      <c r="AA178" s="44"/>
      <c r="AC178">
        <v>2022</v>
      </c>
      <c r="AD178" t="s">
        <v>93</v>
      </c>
      <c r="AE178">
        <v>3</v>
      </c>
      <c r="AF178">
        <f>L232</f>
        <v>81.56187065785987</v>
      </c>
      <c r="AG178" s="385">
        <v>45345</v>
      </c>
      <c r="AK178" s="148">
        <v>45371</v>
      </c>
    </row>
    <row r="179" spans="1:38">
      <c r="A179" s="148" t="s">
        <v>3216</v>
      </c>
      <c r="H179"/>
      <c r="X179" s="220"/>
      <c r="Y179" s="220"/>
      <c r="AA179" s="44"/>
      <c r="AC179">
        <v>2022</v>
      </c>
      <c r="AD179" t="s">
        <v>93</v>
      </c>
      <c r="AE179">
        <v>3</v>
      </c>
      <c r="AF179">
        <f>L237</f>
        <v>81.817530684484367</v>
      </c>
      <c r="AG179" s="385">
        <v>45345</v>
      </c>
      <c r="AK179" s="148">
        <v>45373</v>
      </c>
    </row>
    <row r="180" spans="1:38">
      <c r="A180" s="148" t="s">
        <v>38</v>
      </c>
      <c r="H180"/>
      <c r="X180" s="220"/>
      <c r="Y180" s="220"/>
      <c r="AA180" s="44"/>
      <c r="AC180">
        <v>2022</v>
      </c>
      <c r="AD180" t="s">
        <v>93</v>
      </c>
      <c r="AE180">
        <v>3</v>
      </c>
      <c r="AF180">
        <f>L266</f>
        <v>77.384644520284496</v>
      </c>
      <c r="AG180" s="383">
        <v>45351</v>
      </c>
      <c r="AH180">
        <f>((AF180-AVERAGE($AF$180,$AF$175,$AF$181))/AVERAGE($AF$175,$AF$180,$AF$181))*100</f>
        <v>1.3703379652253718</v>
      </c>
      <c r="AK180" s="148">
        <v>45401</v>
      </c>
    </row>
    <row r="181" spans="1:38">
      <c r="A181" s="148" t="s">
        <v>3217</v>
      </c>
      <c r="H181"/>
      <c r="X181" s="220"/>
      <c r="Y181" s="220"/>
      <c r="AA181" s="44"/>
      <c r="AC181" s="455">
        <v>2022</v>
      </c>
      <c r="AD181" s="455" t="s">
        <v>93</v>
      </c>
      <c r="AE181" s="455">
        <v>3</v>
      </c>
      <c r="AF181" s="455">
        <f>L528</f>
        <v>75.648154819494309</v>
      </c>
      <c r="AG181" s="457">
        <v>45475</v>
      </c>
      <c r="AH181">
        <f>((AF181-AVERAGE($AF$180,$AF$175,$AF$181))/AVERAGE($AF$175,$AF$180,$AF$181))*100</f>
        <v>-0.90438396356881923</v>
      </c>
      <c r="AK181" s="148">
        <v>45405</v>
      </c>
    </row>
    <row r="182" spans="1:38">
      <c r="A182" s="148">
        <v>45261</v>
      </c>
      <c r="B182">
        <v>1</v>
      </c>
      <c r="C182" t="s">
        <v>45</v>
      </c>
      <c r="H182">
        <v>0</v>
      </c>
      <c r="X182" s="220"/>
      <c r="Y182" s="220"/>
      <c r="AA182" s="44"/>
      <c r="AC182">
        <v>2022</v>
      </c>
      <c r="AD182" t="s">
        <v>93</v>
      </c>
      <c r="AE182">
        <v>4</v>
      </c>
      <c r="AF182">
        <f>L25</f>
        <v>67.836797766024205</v>
      </c>
      <c r="AG182" s="383">
        <f>A25</f>
        <v>45161</v>
      </c>
      <c r="AH182">
        <f>((AF182-AVERAGE($AF$186,$AF$182,$AF$187))/AVERAGE($AF$182,$AF$186,$AF$187))*100</f>
        <v>9.9414498592103689E-2</v>
      </c>
      <c r="AI182" t="s">
        <v>3088</v>
      </c>
    </row>
    <row r="183" spans="1:38" ht="15.5">
      <c r="A183" s="148">
        <v>45261</v>
      </c>
      <c r="B183">
        <v>2</v>
      </c>
      <c r="C183" t="s">
        <v>49</v>
      </c>
      <c r="H183">
        <v>0.1822</v>
      </c>
      <c r="X183" s="220"/>
      <c r="Y183" s="220"/>
      <c r="AA183" s="52"/>
      <c r="AC183">
        <v>2022</v>
      </c>
      <c r="AD183" t="s">
        <v>93</v>
      </c>
      <c r="AE183">
        <v>4</v>
      </c>
      <c r="AF183">
        <f>L165</f>
        <v>50.621980293036373</v>
      </c>
      <c r="AG183" s="385">
        <v>45258</v>
      </c>
    </row>
    <row r="184" spans="1:38" ht="15.5">
      <c r="A184" s="148">
        <v>45261</v>
      </c>
      <c r="B184">
        <v>3</v>
      </c>
      <c r="C184" t="s">
        <v>51</v>
      </c>
      <c r="G184">
        <v>0</v>
      </c>
      <c r="H184">
        <v>0.26379999999999998</v>
      </c>
      <c r="I184">
        <v>0.36033000000000004</v>
      </c>
      <c r="J184">
        <v>0.36033000000000004</v>
      </c>
      <c r="X184" s="220"/>
      <c r="Y184" s="220"/>
      <c r="AA184" s="347"/>
      <c r="AC184">
        <v>2022</v>
      </c>
      <c r="AD184" t="s">
        <v>93</v>
      </c>
      <c r="AE184">
        <v>4</v>
      </c>
      <c r="AF184">
        <f>L199</f>
        <v>76.599122325543817</v>
      </c>
      <c r="AG184" s="387">
        <v>45261</v>
      </c>
      <c r="AK184" s="263"/>
      <c r="AL184" t="s">
        <v>3185</v>
      </c>
    </row>
    <row r="185" spans="1:38" ht="15.5">
      <c r="A185" s="148">
        <v>45261</v>
      </c>
      <c r="B185">
        <v>4</v>
      </c>
      <c r="C185" t="s">
        <v>3218</v>
      </c>
      <c r="D185">
        <v>274.39999999999998</v>
      </c>
      <c r="G185">
        <v>274.34512000000001</v>
      </c>
      <c r="H185">
        <v>31.326000000000001</v>
      </c>
      <c r="I185">
        <v>0.36033000000000004</v>
      </c>
      <c r="J185">
        <v>30.965669999999999</v>
      </c>
      <c r="K185">
        <v>326.47946979421698</v>
      </c>
      <c r="L185" s="277">
        <v>119.00319925290341</v>
      </c>
      <c r="M185">
        <v>258.06443882597836</v>
      </c>
      <c r="N185">
        <v>94.065620276379747</v>
      </c>
      <c r="O185">
        <v>128</v>
      </c>
      <c r="P185">
        <v>41.7</v>
      </c>
      <c r="Q185">
        <v>100</v>
      </c>
      <c r="R185">
        <v>3</v>
      </c>
      <c r="S185" t="s">
        <v>54</v>
      </c>
      <c r="T185" t="s">
        <v>54</v>
      </c>
      <c r="Y185" s="378"/>
      <c r="Z185" s="377"/>
      <c r="AA185" s="44"/>
      <c r="AC185">
        <v>2022</v>
      </c>
      <c r="AD185" t="s">
        <v>93</v>
      </c>
      <c r="AE185">
        <v>4</v>
      </c>
      <c r="AF185">
        <f>L233</f>
        <v>73.890433275314706</v>
      </c>
      <c r="AG185" s="385">
        <v>45345</v>
      </c>
      <c r="AK185" s="148">
        <v>45254</v>
      </c>
    </row>
    <row r="186" spans="1:38" ht="15.5">
      <c r="A186" s="148">
        <v>45261</v>
      </c>
      <c r="B186">
        <v>5</v>
      </c>
      <c r="C186" t="s">
        <v>3219</v>
      </c>
      <c r="D186">
        <v>1091.5</v>
      </c>
      <c r="G186">
        <v>1091.2817</v>
      </c>
      <c r="H186">
        <v>109.96720000000001</v>
      </c>
      <c r="I186">
        <v>0.36033000000000004</v>
      </c>
      <c r="J186">
        <v>109.60687</v>
      </c>
      <c r="K186">
        <v>1079.1042146580069</v>
      </c>
      <c r="L186" s="277">
        <v>98.88411165128187</v>
      </c>
      <c r="M186">
        <v>913.45142533721901</v>
      </c>
      <c r="N186">
        <v>83.704457367627342</v>
      </c>
      <c r="O186">
        <v>128</v>
      </c>
      <c r="P186">
        <v>41.7</v>
      </c>
      <c r="Q186">
        <v>100</v>
      </c>
      <c r="R186">
        <v>3</v>
      </c>
      <c r="S186" t="s">
        <v>54</v>
      </c>
      <c r="T186" t="s">
        <v>54</v>
      </c>
      <c r="Y186" s="378"/>
      <c r="Z186" s="377"/>
      <c r="AA186" s="44"/>
      <c r="AC186">
        <v>2022</v>
      </c>
      <c r="AD186" t="s">
        <v>93</v>
      </c>
      <c r="AE186">
        <v>4</v>
      </c>
      <c r="AF186">
        <f>L267</f>
        <v>68.62269416452196</v>
      </c>
      <c r="AG186" s="383">
        <v>45351</v>
      </c>
      <c r="AH186">
        <f>((AF186-AVERAGE($AF$186,$AF$182,$AF$187))/AVERAGE($AF$182,$AF$186,$AF$187))*100</f>
        <v>1.2590766869151784</v>
      </c>
      <c r="AI186" t="s">
        <v>3088</v>
      </c>
    </row>
    <row r="187" spans="1:38">
      <c r="A187" s="148">
        <v>45261</v>
      </c>
      <c r="B187">
        <v>6</v>
      </c>
      <c r="C187" t="s">
        <v>3220</v>
      </c>
      <c r="D187">
        <v>2011.6</v>
      </c>
      <c r="G187">
        <v>2011.19768</v>
      </c>
      <c r="H187">
        <v>190.86369999999999</v>
      </c>
      <c r="I187">
        <v>0.36033000000000004</v>
      </c>
      <c r="J187">
        <v>190.50336999999999</v>
      </c>
      <c r="K187">
        <v>1853.3129967324612</v>
      </c>
      <c r="L187" s="277">
        <v>92.149718307772758</v>
      </c>
      <c r="M187">
        <v>1587.6338304163196</v>
      </c>
      <c r="N187">
        <v>78.939720655222686</v>
      </c>
      <c r="O187">
        <v>128</v>
      </c>
      <c r="P187">
        <v>41.7</v>
      </c>
      <c r="Q187">
        <v>100</v>
      </c>
      <c r="R187">
        <v>3</v>
      </c>
      <c r="S187" t="s">
        <v>54</v>
      </c>
      <c r="T187" t="s">
        <v>54</v>
      </c>
      <c r="AA187" s="44"/>
      <c r="AC187" s="455">
        <v>2022</v>
      </c>
      <c r="AD187" s="455" t="s">
        <v>93</v>
      </c>
      <c r="AE187" s="455">
        <v>4</v>
      </c>
      <c r="AF187" s="455">
        <f>L529</f>
        <v>66.848783464945782</v>
      </c>
      <c r="AG187" s="457">
        <v>45475</v>
      </c>
      <c r="AH187">
        <f>((AF187-AVERAGE($AF$186,$AF$182,$AF$187))/AVERAGE($AF$182,$AF$186,$AF$187))*100</f>
        <v>-1.358491185507261</v>
      </c>
      <c r="AI187" t="s">
        <v>3088</v>
      </c>
    </row>
    <row r="188" spans="1:38">
      <c r="A188" s="148">
        <v>45261</v>
      </c>
      <c r="B188">
        <v>7</v>
      </c>
      <c r="C188" t="s">
        <v>3221</v>
      </c>
      <c r="D188">
        <v>2945.1</v>
      </c>
      <c r="G188">
        <v>2944.51098</v>
      </c>
      <c r="H188">
        <v>304.93270000000001</v>
      </c>
      <c r="I188">
        <v>0.36033000000000004</v>
      </c>
      <c r="J188">
        <v>304.57237000000003</v>
      </c>
      <c r="K188">
        <v>2944.9946091934576</v>
      </c>
      <c r="L188" s="277">
        <v>100.01642477126906</v>
      </c>
      <c r="M188">
        <v>2538.2721493172362</v>
      </c>
      <c r="N188">
        <v>86.20352128275087</v>
      </c>
      <c r="O188">
        <v>128</v>
      </c>
      <c r="P188">
        <v>41.7</v>
      </c>
      <c r="Q188">
        <v>100</v>
      </c>
      <c r="R188">
        <v>3</v>
      </c>
      <c r="S188" t="s">
        <v>54</v>
      </c>
      <c r="T188" t="s">
        <v>54</v>
      </c>
      <c r="AA188" s="44"/>
      <c r="AC188">
        <v>2022</v>
      </c>
      <c r="AD188" t="s">
        <v>93</v>
      </c>
      <c r="AE188">
        <v>5</v>
      </c>
      <c r="AF188">
        <f>L26</f>
        <v>49.454404302577451</v>
      </c>
      <c r="AG188" s="383">
        <f>A26</f>
        <v>45161</v>
      </c>
      <c r="AH188">
        <f>((AF188-AF192)/AVERAGE(AF188,AF192))*100</f>
        <v>-44.072589693337591</v>
      </c>
      <c r="AI188" t="s">
        <v>3088</v>
      </c>
    </row>
    <row r="189" spans="1:38">
      <c r="A189" s="148">
        <v>45261</v>
      </c>
      <c r="B189">
        <v>8</v>
      </c>
      <c r="C189" t="s">
        <v>3222</v>
      </c>
      <c r="D189">
        <v>3757.8</v>
      </c>
      <c r="G189">
        <v>3757.0484400000005</v>
      </c>
      <c r="H189">
        <v>398.54700000000003</v>
      </c>
      <c r="I189">
        <v>0.36033000000000004</v>
      </c>
      <c r="J189">
        <v>398.18667000000005</v>
      </c>
      <c r="K189">
        <v>3840.9173399389479</v>
      </c>
      <c r="L189" s="277">
        <v>102.23230818761941</v>
      </c>
      <c r="M189">
        <v>3318.4432806244804</v>
      </c>
      <c r="N189">
        <v>88.325805046699912</v>
      </c>
      <c r="O189">
        <v>128</v>
      </c>
      <c r="P189">
        <v>41.7</v>
      </c>
      <c r="Q189">
        <v>100</v>
      </c>
      <c r="R189">
        <v>3</v>
      </c>
      <c r="S189" t="s">
        <v>54</v>
      </c>
      <c r="T189" t="s">
        <v>54</v>
      </c>
      <c r="AA189" s="44"/>
      <c r="AC189">
        <v>2022</v>
      </c>
      <c r="AD189" t="s">
        <v>93</v>
      </c>
      <c r="AE189">
        <v>5</v>
      </c>
      <c r="AF189">
        <f>L166</f>
        <v>75.674452253325711</v>
      </c>
      <c r="AG189" s="385">
        <v>45258</v>
      </c>
      <c r="AH189">
        <f>((AF188-AF193)/AVERAGE(AF188,AF193))*100</f>
        <v>-40.350989811416873</v>
      </c>
      <c r="AI189" t="s">
        <v>3088</v>
      </c>
      <c r="AK189" s="386"/>
      <c r="AL189" t="s">
        <v>3190</v>
      </c>
    </row>
    <row r="190" spans="1:38">
      <c r="A190" s="148">
        <v>45261</v>
      </c>
      <c r="B190">
        <v>9</v>
      </c>
      <c r="C190" t="s">
        <v>61</v>
      </c>
      <c r="G190" s="521"/>
      <c r="H190">
        <v>1.3198000000000001</v>
      </c>
      <c r="I190">
        <v>0.36033000000000004</v>
      </c>
      <c r="J190">
        <v>0.95947000000000005</v>
      </c>
      <c r="K190">
        <v>39.309276316347173</v>
      </c>
      <c r="O190">
        <v>128</v>
      </c>
      <c r="P190">
        <v>41.7</v>
      </c>
      <c r="Q190">
        <v>100</v>
      </c>
      <c r="R190">
        <v>3</v>
      </c>
      <c r="S190" t="s">
        <v>54</v>
      </c>
      <c r="T190" t="s">
        <v>54</v>
      </c>
      <c r="AA190" s="44"/>
      <c r="AC190">
        <v>2022</v>
      </c>
      <c r="AD190" t="s">
        <v>93</v>
      </c>
      <c r="AE190">
        <v>5</v>
      </c>
      <c r="AF190">
        <f>L200</f>
        <v>86.847568980078876</v>
      </c>
      <c r="AG190" s="387">
        <v>45261</v>
      </c>
      <c r="AK190" s="148">
        <v>45258</v>
      </c>
    </row>
    <row r="191" spans="1:38">
      <c r="A191" s="148">
        <v>45261</v>
      </c>
      <c r="B191">
        <v>10</v>
      </c>
      <c r="C191" t="s">
        <v>63</v>
      </c>
      <c r="G191" s="521"/>
      <c r="H191">
        <v>0.36009999999999998</v>
      </c>
      <c r="I191">
        <v>0.36033000000000004</v>
      </c>
      <c r="J191">
        <v>-2.3000000000006349E-4</v>
      </c>
      <c r="K191">
        <v>30.124599993430191</v>
      </c>
      <c r="O191">
        <v>128</v>
      </c>
      <c r="P191">
        <v>41.7</v>
      </c>
      <c r="Q191">
        <v>100</v>
      </c>
      <c r="R191">
        <v>3</v>
      </c>
      <c r="S191" t="s">
        <v>54</v>
      </c>
      <c r="T191" t="s">
        <v>54</v>
      </c>
      <c r="AA191" s="44"/>
      <c r="AC191">
        <v>2022</v>
      </c>
      <c r="AD191" t="s">
        <v>93</v>
      </c>
      <c r="AE191">
        <v>5</v>
      </c>
      <c r="AF191">
        <f>L234</f>
        <v>81.77079351986815</v>
      </c>
      <c r="AG191" s="385">
        <v>45345</v>
      </c>
      <c r="AK191" s="148">
        <v>45345</v>
      </c>
    </row>
    <row r="192" spans="1:38">
      <c r="A192" s="148">
        <v>45261</v>
      </c>
      <c r="B192">
        <v>11</v>
      </c>
      <c r="C192" t="s">
        <v>64</v>
      </c>
      <c r="D192">
        <v>971</v>
      </c>
      <c r="G192" s="521"/>
      <c r="H192">
        <v>14.7616</v>
      </c>
      <c r="I192">
        <v>0.36033000000000004</v>
      </c>
      <c r="J192">
        <v>14.40127</v>
      </c>
      <c r="K192">
        <v>167.95216700863179</v>
      </c>
      <c r="L192" s="277">
        <v>17.296824614689164</v>
      </c>
      <c r="M192">
        <v>120.01857737718569</v>
      </c>
      <c r="N192">
        <v>12.360306629988226</v>
      </c>
      <c r="O192">
        <v>128</v>
      </c>
      <c r="P192">
        <v>41.7</v>
      </c>
      <c r="Q192">
        <v>100</v>
      </c>
      <c r="R192">
        <v>3</v>
      </c>
      <c r="S192" t="s">
        <v>54</v>
      </c>
      <c r="T192" t="s">
        <v>54</v>
      </c>
      <c r="AA192" s="44"/>
      <c r="AC192">
        <v>2022</v>
      </c>
      <c r="AD192" t="s">
        <v>93</v>
      </c>
      <c r="AE192">
        <v>5</v>
      </c>
      <c r="AF192">
        <f>L268</f>
        <v>77.410793305246557</v>
      </c>
      <c r="AG192" s="383">
        <v>45351</v>
      </c>
      <c r="AH192">
        <f>((AF192-AF193)/AVERAGE(AF192:AF193))*100</f>
        <v>3.8947581636904025</v>
      </c>
      <c r="AI192" t="s">
        <v>3088</v>
      </c>
    </row>
    <row r="193" spans="1:38">
      <c r="A193" s="148">
        <v>45261</v>
      </c>
      <c r="B193">
        <v>12</v>
      </c>
      <c r="C193" t="s">
        <v>64</v>
      </c>
      <c r="D193">
        <v>2204.1999999999998</v>
      </c>
      <c r="G193" s="521"/>
      <c r="H193">
        <v>31.052199999999999</v>
      </c>
      <c r="I193">
        <v>0.36033000000000004</v>
      </c>
      <c r="J193">
        <v>30.691869999999998</v>
      </c>
      <c r="K193">
        <v>323.85910470386091</v>
      </c>
      <c r="L193" s="277">
        <v>14.692818469461072</v>
      </c>
      <c r="M193">
        <v>255.78262017485429</v>
      </c>
      <c r="N193">
        <v>11.604329016189743</v>
      </c>
      <c r="O193">
        <v>128</v>
      </c>
      <c r="P193">
        <v>41.7</v>
      </c>
      <c r="Q193">
        <v>100</v>
      </c>
      <c r="R193">
        <v>3</v>
      </c>
      <c r="S193" t="s">
        <v>54</v>
      </c>
      <c r="T193" t="s">
        <v>54</v>
      </c>
      <c r="AA193" s="44"/>
      <c r="AC193">
        <v>2022</v>
      </c>
      <c r="AD193" t="s">
        <v>93</v>
      </c>
      <c r="AE193">
        <v>5</v>
      </c>
      <c r="AF193">
        <f>L496</f>
        <v>74.453421356122561</v>
      </c>
      <c r="AG193" s="383">
        <v>45405</v>
      </c>
    </row>
    <row r="194" spans="1:38">
      <c r="A194" s="148">
        <v>45261</v>
      </c>
      <c r="B194">
        <v>13</v>
      </c>
      <c r="C194" t="s">
        <v>65</v>
      </c>
      <c r="G194" s="521"/>
      <c r="H194">
        <v>0.41420000000000001</v>
      </c>
      <c r="I194">
        <v>0.36033000000000004</v>
      </c>
      <c r="J194">
        <v>5.3869999999999973E-2</v>
      </c>
      <c r="K194">
        <v>30.642356572642246</v>
      </c>
      <c r="O194">
        <v>128</v>
      </c>
      <c r="P194">
        <v>41.7</v>
      </c>
      <c r="Q194">
        <v>100</v>
      </c>
      <c r="R194">
        <v>3</v>
      </c>
      <c r="S194" t="s">
        <v>54</v>
      </c>
      <c r="T194" t="s">
        <v>54</v>
      </c>
      <c r="AA194" s="44"/>
      <c r="AC194" s="455">
        <v>2022</v>
      </c>
      <c r="AD194" s="455" t="s">
        <v>93</v>
      </c>
      <c r="AE194" s="455">
        <v>5</v>
      </c>
      <c r="AF194" s="455">
        <f>L530</f>
        <v>76.970075613599562</v>
      </c>
      <c r="AG194" s="457">
        <v>45475</v>
      </c>
    </row>
    <row r="195" spans="1:38">
      <c r="A195" s="148">
        <v>45261</v>
      </c>
      <c r="B195">
        <v>14</v>
      </c>
      <c r="C195" t="s">
        <v>66</v>
      </c>
      <c r="G195" s="521"/>
      <c r="H195">
        <v>0</v>
      </c>
      <c r="I195">
        <v>0.36033000000000004</v>
      </c>
      <c r="J195">
        <v>-0.36033000000000004</v>
      </c>
      <c r="K195">
        <v>26.678312670430913</v>
      </c>
      <c r="O195">
        <v>128</v>
      </c>
      <c r="P195">
        <v>41.7</v>
      </c>
      <c r="Q195">
        <v>100</v>
      </c>
      <c r="R195">
        <v>3</v>
      </c>
      <c r="S195" t="s">
        <v>54</v>
      </c>
      <c r="T195" t="s">
        <v>54</v>
      </c>
      <c r="AA195" s="44"/>
      <c r="AC195">
        <v>2022</v>
      </c>
      <c r="AD195" t="s">
        <v>93</v>
      </c>
      <c r="AE195">
        <v>6</v>
      </c>
      <c r="AF195">
        <f>L27</f>
        <v>74.528823721553209</v>
      </c>
      <c r="AG195" s="383">
        <f>A27</f>
        <v>45161</v>
      </c>
      <c r="AH195">
        <f>((AF195-AF196)/AVERAGE(AF195:AF196))*100</f>
        <v>0.3510320652354304</v>
      </c>
      <c r="AI195" t="s">
        <v>3088</v>
      </c>
    </row>
    <row r="196" spans="1:38">
      <c r="A196" s="148">
        <v>45261</v>
      </c>
      <c r="B196">
        <v>15</v>
      </c>
      <c r="C196" t="s">
        <v>67</v>
      </c>
      <c r="D196">
        <v>2861</v>
      </c>
      <c r="E196" t="s">
        <v>3198</v>
      </c>
      <c r="G196" s="521"/>
      <c r="H196">
        <v>256.8134</v>
      </c>
      <c r="I196">
        <v>0.36033000000000004</v>
      </c>
      <c r="J196">
        <v>256.45307000000003</v>
      </c>
      <c r="K196">
        <v>2484.47549344339</v>
      </c>
      <c r="L196" s="277">
        <v>86.839409068276467</v>
      </c>
      <c r="M196">
        <v>2137.2512719650294</v>
      </c>
      <c r="N196">
        <v>74.702945542293932</v>
      </c>
      <c r="O196">
        <v>128</v>
      </c>
      <c r="P196">
        <v>41.7</v>
      </c>
      <c r="Q196">
        <v>100</v>
      </c>
      <c r="R196">
        <v>3</v>
      </c>
      <c r="S196" t="s">
        <v>54</v>
      </c>
      <c r="T196" t="s">
        <v>54</v>
      </c>
      <c r="AA196" s="44"/>
      <c r="AC196">
        <v>2022</v>
      </c>
      <c r="AD196" t="s">
        <v>93</v>
      </c>
      <c r="AE196">
        <v>6</v>
      </c>
      <c r="AF196">
        <f>L28</f>
        <v>74.26766203308209</v>
      </c>
      <c r="AG196" s="383">
        <f>A28</f>
        <v>45161</v>
      </c>
      <c r="AK196" s="388"/>
      <c r="AL196" t="s">
        <v>3195</v>
      </c>
    </row>
    <row r="197" spans="1:38">
      <c r="A197" s="148">
        <v>45261</v>
      </c>
      <c r="B197">
        <v>16</v>
      </c>
      <c r="C197" t="s">
        <v>69</v>
      </c>
      <c r="D197">
        <v>2304.1999999999998</v>
      </c>
      <c r="G197" s="521"/>
      <c r="H197">
        <v>204.3064</v>
      </c>
      <c r="I197">
        <v>0.36033000000000004</v>
      </c>
      <c r="J197">
        <v>203.94606999999999</v>
      </c>
      <c r="K197">
        <v>1981.9645007504628</v>
      </c>
      <c r="L197" s="277">
        <v>86.015298183771506</v>
      </c>
      <c r="M197">
        <v>1699.6637923646961</v>
      </c>
      <c r="N197">
        <v>73.763726775657332</v>
      </c>
      <c r="O197">
        <v>128</v>
      </c>
      <c r="P197">
        <v>41.7</v>
      </c>
      <c r="Q197">
        <v>100</v>
      </c>
      <c r="R197">
        <v>3</v>
      </c>
      <c r="S197" t="s">
        <v>54</v>
      </c>
      <c r="T197" t="s">
        <v>54</v>
      </c>
      <c r="AA197" s="44"/>
      <c r="AC197">
        <v>2022</v>
      </c>
      <c r="AD197" t="s">
        <v>93</v>
      </c>
      <c r="AE197">
        <v>6</v>
      </c>
      <c r="AF197">
        <f>L167</f>
        <v>74.771729858151573</v>
      </c>
      <c r="AG197" s="385">
        <v>45258</v>
      </c>
      <c r="AK197" s="148">
        <v>45261</v>
      </c>
    </row>
    <row r="198" spans="1:38">
      <c r="A198" s="148">
        <v>45261</v>
      </c>
      <c r="B198">
        <v>17</v>
      </c>
      <c r="C198" t="s">
        <v>70</v>
      </c>
      <c r="D198">
        <v>2508.6999999999998</v>
      </c>
      <c r="G198" s="521"/>
      <c r="H198">
        <v>215.58029999999999</v>
      </c>
      <c r="I198">
        <v>0.36033000000000004</v>
      </c>
      <c r="J198">
        <v>215.21996999999999</v>
      </c>
      <c r="K198">
        <v>2089.8598038628247</v>
      </c>
      <c r="L198" s="277">
        <v>83.304492520541501</v>
      </c>
      <c r="M198">
        <v>1793.6192170940883</v>
      </c>
      <c r="N198">
        <v>71.495962733451137</v>
      </c>
      <c r="O198">
        <v>128</v>
      </c>
      <c r="P198">
        <v>41.7</v>
      </c>
      <c r="Q198">
        <v>100</v>
      </c>
      <c r="R198">
        <v>3</v>
      </c>
      <c r="S198" t="s">
        <v>54</v>
      </c>
      <c r="T198" t="s">
        <v>54</v>
      </c>
      <c r="AA198" s="44"/>
      <c r="AC198">
        <v>2022</v>
      </c>
      <c r="AD198" t="s">
        <v>93</v>
      </c>
      <c r="AE198">
        <v>6</v>
      </c>
      <c r="AF198">
        <f>L169</f>
        <v>72.720464565419945</v>
      </c>
      <c r="AG198" s="385">
        <v>45258</v>
      </c>
    </row>
    <row r="199" spans="1:38">
      <c r="A199" s="148">
        <v>45261</v>
      </c>
      <c r="B199">
        <v>18</v>
      </c>
      <c r="C199" t="s">
        <v>71</v>
      </c>
      <c r="D199">
        <v>2382.8000000000002</v>
      </c>
      <c r="G199" s="521"/>
      <c r="H199">
        <v>187.92660000000001</v>
      </c>
      <c r="I199">
        <v>0.36033000000000004</v>
      </c>
      <c r="J199">
        <v>187.56627</v>
      </c>
      <c r="K199">
        <v>1825.203886773058</v>
      </c>
      <c r="L199" s="277">
        <v>76.599122325543817</v>
      </c>
      <c r="M199">
        <v>1563.1563667194007</v>
      </c>
      <c r="N199">
        <v>65.601660513656228</v>
      </c>
      <c r="O199">
        <v>128</v>
      </c>
      <c r="P199">
        <v>41.7</v>
      </c>
      <c r="Q199">
        <v>100</v>
      </c>
      <c r="R199">
        <v>3</v>
      </c>
      <c r="S199" t="s">
        <v>54</v>
      </c>
      <c r="T199" t="s">
        <v>54</v>
      </c>
      <c r="AA199" s="44"/>
      <c r="AC199">
        <v>2022</v>
      </c>
      <c r="AD199" t="s">
        <v>93</v>
      </c>
      <c r="AE199">
        <v>6</v>
      </c>
      <c r="AF199">
        <f>L201</f>
        <v>84.341407292027256</v>
      </c>
      <c r="AG199" s="387">
        <v>45261</v>
      </c>
    </row>
    <row r="200" spans="1:38">
      <c r="A200" s="148">
        <v>45261</v>
      </c>
      <c r="B200">
        <v>19</v>
      </c>
      <c r="C200" t="s">
        <v>72</v>
      </c>
      <c r="D200">
        <v>2514</v>
      </c>
      <c r="G200" s="521"/>
      <c r="H200">
        <v>225.34880000000001</v>
      </c>
      <c r="I200">
        <v>0.36033000000000004</v>
      </c>
      <c r="J200">
        <v>224.98847000000001</v>
      </c>
      <c r="K200">
        <v>2183.3478841591827</v>
      </c>
      <c r="L200" s="277">
        <v>86.847568980078876</v>
      </c>
      <c r="M200">
        <v>1875.0288061865115</v>
      </c>
      <c r="N200">
        <v>74.583484732955895</v>
      </c>
      <c r="O200">
        <v>128</v>
      </c>
      <c r="P200">
        <v>41.7</v>
      </c>
      <c r="Q200">
        <v>100</v>
      </c>
      <c r="R200">
        <v>3</v>
      </c>
      <c r="S200" t="s">
        <v>54</v>
      </c>
      <c r="T200" t="s">
        <v>54</v>
      </c>
      <c r="AA200" s="44"/>
      <c r="AC200">
        <v>2022</v>
      </c>
      <c r="AD200" t="s">
        <v>93</v>
      </c>
      <c r="AE200">
        <v>6</v>
      </c>
      <c r="AF200">
        <f>L203</f>
        <v>83.974308620631504</v>
      </c>
      <c r="AG200" s="387">
        <v>45261</v>
      </c>
    </row>
    <row r="201" spans="1:38">
      <c r="A201" s="148">
        <v>45261</v>
      </c>
      <c r="B201">
        <v>20</v>
      </c>
      <c r="C201" t="s">
        <v>73</v>
      </c>
      <c r="D201">
        <v>2845.5</v>
      </c>
      <c r="G201" s="521"/>
      <c r="H201">
        <v>247.97980000000001</v>
      </c>
      <c r="I201">
        <v>0.36033000000000004</v>
      </c>
      <c r="J201">
        <v>247.61947000000001</v>
      </c>
      <c r="K201">
        <v>2399.9347444946357</v>
      </c>
      <c r="L201" s="277">
        <v>84.341407292027256</v>
      </c>
      <c r="M201">
        <v>2063.6330351623651</v>
      </c>
      <c r="N201">
        <v>72.522686176853455</v>
      </c>
      <c r="O201">
        <v>128</v>
      </c>
      <c r="P201">
        <v>41.7</v>
      </c>
      <c r="Q201">
        <v>100</v>
      </c>
      <c r="R201">
        <v>3</v>
      </c>
      <c r="S201" t="s">
        <v>54</v>
      </c>
      <c r="T201" t="s">
        <v>54</v>
      </c>
      <c r="AA201" s="44"/>
      <c r="AC201">
        <v>2022</v>
      </c>
      <c r="AD201" t="s">
        <v>93</v>
      </c>
      <c r="AE201">
        <v>6</v>
      </c>
      <c r="AF201">
        <f>L235</f>
        <v>80.482732271451411</v>
      </c>
      <c r="AG201" s="385">
        <v>45345</v>
      </c>
    </row>
    <row r="202" spans="1:38">
      <c r="A202" s="148">
        <v>45261</v>
      </c>
      <c r="B202">
        <v>21</v>
      </c>
      <c r="C202" t="s">
        <v>74</v>
      </c>
      <c r="G202" s="521"/>
      <c r="H202">
        <v>0.32219999999999999</v>
      </c>
      <c r="I202">
        <v>0.36033000000000004</v>
      </c>
      <c r="J202">
        <v>-3.8130000000000053E-2</v>
      </c>
      <c r="K202">
        <v>29.761883277124518</v>
      </c>
      <c r="M202">
        <v>-0.31777116569525438</v>
      </c>
      <c r="O202">
        <v>128</v>
      </c>
      <c r="P202">
        <v>41.7</v>
      </c>
      <c r="Q202">
        <v>100</v>
      </c>
      <c r="R202">
        <v>3</v>
      </c>
      <c r="S202" t="s">
        <v>54</v>
      </c>
      <c r="T202" t="s">
        <v>54</v>
      </c>
      <c r="AA202" s="44"/>
      <c r="AC202">
        <v>2022</v>
      </c>
      <c r="AD202" t="s">
        <v>93</v>
      </c>
      <c r="AE202">
        <v>6</v>
      </c>
      <c r="AF202">
        <f>L269</f>
        <v>75.441387138817674</v>
      </c>
      <c r="AG202" s="383">
        <v>45351</v>
      </c>
      <c r="AH202">
        <f>((AF202-AF203)/AVERAGE(AF202:AF203))*100</f>
        <v>0.38830142152581459</v>
      </c>
      <c r="AI202" t="s">
        <v>3088</v>
      </c>
    </row>
    <row r="203" spans="1:38">
      <c r="A203" s="148">
        <v>45261</v>
      </c>
      <c r="B203">
        <v>22</v>
      </c>
      <c r="C203" t="s">
        <v>75</v>
      </c>
      <c r="D203">
        <v>2701</v>
      </c>
      <c r="G203" s="521"/>
      <c r="H203">
        <v>234.20930000000001</v>
      </c>
      <c r="I203">
        <v>0.36033000000000004</v>
      </c>
      <c r="J203">
        <v>233.84897000000001</v>
      </c>
      <c r="K203">
        <v>2268.1460758432568</v>
      </c>
      <c r="L203" s="277">
        <v>83.974308620631504</v>
      </c>
      <c r="M203">
        <v>1948.8712245878437</v>
      </c>
      <c r="N203">
        <v>77.152463364522717</v>
      </c>
      <c r="O203">
        <v>128</v>
      </c>
      <c r="P203">
        <v>41.7</v>
      </c>
      <c r="Q203">
        <v>100</v>
      </c>
      <c r="R203">
        <v>3</v>
      </c>
      <c r="S203" t="s">
        <v>54</v>
      </c>
      <c r="T203" t="s">
        <v>54</v>
      </c>
      <c r="AA203" s="44"/>
      <c r="AC203">
        <v>2022</v>
      </c>
      <c r="AD203" t="s">
        <v>93</v>
      </c>
      <c r="AE203">
        <v>6</v>
      </c>
      <c r="AF203">
        <f>L271</f>
        <v>75.149014803106709</v>
      </c>
      <c r="AG203" s="383">
        <v>45351</v>
      </c>
    </row>
    <row r="204" spans="1:38">
      <c r="A204" s="148">
        <v>45261</v>
      </c>
      <c r="B204">
        <v>23</v>
      </c>
      <c r="C204" t="s">
        <v>77</v>
      </c>
      <c r="D204">
        <v>2526</v>
      </c>
      <c r="G204" s="521"/>
      <c r="H204">
        <v>221.87190000000001</v>
      </c>
      <c r="I204">
        <v>0.36033000000000004</v>
      </c>
      <c r="J204">
        <v>221.51157000000001</v>
      </c>
      <c r="K204">
        <v>2150.0726928419481</v>
      </c>
      <c r="L204" s="277">
        <v>85.117683802135716</v>
      </c>
      <c r="M204">
        <v>1846.0527095170694</v>
      </c>
      <c r="N204">
        <v>91.893708473147953</v>
      </c>
      <c r="O204">
        <v>128</v>
      </c>
      <c r="P204">
        <v>41.7</v>
      </c>
      <c r="Q204">
        <v>100</v>
      </c>
      <c r="R204">
        <v>3</v>
      </c>
      <c r="S204" t="s">
        <v>54</v>
      </c>
      <c r="T204" t="s">
        <v>54</v>
      </c>
      <c r="AA204" s="44"/>
      <c r="AC204" s="455">
        <v>2022</v>
      </c>
      <c r="AD204" s="455" t="s">
        <v>93</v>
      </c>
      <c r="AE204" s="455">
        <v>6</v>
      </c>
      <c r="AF204" s="455">
        <f>L555</f>
        <v>75.414397032601002</v>
      </c>
      <c r="AG204" s="457">
        <v>45476</v>
      </c>
    </row>
    <row r="205" spans="1:38">
      <c r="A205" s="148">
        <v>45261</v>
      </c>
      <c r="B205">
        <v>24</v>
      </c>
      <c r="C205" t="s">
        <v>79</v>
      </c>
      <c r="D205">
        <v>2008.9</v>
      </c>
      <c r="G205" s="521"/>
      <c r="H205">
        <v>169.273</v>
      </c>
      <c r="I205">
        <v>0.36033000000000004</v>
      </c>
      <c r="J205">
        <v>168.91266999999999</v>
      </c>
      <c r="K205">
        <v>1646.682183889694</v>
      </c>
      <c r="L205" s="277">
        <v>81.969345606535612</v>
      </c>
      <c r="M205">
        <v>1407.699345570358</v>
      </c>
      <c r="N205">
        <v>61.936789227840457</v>
      </c>
      <c r="O205">
        <v>128</v>
      </c>
      <c r="P205">
        <v>41.7</v>
      </c>
      <c r="Q205">
        <v>100</v>
      </c>
      <c r="R205">
        <v>3</v>
      </c>
      <c r="S205" t="s">
        <v>54</v>
      </c>
      <c r="T205" t="s">
        <v>54</v>
      </c>
      <c r="AA205" s="44"/>
      <c r="AC205">
        <v>2022</v>
      </c>
      <c r="AD205" t="s">
        <v>93</v>
      </c>
      <c r="AE205">
        <v>7</v>
      </c>
      <c r="AF205">
        <f>L30</f>
        <v>73.749541719847727</v>
      </c>
      <c r="AG205" s="383">
        <f>A29</f>
        <v>45161</v>
      </c>
      <c r="AH205">
        <f>((AF205-AVERAGE($AF$209,$AF$205,$AF$210,$AF$211))/AVERAGE($AF$205,$AF$209,$AF$210,$AF$211))*100</f>
        <v>-0.9936270042785369</v>
      </c>
      <c r="AI205" t="s">
        <v>3088</v>
      </c>
    </row>
    <row r="206" spans="1:38">
      <c r="A206" s="148">
        <v>45261</v>
      </c>
      <c r="B206">
        <v>25</v>
      </c>
      <c r="C206" t="s">
        <v>80</v>
      </c>
      <c r="D206">
        <v>2272.8000000000002</v>
      </c>
      <c r="G206" s="521"/>
      <c r="H206">
        <v>193.87</v>
      </c>
      <c r="I206">
        <v>0.36033000000000004</v>
      </c>
      <c r="J206">
        <v>193.50967</v>
      </c>
      <c r="K206">
        <v>1882.0843757358846</v>
      </c>
      <c r="L206" s="277">
        <v>82.809062642374357</v>
      </c>
      <c r="M206">
        <v>1612.6879991923397</v>
      </c>
      <c r="N206">
        <v>57.881271954358617</v>
      </c>
      <c r="O206">
        <v>128</v>
      </c>
      <c r="P206">
        <v>41.7</v>
      </c>
      <c r="Q206">
        <v>100</v>
      </c>
      <c r="R206">
        <v>3</v>
      </c>
      <c r="S206" t="s">
        <v>54</v>
      </c>
      <c r="T206" t="s">
        <v>54</v>
      </c>
      <c r="X206" s="376"/>
      <c r="AA206" s="44"/>
      <c r="AC206">
        <v>2022</v>
      </c>
      <c r="AD206" t="s">
        <v>93</v>
      </c>
      <c r="AE206">
        <v>7</v>
      </c>
      <c r="AF206">
        <f>L170</f>
        <v>75.380305566490549</v>
      </c>
      <c r="AG206" s="385">
        <v>45258</v>
      </c>
    </row>
    <row r="207" spans="1:38">
      <c r="A207" s="148">
        <v>45261</v>
      </c>
      <c r="B207">
        <v>26</v>
      </c>
      <c r="C207" t="s">
        <v>81</v>
      </c>
      <c r="D207">
        <v>2786.2</v>
      </c>
      <c r="G207" s="521"/>
      <c r="H207">
        <v>250.5684</v>
      </c>
      <c r="I207">
        <v>0.36033000000000004</v>
      </c>
      <c r="J207">
        <v>250.20806999999999</v>
      </c>
      <c r="K207">
        <v>2424.7085833291703</v>
      </c>
      <c r="L207" s="277">
        <v>87.025647237426256</v>
      </c>
      <c r="M207">
        <v>2085.2061387427148</v>
      </c>
      <c r="N207">
        <v>74.840504584836509</v>
      </c>
      <c r="O207">
        <v>128</v>
      </c>
      <c r="P207">
        <v>41.7</v>
      </c>
      <c r="Q207">
        <v>100</v>
      </c>
      <c r="R207">
        <v>3</v>
      </c>
      <c r="S207" t="s">
        <v>54</v>
      </c>
      <c r="T207" t="s">
        <v>54</v>
      </c>
      <c r="X207" s="220"/>
      <c r="Y207" s="220"/>
      <c r="AA207" s="44"/>
      <c r="AC207">
        <v>2022</v>
      </c>
      <c r="AD207" t="s">
        <v>93</v>
      </c>
      <c r="AE207">
        <v>7</v>
      </c>
      <c r="AF207">
        <f>L204</f>
        <v>85.117683802135716</v>
      </c>
      <c r="AG207" s="387">
        <v>45261</v>
      </c>
    </row>
    <row r="208" spans="1:38">
      <c r="A208" s="148">
        <v>45261</v>
      </c>
      <c r="B208">
        <v>27</v>
      </c>
      <c r="C208" t="s">
        <v>82</v>
      </c>
      <c r="G208" s="521"/>
      <c r="H208">
        <v>0.36880000000000002</v>
      </c>
      <c r="I208">
        <v>0.36033000000000004</v>
      </c>
      <c r="J208">
        <v>8.4699999999999775E-3</v>
      </c>
      <c r="K208">
        <v>30.207862142028066</v>
      </c>
      <c r="O208">
        <v>128</v>
      </c>
      <c r="P208">
        <v>41.7</v>
      </c>
      <c r="Q208">
        <v>100</v>
      </c>
      <c r="R208">
        <v>3</v>
      </c>
      <c r="S208" t="s">
        <v>54</v>
      </c>
      <c r="T208" t="s">
        <v>54</v>
      </c>
      <c r="X208" s="220"/>
      <c r="Y208" s="220"/>
      <c r="AA208" s="44"/>
      <c r="AC208">
        <v>2022</v>
      </c>
      <c r="AD208" t="s">
        <v>93</v>
      </c>
      <c r="AE208">
        <v>7</v>
      </c>
      <c r="AF208">
        <f>L238</f>
        <v>80.058423931704951</v>
      </c>
      <c r="AG208" s="385">
        <v>45345</v>
      </c>
    </row>
    <row r="209" spans="1:37">
      <c r="A209" s="148">
        <v>45261</v>
      </c>
      <c r="B209">
        <v>28</v>
      </c>
      <c r="C209" t="s">
        <v>3223</v>
      </c>
      <c r="D209">
        <v>1978.3</v>
      </c>
      <c r="G209" s="521">
        <v>1977.90434</v>
      </c>
      <c r="H209">
        <v>224.37129999999999</v>
      </c>
      <c r="I209">
        <v>0.36033000000000004</v>
      </c>
      <c r="J209">
        <v>224.01096999999999</v>
      </c>
      <c r="K209">
        <v>2173.9928553943068</v>
      </c>
      <c r="L209" s="277">
        <v>109.91395344197015</v>
      </c>
      <c r="M209">
        <v>1866.8824302497919</v>
      </c>
      <c r="N209">
        <v>94.368014469483498</v>
      </c>
      <c r="O209">
        <v>128</v>
      </c>
      <c r="P209">
        <v>41.7</v>
      </c>
      <c r="Q209">
        <v>100</v>
      </c>
      <c r="R209">
        <v>3</v>
      </c>
      <c r="S209" t="s">
        <v>54</v>
      </c>
      <c r="T209" t="s">
        <v>54</v>
      </c>
      <c r="X209" s="220"/>
      <c r="Y209" s="220"/>
      <c r="AA209" s="44"/>
      <c r="AC209">
        <v>2022</v>
      </c>
      <c r="AD209" t="s">
        <v>93</v>
      </c>
      <c r="AE209">
        <v>7</v>
      </c>
      <c r="AF209">
        <f>L272</f>
        <v>75.790202174504472</v>
      </c>
      <c r="AG209" s="383">
        <v>45351</v>
      </c>
      <c r="AH209">
        <f>((AF209-AVERAGE($AF$209,$AF$205,$AF$210,$AF$211))/AVERAGE($AF$205,$AF$209,$AF$210,$AF$211))*100</f>
        <v>1.7458936140169257</v>
      </c>
    </row>
    <row r="210" spans="1:37">
      <c r="A210" s="148">
        <v>45261</v>
      </c>
      <c r="B210">
        <v>29</v>
      </c>
      <c r="C210" t="s">
        <v>84</v>
      </c>
      <c r="G210" s="521"/>
      <c r="H210">
        <v>0.37219999999999998</v>
      </c>
      <c r="I210">
        <v>0.36033000000000004</v>
      </c>
      <c r="J210">
        <v>1.1869999999999936E-2</v>
      </c>
      <c r="K210">
        <v>30.24040137251459</v>
      </c>
      <c r="O210">
        <v>128</v>
      </c>
      <c r="P210">
        <v>41.7</v>
      </c>
      <c r="Q210">
        <v>100</v>
      </c>
      <c r="R210">
        <v>3</v>
      </c>
      <c r="S210" t="s">
        <v>54</v>
      </c>
      <c r="T210" t="s">
        <v>54</v>
      </c>
      <c r="X210" s="220"/>
      <c r="Y210" s="220"/>
      <c r="AA210" s="44"/>
      <c r="AC210" s="38">
        <v>2022</v>
      </c>
      <c r="AD210" s="38" t="s">
        <v>93</v>
      </c>
      <c r="AE210" s="38">
        <v>7</v>
      </c>
      <c r="AF210" s="38">
        <f>L556</f>
        <v>74.184133419213865</v>
      </c>
      <c r="AG210" s="456">
        <v>45476</v>
      </c>
      <c r="AH210">
        <f>((AF210-AF211)/AVERAGE(AF210,AF211))*100</f>
        <v>-6.839406835216412E-2</v>
      </c>
      <c r="AI210" t="s">
        <v>3088</v>
      </c>
      <c r="AJ210">
        <f>((AF210-AVERAGE($AF$209,$AF$205,$AF$210,$AF$211))/AVERAGE($AF$205,$AF$209,$AF$210,$AF$211))*100</f>
        <v>-0.41020171261047217</v>
      </c>
      <c r="AK210" t="s">
        <v>3088</v>
      </c>
    </row>
    <row r="211" spans="1:37" ht="15.5">
      <c r="G211" s="521"/>
      <c r="H211"/>
      <c r="X211" s="220"/>
      <c r="Y211" s="220"/>
      <c r="AA211" s="52"/>
      <c r="AC211" s="455">
        <v>2022</v>
      </c>
      <c r="AD211" s="455" t="s">
        <v>93</v>
      </c>
      <c r="AE211" s="455">
        <v>7</v>
      </c>
      <c r="AF211" s="455">
        <f>L560</f>
        <v>74.234888322802789</v>
      </c>
      <c r="AG211" s="457">
        <v>45476</v>
      </c>
      <c r="AJ211">
        <f>((AF211-AVERAGE($AF$209,$AF$205,$AF$210,$AF$211))/AVERAGE($AF$205,$AF$209,$AF$210,$AF$211))*100</f>
        <v>-0.34206489712793559</v>
      </c>
      <c r="AK211" t="s">
        <v>3088</v>
      </c>
    </row>
    <row r="212" spans="1:37" ht="15.5">
      <c r="G212" s="521"/>
      <c r="H212"/>
      <c r="X212" s="220"/>
      <c r="Y212" s="220"/>
      <c r="AA212" s="347"/>
      <c r="AC212">
        <v>2022</v>
      </c>
      <c r="AD212" t="s">
        <v>93</v>
      </c>
      <c r="AE212">
        <v>8</v>
      </c>
      <c r="AF212">
        <f>L31</f>
        <v>72.077959286725317</v>
      </c>
      <c r="AG212" s="383">
        <f>A30</f>
        <v>45161</v>
      </c>
      <c r="AH212">
        <f>((AF212-AVERAGE($AF$216,$AF$212,$AF$217))/AVERAGE($AF$212,$AF$216,$AF$217))*100</f>
        <v>-0.33627296652184374</v>
      </c>
      <c r="AI212" t="s">
        <v>3088</v>
      </c>
      <c r="AJ212">
        <f>((AH212-AVERAGE($AF$209,$AF$205,$AF$210,$AF$211))/AVERAGE($AF$205,$AF$209,$AF$210,$AF$211))*100</f>
        <v>-100.45143557472275</v>
      </c>
    </row>
    <row r="213" spans="1:37" ht="15.5">
      <c r="A213" s="148" t="s">
        <v>3224</v>
      </c>
      <c r="G213" s="521"/>
      <c r="H213"/>
      <c r="Y213" s="378"/>
      <c r="Z213" s="377"/>
      <c r="AA213" s="44"/>
      <c r="AC213">
        <v>2022</v>
      </c>
      <c r="AD213" t="s">
        <v>93</v>
      </c>
      <c r="AE213">
        <v>8</v>
      </c>
      <c r="AF213">
        <f>L171</f>
        <v>73.221621679962141</v>
      </c>
      <c r="AG213" s="385">
        <v>45258</v>
      </c>
    </row>
    <row r="214" spans="1:37" ht="15.5">
      <c r="A214" s="148" t="s">
        <v>38</v>
      </c>
      <c r="G214" s="521"/>
      <c r="H214"/>
      <c r="Y214" s="378"/>
      <c r="Z214" s="377"/>
      <c r="AA214" s="44"/>
      <c r="AC214">
        <v>2022</v>
      </c>
      <c r="AD214" t="s">
        <v>93</v>
      </c>
      <c r="AE214">
        <v>8</v>
      </c>
      <c r="AF214">
        <f>L205</f>
        <v>81.969345606535612</v>
      </c>
      <c r="AG214" s="387">
        <v>45261</v>
      </c>
    </row>
    <row r="215" spans="1:37">
      <c r="A215" s="148" t="s">
        <v>3225</v>
      </c>
      <c r="G215" s="521"/>
      <c r="H215"/>
      <c r="AA215" s="44"/>
      <c r="AC215">
        <v>2022</v>
      </c>
      <c r="AD215" t="s">
        <v>93</v>
      </c>
      <c r="AE215">
        <v>8</v>
      </c>
      <c r="AF215">
        <f>L239</f>
        <v>77.170347567403013</v>
      </c>
      <c r="AG215" s="385">
        <v>45345</v>
      </c>
    </row>
    <row r="216" spans="1:37">
      <c r="A216" s="148">
        <v>45345</v>
      </c>
      <c r="B216">
        <v>1</v>
      </c>
      <c r="C216" t="s">
        <v>45</v>
      </c>
      <c r="G216" s="521"/>
      <c r="H216">
        <v>0.2742</v>
      </c>
      <c r="AA216" s="44"/>
      <c r="AC216">
        <v>2022</v>
      </c>
      <c r="AD216" t="s">
        <v>93</v>
      </c>
      <c r="AE216">
        <v>8</v>
      </c>
      <c r="AF216">
        <f>L273</f>
        <v>72.75349199249915</v>
      </c>
      <c r="AG216" s="383">
        <v>45351</v>
      </c>
      <c r="AH216">
        <f>((AF216-AVERAGE($AF$216,$AF$212,$AF$217))/AVERAGE($AF$212,$AF$216,$AF$217))*100</f>
        <v>0.59780047086013988</v>
      </c>
      <c r="AI216" t="s">
        <v>3088</v>
      </c>
    </row>
    <row r="217" spans="1:37">
      <c r="A217" s="148">
        <v>45345</v>
      </c>
      <c r="B217">
        <v>2</v>
      </c>
      <c r="C217" t="s">
        <v>49</v>
      </c>
      <c r="G217" s="521"/>
      <c r="H217">
        <v>0.37219999999999998</v>
      </c>
      <c r="AA217" s="44"/>
      <c r="AC217" s="455">
        <v>2022</v>
      </c>
      <c r="AD217" s="455" t="s">
        <v>93</v>
      </c>
      <c r="AE217" s="455">
        <v>8</v>
      </c>
      <c r="AF217" s="455">
        <f>L557</f>
        <v>72.132016068871607</v>
      </c>
      <c r="AG217" s="457">
        <v>45476</v>
      </c>
      <c r="AH217">
        <f>((AF217-AVERAGE($AF$216,$AF$212,$AF$217))/AVERAGE($AF$212,$AF$216,$AF$217))*100</f>
        <v>-0.26152750433825678</v>
      </c>
      <c r="AI217" t="s">
        <v>3088</v>
      </c>
    </row>
    <row r="218" spans="1:37">
      <c r="A218" s="148">
        <v>45345</v>
      </c>
      <c r="B218">
        <v>3</v>
      </c>
      <c r="C218" t="s">
        <v>51</v>
      </c>
      <c r="G218" s="521">
        <v>0</v>
      </c>
      <c r="H218">
        <v>0.2399</v>
      </c>
      <c r="I218">
        <v>0.26634000000000002</v>
      </c>
      <c r="J218">
        <v>0.26634000000000002</v>
      </c>
      <c r="AA218" s="44"/>
      <c r="AC218">
        <v>2022</v>
      </c>
      <c r="AD218" t="s">
        <v>93</v>
      </c>
      <c r="AE218">
        <v>9</v>
      </c>
      <c r="AF218">
        <f>L32</f>
        <v>72.750428856691627</v>
      </c>
      <c r="AG218" s="383">
        <f>A31</f>
        <v>45161</v>
      </c>
      <c r="AH218">
        <f>((AF218-AVERAGE($AF$222,$AF$218,$AF$223))/AVERAGE($AF$218,$AF$222,$AF$223))*100</f>
        <v>-0.78998399031527422</v>
      </c>
      <c r="AI218" t="s">
        <v>3088</v>
      </c>
    </row>
    <row r="219" spans="1:37">
      <c r="A219" s="148">
        <v>45345</v>
      </c>
      <c r="B219">
        <v>4</v>
      </c>
      <c r="C219" t="s">
        <v>3226</v>
      </c>
      <c r="D219">
        <v>318.3</v>
      </c>
      <c r="G219" s="521">
        <v>318.23634000000004</v>
      </c>
      <c r="H219">
        <v>36.340499999999999</v>
      </c>
      <c r="I219">
        <v>0.26634000000000002</v>
      </c>
      <c r="J219">
        <v>36.074159999999999</v>
      </c>
      <c r="K219">
        <v>327.25736277742169</v>
      </c>
      <c r="L219" s="277">
        <v>102.83469285042106</v>
      </c>
      <c r="M219">
        <v>300.63802451290593</v>
      </c>
      <c r="N219">
        <v>94.470048427814973</v>
      </c>
      <c r="O219">
        <v>128</v>
      </c>
      <c r="P219">
        <v>41.7</v>
      </c>
      <c r="Q219">
        <v>100</v>
      </c>
      <c r="R219">
        <v>3</v>
      </c>
      <c r="S219" t="s">
        <v>54</v>
      </c>
      <c r="T219" t="s">
        <v>54</v>
      </c>
      <c r="AA219" s="44"/>
      <c r="AC219">
        <v>2022</v>
      </c>
      <c r="AD219" t="s">
        <v>93</v>
      </c>
      <c r="AE219">
        <v>9</v>
      </c>
      <c r="AF219">
        <f>L172</f>
        <v>78.276778616337523</v>
      </c>
      <c r="AG219" s="385">
        <v>45258</v>
      </c>
    </row>
    <row r="220" spans="1:37">
      <c r="A220" s="148">
        <v>45345</v>
      </c>
      <c r="B220">
        <v>5</v>
      </c>
      <c r="C220" t="s">
        <v>3227</v>
      </c>
      <c r="D220">
        <v>1105.4000000000001</v>
      </c>
      <c r="G220" s="521">
        <v>1105.1789200000001</v>
      </c>
      <c r="H220">
        <v>131.1105</v>
      </c>
      <c r="I220">
        <v>0.26634000000000002</v>
      </c>
      <c r="J220">
        <v>130.84415999999999</v>
      </c>
      <c r="K220">
        <v>1192.3601311671532</v>
      </c>
      <c r="L220" s="277">
        <v>107.88842508570045</v>
      </c>
      <c r="M220">
        <v>1090.4406306744379</v>
      </c>
      <c r="N220">
        <v>98.666434089643857</v>
      </c>
      <c r="O220">
        <v>128</v>
      </c>
      <c r="P220">
        <v>41.7</v>
      </c>
      <c r="Q220">
        <v>100</v>
      </c>
      <c r="R220">
        <v>3</v>
      </c>
      <c r="S220" t="s">
        <v>54</v>
      </c>
      <c r="T220" t="s">
        <v>54</v>
      </c>
      <c r="AA220" s="44"/>
      <c r="AC220">
        <v>2022</v>
      </c>
      <c r="AD220" t="s">
        <v>93</v>
      </c>
      <c r="AE220">
        <v>9</v>
      </c>
      <c r="AF220">
        <f>L206</f>
        <v>82.809062642374357</v>
      </c>
      <c r="AG220" s="387">
        <v>45261</v>
      </c>
    </row>
    <row r="221" spans="1:37">
      <c r="A221" s="148">
        <v>45345</v>
      </c>
      <c r="B221">
        <v>6</v>
      </c>
      <c r="C221" t="s">
        <v>3228</v>
      </c>
      <c r="D221">
        <v>2216.9</v>
      </c>
      <c r="G221" s="521">
        <v>2216.4566199999999</v>
      </c>
      <c r="H221">
        <v>248.8237</v>
      </c>
      <c r="I221">
        <v>0.26634000000000002</v>
      </c>
      <c r="J221">
        <v>248.55735999999999</v>
      </c>
      <c r="K221">
        <v>2266.8986475332413</v>
      </c>
      <c r="L221" s="277">
        <v>102.2757958390921</v>
      </c>
      <c r="M221">
        <v>2071.449305778518</v>
      </c>
      <c r="N221">
        <v>93.457696716776624</v>
      </c>
      <c r="O221">
        <v>128</v>
      </c>
      <c r="P221">
        <v>41.7</v>
      </c>
      <c r="Q221">
        <v>100</v>
      </c>
      <c r="R221">
        <v>3</v>
      </c>
      <c r="S221" t="s">
        <v>54</v>
      </c>
      <c r="T221" t="s">
        <v>54</v>
      </c>
      <c r="AA221" s="44"/>
      <c r="AC221">
        <v>2022</v>
      </c>
      <c r="AD221" t="s">
        <v>93</v>
      </c>
      <c r="AE221">
        <v>9</v>
      </c>
      <c r="AF221">
        <f>L240</f>
        <v>78.550338259019981</v>
      </c>
      <c r="AG221" s="385">
        <v>45345</v>
      </c>
    </row>
    <row r="222" spans="1:37">
      <c r="A222" s="148">
        <v>45345</v>
      </c>
      <c r="B222">
        <v>7</v>
      </c>
      <c r="C222" t="s">
        <v>3229</v>
      </c>
      <c r="D222">
        <v>2853.2</v>
      </c>
      <c r="G222" s="521">
        <v>2852.6293599999999</v>
      </c>
      <c r="H222">
        <v>270.6986</v>
      </c>
      <c r="I222">
        <v>0.26634000000000002</v>
      </c>
      <c r="J222">
        <v>270.43225999999999</v>
      </c>
      <c r="K222">
        <v>2466.5824773132194</v>
      </c>
      <c r="L222" s="277">
        <v>86.466980670535463</v>
      </c>
      <c r="M222">
        <v>2253.7522817152371</v>
      </c>
      <c r="N222">
        <v>79.006137751987424</v>
      </c>
      <c r="O222">
        <v>128</v>
      </c>
      <c r="P222">
        <v>41.7</v>
      </c>
      <c r="Q222">
        <v>100</v>
      </c>
      <c r="R222">
        <v>3</v>
      </c>
      <c r="S222" t="s">
        <v>54</v>
      </c>
      <c r="T222" t="s">
        <v>54</v>
      </c>
      <c r="AA222" s="44"/>
      <c r="AC222">
        <v>2022</v>
      </c>
      <c r="AD222" t="s">
        <v>93</v>
      </c>
      <c r="AE222">
        <v>9</v>
      </c>
      <c r="AF222">
        <f>L274</f>
        <v>74.378092003012299</v>
      </c>
      <c r="AG222" s="383">
        <v>45351</v>
      </c>
      <c r="AH222">
        <f>((AF222-AVERAGE($AF$222,$AF$218,$AF$223))/AVERAGE($AF$218,$AF$222,$AF$223))*100</f>
        <v>1.4296659738511506</v>
      </c>
      <c r="AI222" t="s">
        <v>3088</v>
      </c>
    </row>
    <row r="223" spans="1:37">
      <c r="A223" s="148">
        <v>45345</v>
      </c>
      <c r="B223">
        <v>8</v>
      </c>
      <c r="C223" t="s">
        <v>3230</v>
      </c>
      <c r="D223">
        <v>3725.3</v>
      </c>
      <c r="G223" s="521">
        <v>3724.5549400000004</v>
      </c>
      <c r="H223">
        <v>434.69009999999997</v>
      </c>
      <c r="I223">
        <v>0.26634000000000002</v>
      </c>
      <c r="J223">
        <v>434.42375999999996</v>
      </c>
      <c r="K223">
        <v>3963.5699273753139</v>
      </c>
      <c r="L223" s="277">
        <v>106.41727645921941</v>
      </c>
      <c r="M223">
        <v>3620.4391455786845</v>
      </c>
      <c r="N223">
        <v>97.204611125394862</v>
      </c>
      <c r="O223">
        <v>128</v>
      </c>
      <c r="P223">
        <v>41.7</v>
      </c>
      <c r="Q223">
        <v>100</v>
      </c>
      <c r="R223">
        <v>3</v>
      </c>
      <c r="S223" t="s">
        <v>54</v>
      </c>
      <c r="T223" t="s">
        <v>54</v>
      </c>
      <c r="AA223" s="44"/>
      <c r="AC223" s="455">
        <v>2022</v>
      </c>
      <c r="AD223" s="455" t="s">
        <v>93</v>
      </c>
      <c r="AE223" s="455">
        <v>9</v>
      </c>
      <c r="AF223" s="455">
        <f>L558</f>
        <v>72.860644900303129</v>
      </c>
      <c r="AG223" s="457">
        <v>45476</v>
      </c>
      <c r="AH223">
        <f>((AF223-AVERAGE($AF$222,$AF$218,$AF$223))/AVERAGE($AF$218,$AF$222,$AF$223))*100</f>
        <v>-0.63968198353589567</v>
      </c>
      <c r="AI223" t="s">
        <v>3088</v>
      </c>
    </row>
    <row r="224" spans="1:37">
      <c r="A224" s="148">
        <v>45345</v>
      </c>
      <c r="B224">
        <v>9</v>
      </c>
      <c r="C224" t="s">
        <v>61</v>
      </c>
      <c r="H224" s="521">
        <v>0.54579999999999995</v>
      </c>
      <c r="I224">
        <v>0.26634000000000002</v>
      </c>
      <c r="J224">
        <v>0.27945999999999993</v>
      </c>
      <c r="K224">
        <v>0.5073990369982555</v>
      </c>
      <c r="O224">
        <v>128</v>
      </c>
      <c r="P224">
        <v>41.7</v>
      </c>
      <c r="Q224">
        <v>100</v>
      </c>
      <c r="R224">
        <v>3</v>
      </c>
      <c r="S224" t="s">
        <v>54</v>
      </c>
      <c r="T224" t="s">
        <v>54</v>
      </c>
      <c r="AA224" s="44"/>
      <c r="AC224">
        <v>2022</v>
      </c>
      <c r="AD224" t="s">
        <v>93</v>
      </c>
      <c r="AE224">
        <v>10</v>
      </c>
      <c r="AF224">
        <f>L33</f>
        <v>76.650278708875177</v>
      </c>
      <c r="AG224" s="383">
        <f>A32</f>
        <v>45161</v>
      </c>
      <c r="AH224">
        <f>((AF224-AVERAGE($AF$228,$AF$224,$AF$229))/AVERAGE($AF$224,$AF$228,$AF$229))*100</f>
        <v>-0.25011003586657687</v>
      </c>
      <c r="AI224" t="s">
        <v>3088</v>
      </c>
    </row>
    <row r="225" spans="1:35">
      <c r="A225" s="148">
        <v>45345</v>
      </c>
      <c r="B225">
        <v>10</v>
      </c>
      <c r="C225" t="s">
        <v>63</v>
      </c>
      <c r="H225" s="521">
        <v>0.24049999999999999</v>
      </c>
      <c r="I225">
        <v>0.26634000000000002</v>
      </c>
      <c r="J225">
        <v>-2.584000000000003E-2</v>
      </c>
      <c r="K225">
        <v>-2.2795153366367034</v>
      </c>
      <c r="O225">
        <v>128</v>
      </c>
      <c r="P225">
        <v>41.7</v>
      </c>
      <c r="Q225">
        <v>100</v>
      </c>
      <c r="R225">
        <v>3</v>
      </c>
      <c r="S225" t="s">
        <v>54</v>
      </c>
      <c r="T225" t="s">
        <v>54</v>
      </c>
      <c r="AA225" s="44"/>
      <c r="AC225">
        <v>2022</v>
      </c>
      <c r="AD225" t="s">
        <v>93</v>
      </c>
      <c r="AE225">
        <v>10</v>
      </c>
      <c r="AF225">
        <f>L173</f>
        <v>68.425330779496988</v>
      </c>
      <c r="AG225" s="385">
        <v>45258</v>
      </c>
    </row>
    <row r="226" spans="1:35">
      <c r="A226" s="148">
        <v>45345</v>
      </c>
      <c r="B226">
        <v>11</v>
      </c>
      <c r="C226" t="s">
        <v>64</v>
      </c>
      <c r="D226">
        <v>1006.3</v>
      </c>
      <c r="H226" s="521">
        <v>14.92</v>
      </c>
      <c r="I226">
        <v>0.26634000000000002</v>
      </c>
      <c r="J226">
        <v>14.65366</v>
      </c>
      <c r="K226">
        <v>131.72149857680708</v>
      </c>
      <c r="L226" s="277">
        <v>13.089684843168744</v>
      </c>
      <c r="M226">
        <v>122.12196747710243</v>
      </c>
      <c r="N226">
        <v>12.135741575782811</v>
      </c>
      <c r="O226">
        <v>128</v>
      </c>
      <c r="P226">
        <v>41.7</v>
      </c>
      <c r="Q226">
        <v>100</v>
      </c>
      <c r="R226">
        <v>3</v>
      </c>
      <c r="S226" t="s">
        <v>54</v>
      </c>
      <c r="T226" t="s">
        <v>54</v>
      </c>
      <c r="AA226" s="44"/>
      <c r="AC226">
        <v>2022</v>
      </c>
      <c r="AD226" t="s">
        <v>93</v>
      </c>
      <c r="AE226">
        <v>10</v>
      </c>
      <c r="AF226">
        <f>L207</f>
        <v>87.025647237426256</v>
      </c>
      <c r="AG226" s="387">
        <v>45261</v>
      </c>
    </row>
    <row r="227" spans="1:35">
      <c r="A227" s="148">
        <v>45345</v>
      </c>
      <c r="B227">
        <v>12</v>
      </c>
      <c r="C227" t="s">
        <v>64</v>
      </c>
      <c r="D227">
        <v>2001.4</v>
      </c>
      <c r="H227" s="521">
        <v>28.558900000000001</v>
      </c>
      <c r="I227">
        <v>0.26634000000000002</v>
      </c>
      <c r="J227">
        <v>28.292560000000002</v>
      </c>
      <c r="K227">
        <v>256.22345223081902</v>
      </c>
      <c r="L227" s="277">
        <v>12.802211063796292</v>
      </c>
      <c r="M227">
        <v>235.7870383347211</v>
      </c>
      <c r="N227">
        <v>11.781105143135861</v>
      </c>
      <c r="O227">
        <v>128</v>
      </c>
      <c r="P227">
        <v>41.7</v>
      </c>
      <c r="Q227">
        <v>100</v>
      </c>
      <c r="R227">
        <v>3</v>
      </c>
      <c r="S227" t="s">
        <v>54</v>
      </c>
      <c r="T227" t="s">
        <v>54</v>
      </c>
      <c r="AA227" s="44"/>
      <c r="AC227">
        <v>2022</v>
      </c>
      <c r="AD227" t="s">
        <v>93</v>
      </c>
      <c r="AE227">
        <v>10</v>
      </c>
      <c r="AF227">
        <f>L241</f>
        <v>81.828106058887869</v>
      </c>
      <c r="AG227" s="385">
        <v>45345</v>
      </c>
    </row>
    <row r="228" spans="1:35">
      <c r="A228" s="148">
        <v>45345</v>
      </c>
      <c r="B228">
        <v>13</v>
      </c>
      <c r="C228" t="s">
        <v>65</v>
      </c>
      <c r="H228" s="521">
        <v>0.1883</v>
      </c>
      <c r="I228">
        <v>0.26634000000000002</v>
      </c>
      <c r="J228">
        <v>-7.8040000000000026E-2</v>
      </c>
      <c r="K228">
        <v>-2.7560201853224053</v>
      </c>
      <c r="O228">
        <v>128</v>
      </c>
      <c r="P228">
        <v>41.7</v>
      </c>
      <c r="Q228">
        <v>100</v>
      </c>
      <c r="R228">
        <v>3</v>
      </c>
      <c r="S228" t="s">
        <v>54</v>
      </c>
      <c r="T228" t="s">
        <v>54</v>
      </c>
      <c r="AA228" s="44"/>
      <c r="AC228">
        <v>2022</v>
      </c>
      <c r="AD228" t="s">
        <v>93</v>
      </c>
      <c r="AE228">
        <v>10</v>
      </c>
      <c r="AF228">
        <f>L275</f>
        <v>76.826559496705642</v>
      </c>
      <c r="AG228" s="383">
        <v>45351</v>
      </c>
      <c r="AH228">
        <f>((AF228-AVERAGE($AF$228,$AF$224,$AF$229))/AVERAGE($AF$224,$AF$228,$AF$229))*100</f>
        <v>-2.0704618364245763E-2</v>
      </c>
      <c r="AI228" t="s">
        <v>3088</v>
      </c>
    </row>
    <row r="229" spans="1:35">
      <c r="A229" s="148">
        <v>45345</v>
      </c>
      <c r="B229">
        <v>14</v>
      </c>
      <c r="C229" t="s">
        <v>66</v>
      </c>
      <c r="H229" s="521">
        <v>0.23430000000000001</v>
      </c>
      <c r="I229">
        <v>0.26634000000000002</v>
      </c>
      <c r="J229">
        <v>-3.2040000000000013E-2</v>
      </c>
      <c r="K229">
        <v>-2.336111697974852</v>
      </c>
      <c r="O229">
        <v>128</v>
      </c>
      <c r="P229">
        <v>41.7</v>
      </c>
      <c r="Q229">
        <v>100</v>
      </c>
      <c r="R229">
        <v>3</v>
      </c>
      <c r="S229" t="s">
        <v>54</v>
      </c>
      <c r="T229" t="s">
        <v>54</v>
      </c>
      <c r="AA229" s="44"/>
      <c r="AC229" s="455">
        <v>2022</v>
      </c>
      <c r="AD229" s="455" t="s">
        <v>93</v>
      </c>
      <c r="AE229" s="455">
        <v>10</v>
      </c>
      <c r="AF229" s="455">
        <f>L561</f>
        <v>77.050570104651754</v>
      </c>
      <c r="AG229" s="457">
        <v>45476</v>
      </c>
      <c r="AH229">
        <f>((AF229-AVERAGE($AF$228,$AF$224,$AF$229))/AVERAGE($AF$224,$AF$228,$AF$229))*100</f>
        <v>0.27081465423085965</v>
      </c>
      <c r="AI229" t="s">
        <v>3088</v>
      </c>
    </row>
    <row r="230" spans="1:35">
      <c r="A230" s="148">
        <v>45345</v>
      </c>
      <c r="B230">
        <v>15</v>
      </c>
      <c r="C230" t="s">
        <v>67</v>
      </c>
      <c r="D230">
        <v>2062.9</v>
      </c>
      <c r="E230" t="s">
        <v>68</v>
      </c>
      <c r="H230" s="521">
        <v>183.2456</v>
      </c>
      <c r="I230">
        <v>0.26634000000000002</v>
      </c>
      <c r="J230">
        <v>182.97925999999998</v>
      </c>
      <c r="K230">
        <v>1668.2725437478803</v>
      </c>
      <c r="L230" s="277">
        <v>80.870257586304731</v>
      </c>
      <c r="M230">
        <v>1524.9287371690257</v>
      </c>
      <c r="N230">
        <v>73.921602461051222</v>
      </c>
      <c r="O230">
        <v>128</v>
      </c>
      <c r="P230">
        <v>41.7</v>
      </c>
      <c r="Q230">
        <v>100</v>
      </c>
      <c r="R230">
        <v>3</v>
      </c>
      <c r="S230" t="s">
        <v>54</v>
      </c>
      <c r="T230" t="s">
        <v>54</v>
      </c>
      <c r="AA230" s="44"/>
      <c r="AC230">
        <v>2022</v>
      </c>
      <c r="AD230" t="s">
        <v>93</v>
      </c>
      <c r="AE230">
        <v>11</v>
      </c>
      <c r="AF230" s="514">
        <f>L34</f>
        <v>78.258912759193294</v>
      </c>
      <c r="AG230" s="383">
        <f>A33</f>
        <v>45161</v>
      </c>
      <c r="AH230">
        <f>((AF230-AF231)/AVERAGE(AF230:AF231))*100</f>
        <v>-1.5553428042268465</v>
      </c>
      <c r="AI230" t="s">
        <v>3088</v>
      </c>
    </row>
    <row r="231" spans="1:35">
      <c r="A231" s="148">
        <v>45345</v>
      </c>
      <c r="B231">
        <v>16</v>
      </c>
      <c r="C231" t="s">
        <v>69</v>
      </c>
      <c r="D231">
        <v>3196.3</v>
      </c>
      <c r="H231" s="521">
        <v>282.67779999999999</v>
      </c>
      <c r="I231">
        <v>0.26634000000000002</v>
      </c>
      <c r="J231">
        <v>282.41145999999998</v>
      </c>
      <c r="K231">
        <v>2575.9339501748241</v>
      </c>
      <c r="L231" s="277">
        <v>80.59111942479818</v>
      </c>
      <c r="M231">
        <v>2353.5855979517069</v>
      </c>
      <c r="N231">
        <v>73.634690046356937</v>
      </c>
      <c r="O231">
        <v>128</v>
      </c>
      <c r="P231">
        <v>41.7</v>
      </c>
      <c r="Q231">
        <v>100</v>
      </c>
      <c r="R231">
        <v>3</v>
      </c>
      <c r="S231" t="s">
        <v>54</v>
      </c>
      <c r="T231" t="s">
        <v>54</v>
      </c>
      <c r="AA231" s="44"/>
      <c r="AC231" s="193">
        <v>2022</v>
      </c>
      <c r="AD231" s="193" t="s">
        <v>93</v>
      </c>
      <c r="AE231" s="193">
        <v>11</v>
      </c>
      <c r="AF231" s="516">
        <f>L298</f>
        <v>79.485647089526481</v>
      </c>
      <c r="AG231" s="389">
        <v>45352</v>
      </c>
    </row>
    <row r="232" spans="1:35">
      <c r="A232" s="148">
        <v>45345</v>
      </c>
      <c r="B232">
        <v>17</v>
      </c>
      <c r="C232" t="s">
        <v>3231</v>
      </c>
      <c r="D232">
        <v>2384.6999999999998</v>
      </c>
      <c r="H232" s="521">
        <v>213.56110000000001</v>
      </c>
      <c r="I232">
        <v>0.26634000000000002</v>
      </c>
      <c r="J232">
        <v>213.29476</v>
      </c>
      <c r="K232">
        <v>1945.005929577984</v>
      </c>
      <c r="L232" s="277">
        <v>81.56187065785987</v>
      </c>
      <c r="M232">
        <v>1777.5747317568696</v>
      </c>
      <c r="N232">
        <v>74.540811496493049</v>
      </c>
      <c r="O232">
        <v>128</v>
      </c>
      <c r="P232">
        <v>41.7</v>
      </c>
      <c r="Q232">
        <v>100</v>
      </c>
      <c r="R232">
        <v>3</v>
      </c>
      <c r="S232" t="s">
        <v>54</v>
      </c>
      <c r="T232" t="s">
        <v>54</v>
      </c>
      <c r="AA232" s="44"/>
      <c r="AC232">
        <v>2022</v>
      </c>
      <c r="AD232" t="s">
        <v>93</v>
      </c>
      <c r="AE232">
        <v>12</v>
      </c>
      <c r="AF232">
        <f>L35</f>
        <v>74.919005424887303</v>
      </c>
      <c r="AG232" s="383">
        <f>A34</f>
        <v>45161</v>
      </c>
      <c r="AH232" s="44">
        <f>((AF232-AVERAGE($AF$232,$AF$234:$AF$236))/AVERAGE($AF$232,$AF$234:$AF$236))*100</f>
        <v>-0.79902081050752116</v>
      </c>
      <c r="AI232" s="44" t="s">
        <v>3088</v>
      </c>
    </row>
    <row r="233" spans="1:35">
      <c r="A233" s="148">
        <v>45345</v>
      </c>
      <c r="B233">
        <v>18</v>
      </c>
      <c r="C233" t="s">
        <v>71</v>
      </c>
      <c r="D233">
        <v>2175.8000000000002</v>
      </c>
      <c r="H233" s="521">
        <v>176.61089999999999</v>
      </c>
      <c r="I233">
        <v>0.26634000000000002</v>
      </c>
      <c r="J233">
        <v>176.34455999999997</v>
      </c>
      <c r="K233">
        <v>1607.7080472042974</v>
      </c>
      <c r="L233" s="277">
        <v>73.890433275314706</v>
      </c>
      <c r="M233">
        <v>1469.6358876269774</v>
      </c>
      <c r="N233">
        <v>67.544622098859136</v>
      </c>
      <c r="O233">
        <v>128</v>
      </c>
      <c r="P233">
        <v>41.7</v>
      </c>
      <c r="Q233">
        <v>100</v>
      </c>
      <c r="R233">
        <v>3</v>
      </c>
      <c r="S233" t="s">
        <v>54</v>
      </c>
      <c r="T233" t="s">
        <v>54</v>
      </c>
      <c r="AA233" s="44"/>
      <c r="AC233">
        <v>2022</v>
      </c>
      <c r="AD233" t="s">
        <v>93</v>
      </c>
      <c r="AE233">
        <v>12</v>
      </c>
      <c r="AF233" s="27">
        <f>L299</f>
        <v>36.173568211832105</v>
      </c>
      <c r="AG233" s="383">
        <v>45352</v>
      </c>
      <c r="AH233" s="44"/>
      <c r="AI233" s="44"/>
    </row>
    <row r="234" spans="1:35">
      <c r="A234" s="148">
        <v>45345</v>
      </c>
      <c r="B234">
        <v>19</v>
      </c>
      <c r="C234" t="s">
        <v>72</v>
      </c>
      <c r="D234">
        <v>2180.4</v>
      </c>
      <c r="H234" s="521">
        <v>195.80609999999999</v>
      </c>
      <c r="I234">
        <v>0.26634000000000002</v>
      </c>
      <c r="J234">
        <v>195.53975999999997</v>
      </c>
      <c r="K234">
        <v>1782.9303819072052</v>
      </c>
      <c r="L234" s="277">
        <v>81.77079351986815</v>
      </c>
      <c r="M234">
        <v>1629.6065427477101</v>
      </c>
      <c r="N234">
        <v>74.738880148032933</v>
      </c>
      <c r="O234">
        <v>128</v>
      </c>
      <c r="P234">
        <v>41.7</v>
      </c>
      <c r="Q234">
        <v>100</v>
      </c>
      <c r="R234">
        <v>3</v>
      </c>
      <c r="S234" t="s">
        <v>54</v>
      </c>
      <c r="T234" t="s">
        <v>54</v>
      </c>
      <c r="AA234" s="44"/>
      <c r="AC234">
        <v>2022</v>
      </c>
      <c r="AD234" t="s">
        <v>93</v>
      </c>
      <c r="AE234">
        <v>12</v>
      </c>
      <c r="AF234">
        <f>L488</f>
        <v>75.089245898809438</v>
      </c>
      <c r="AG234" s="383">
        <v>45405</v>
      </c>
      <c r="AH234" s="44">
        <f>((AF234-AVERAGE($AF$232,$AF$234:$AF$236))/AVERAGE($AF$232,$AF$234:$AF$236))*100</f>
        <v>-0.57360375358074778</v>
      </c>
      <c r="AI234" s="44" t="s">
        <v>3088</v>
      </c>
    </row>
    <row r="235" spans="1:35">
      <c r="A235" s="148">
        <v>45345</v>
      </c>
      <c r="B235">
        <v>20</v>
      </c>
      <c r="C235" t="s">
        <v>3232</v>
      </c>
      <c r="D235">
        <v>2071.6</v>
      </c>
      <c r="H235" s="521">
        <v>183.1369</v>
      </c>
      <c r="I235">
        <v>0.26634000000000002</v>
      </c>
      <c r="J235">
        <v>182.87055999999998</v>
      </c>
      <c r="K235">
        <v>1667.2802817353872</v>
      </c>
      <c r="L235" s="277">
        <v>80.482732271451411</v>
      </c>
      <c r="M235">
        <v>1524.0228434970859</v>
      </c>
      <c r="N235">
        <v>73.567428243728799</v>
      </c>
      <c r="O235">
        <v>128</v>
      </c>
      <c r="P235">
        <v>41.7</v>
      </c>
      <c r="Q235">
        <v>100</v>
      </c>
      <c r="R235">
        <v>3</v>
      </c>
      <c r="S235" t="s">
        <v>54</v>
      </c>
      <c r="T235" t="s">
        <v>54</v>
      </c>
      <c r="AA235" s="44"/>
      <c r="AC235">
        <v>2022</v>
      </c>
      <c r="AD235" t="s">
        <v>93</v>
      </c>
      <c r="AE235">
        <v>12</v>
      </c>
      <c r="AF235">
        <f>L494</f>
        <v>76.184465070812834</v>
      </c>
      <c r="AG235" s="383">
        <v>45405</v>
      </c>
      <c r="AH235" s="44">
        <f>((AF235-AVERAGE($AF$232,$AF$234:$AF$236))/AVERAGE($AF$232,$AF$234:$AF$236))*100</f>
        <v>0.87658653757000482</v>
      </c>
      <c r="AI235" s="44" t="s">
        <v>3088</v>
      </c>
    </row>
    <row r="236" spans="1:35">
      <c r="A236" s="148">
        <v>45345</v>
      </c>
      <c r="B236">
        <v>21</v>
      </c>
      <c r="C236" t="s">
        <v>74</v>
      </c>
      <c r="H236" s="521">
        <v>0.1</v>
      </c>
      <c r="I236">
        <v>0.26634000000000002</v>
      </c>
      <c r="J236">
        <v>-0.16634000000000002</v>
      </c>
      <c r="K236">
        <v>-3.5620619121221662</v>
      </c>
      <c r="M236">
        <v>-1.3862590008326396</v>
      </c>
      <c r="O236">
        <v>128</v>
      </c>
      <c r="P236">
        <v>41.7</v>
      </c>
      <c r="Q236">
        <v>100</v>
      </c>
      <c r="R236">
        <v>3</v>
      </c>
      <c r="S236" t="s">
        <v>54</v>
      </c>
      <c r="T236" t="s">
        <v>54</v>
      </c>
      <c r="AA236" s="44"/>
      <c r="AC236" s="455">
        <v>2022</v>
      </c>
      <c r="AD236" s="455" t="s">
        <v>93</v>
      </c>
      <c r="AE236" s="455">
        <v>12</v>
      </c>
      <c r="AF236" s="455">
        <f>L562</f>
        <v>75.89706552902544</v>
      </c>
      <c r="AG236" s="457">
        <v>45476</v>
      </c>
      <c r="AH236" s="44">
        <f>((AF236-AVERAGE($AF$232,$AF$234:$AF$236))/AVERAGE($AF$232,$AF$234:$AF$236))*100</f>
        <v>0.49603802651822637</v>
      </c>
      <c r="AI236" s="44" t="s">
        <v>3088</v>
      </c>
    </row>
    <row r="237" spans="1:35">
      <c r="A237" s="148">
        <v>45345</v>
      </c>
      <c r="B237">
        <v>22</v>
      </c>
      <c r="C237" t="s">
        <v>3233</v>
      </c>
      <c r="D237">
        <v>2386</v>
      </c>
      <c r="H237" s="521">
        <v>214.34549999999999</v>
      </c>
      <c r="I237">
        <v>0.26634000000000002</v>
      </c>
      <c r="J237">
        <v>214.07915999999997</v>
      </c>
      <c r="K237">
        <v>1952.1662821317973</v>
      </c>
      <c r="L237" s="277">
        <v>81.817530684484367</v>
      </c>
      <c r="M237">
        <v>1784.1118338384679</v>
      </c>
      <c r="N237">
        <v>74.774175768586247</v>
      </c>
      <c r="O237">
        <v>128</v>
      </c>
      <c r="P237">
        <v>41.7</v>
      </c>
      <c r="Q237">
        <v>100</v>
      </c>
      <c r="R237">
        <v>3</v>
      </c>
      <c r="S237" t="s">
        <v>54</v>
      </c>
      <c r="T237" t="s">
        <v>54</v>
      </c>
      <c r="AA237" s="44"/>
      <c r="AC237">
        <v>2022</v>
      </c>
      <c r="AD237" t="s">
        <v>93</v>
      </c>
      <c r="AE237">
        <v>13</v>
      </c>
      <c r="AF237" s="514">
        <f>L56</f>
        <v>65.994315512449703</v>
      </c>
      <c r="AG237" s="383">
        <v>45162</v>
      </c>
      <c r="AH237">
        <f>((AF237-AF238)/AVERAGE(AF237:AF238))*100</f>
        <v>-3.6937597442062922</v>
      </c>
      <c r="AI237" t="s">
        <v>3088</v>
      </c>
    </row>
    <row r="238" spans="1:35">
      <c r="A238" s="148">
        <v>45345</v>
      </c>
      <c r="B238">
        <v>23</v>
      </c>
      <c r="C238" t="s">
        <v>77</v>
      </c>
      <c r="D238">
        <v>2547.6</v>
      </c>
      <c r="H238" s="521">
        <v>223.92019999999999</v>
      </c>
      <c r="I238">
        <v>0.26634000000000002</v>
      </c>
      <c r="J238">
        <v>223.65385999999998</v>
      </c>
      <c r="K238">
        <v>2039.5684080841152</v>
      </c>
      <c r="L238" s="277">
        <v>80.058423931704951</v>
      </c>
      <c r="M238">
        <v>1863.9063153538716</v>
      </c>
      <c r="N238">
        <v>73.163224813701987</v>
      </c>
      <c r="O238">
        <v>128</v>
      </c>
      <c r="P238">
        <v>41.7</v>
      </c>
      <c r="Q238">
        <v>100</v>
      </c>
      <c r="R238">
        <v>3</v>
      </c>
      <c r="S238" t="s">
        <v>54</v>
      </c>
      <c r="T238" t="s">
        <v>54</v>
      </c>
      <c r="AA238" s="44"/>
      <c r="AC238" s="193">
        <v>2022</v>
      </c>
      <c r="AD238" s="193" t="s">
        <v>93</v>
      </c>
      <c r="AE238" s="193">
        <v>13</v>
      </c>
      <c r="AF238" s="516">
        <f>L300</f>
        <v>68.477854962532376</v>
      </c>
      <c r="AG238" s="389">
        <v>45352</v>
      </c>
    </row>
    <row r="239" spans="1:35">
      <c r="A239" s="148">
        <v>45345</v>
      </c>
      <c r="B239">
        <v>24</v>
      </c>
      <c r="C239" t="s">
        <v>79</v>
      </c>
      <c r="D239">
        <v>2411.9</v>
      </c>
      <c r="H239" s="521">
        <v>204.38820000000001</v>
      </c>
      <c r="I239">
        <v>0.26634000000000002</v>
      </c>
      <c r="J239">
        <v>204.12186</v>
      </c>
      <c r="K239">
        <v>1861.2716129781932</v>
      </c>
      <c r="L239" s="277">
        <v>77.170347567403013</v>
      </c>
      <c r="M239">
        <v>1701.1288066111574</v>
      </c>
      <c r="N239">
        <v>70.530652457032105</v>
      </c>
      <c r="O239">
        <v>128</v>
      </c>
      <c r="P239">
        <v>41.7</v>
      </c>
      <c r="Q239">
        <v>100</v>
      </c>
      <c r="R239">
        <v>3</v>
      </c>
      <c r="S239" t="s">
        <v>54</v>
      </c>
      <c r="T239" t="s">
        <v>54</v>
      </c>
      <c r="X239" s="376"/>
      <c r="AA239" s="44"/>
      <c r="AC239">
        <v>2022</v>
      </c>
      <c r="AD239" t="s">
        <v>93</v>
      </c>
      <c r="AE239">
        <v>14</v>
      </c>
      <c r="AF239" s="514">
        <f>L57</f>
        <v>62.114856018726314</v>
      </c>
      <c r="AG239" s="383">
        <v>45162</v>
      </c>
      <c r="AH239">
        <f>((AF239-AF240)/AVERAGE(AF239:AF240))*100</f>
        <v>-0.79519841552636361</v>
      </c>
      <c r="AI239" t="s">
        <v>3088</v>
      </c>
    </row>
    <row r="240" spans="1:35">
      <c r="A240" s="148">
        <v>45345</v>
      </c>
      <c r="B240">
        <v>25</v>
      </c>
      <c r="C240" t="s">
        <v>80</v>
      </c>
      <c r="D240">
        <v>2350.3000000000002</v>
      </c>
      <c r="H240" s="521">
        <v>202.7337</v>
      </c>
      <c r="I240">
        <v>0.26634000000000002</v>
      </c>
      <c r="J240">
        <v>202.46735999999999</v>
      </c>
      <c r="K240">
        <v>1846.1686001017467</v>
      </c>
      <c r="L240" s="277">
        <v>78.550338259019981</v>
      </c>
      <c r="M240">
        <v>1687.3403882098253</v>
      </c>
      <c r="N240">
        <v>71.792553640378898</v>
      </c>
      <c r="O240">
        <v>128</v>
      </c>
      <c r="P240">
        <v>41.7</v>
      </c>
      <c r="Q240">
        <v>100</v>
      </c>
      <c r="R240">
        <v>3</v>
      </c>
      <c r="S240" t="s">
        <v>54</v>
      </c>
      <c r="T240" t="s">
        <v>54</v>
      </c>
      <c r="X240" s="220"/>
      <c r="Y240" s="220"/>
      <c r="AA240" s="44"/>
      <c r="AC240" s="193">
        <v>2022</v>
      </c>
      <c r="AD240" s="193" t="s">
        <v>93</v>
      </c>
      <c r="AE240" s="193">
        <v>14</v>
      </c>
      <c r="AF240" s="516">
        <f>L301</f>
        <v>62.610764096180901</v>
      </c>
      <c r="AG240" s="389">
        <v>45352</v>
      </c>
    </row>
    <row r="241" spans="1:35">
      <c r="A241" s="148">
        <v>45345</v>
      </c>
      <c r="B241">
        <v>26</v>
      </c>
      <c r="C241" t="s">
        <v>81</v>
      </c>
      <c r="D241">
        <v>3066.5</v>
      </c>
      <c r="H241" s="521">
        <v>275.37369999999999</v>
      </c>
      <c r="I241">
        <v>0.26634000000000002</v>
      </c>
      <c r="J241">
        <v>275.10735999999997</v>
      </c>
      <c r="K241">
        <v>2509.2588722957967</v>
      </c>
      <c r="L241" s="277">
        <v>81.828106058887869</v>
      </c>
      <c r="M241">
        <v>2292.7140434970856</v>
      </c>
      <c r="N241">
        <v>74.766477857397206</v>
      </c>
      <c r="O241">
        <v>128</v>
      </c>
      <c r="P241">
        <v>41.7</v>
      </c>
      <c r="Q241">
        <v>100</v>
      </c>
      <c r="R241">
        <v>3</v>
      </c>
      <c r="S241" t="s">
        <v>54</v>
      </c>
      <c r="T241" t="s">
        <v>54</v>
      </c>
      <c r="X241" s="220"/>
      <c r="Y241" s="220"/>
      <c r="AA241" s="44"/>
      <c r="AC241">
        <v>2022</v>
      </c>
      <c r="AD241" t="s">
        <v>93</v>
      </c>
      <c r="AE241">
        <v>15</v>
      </c>
      <c r="AF241" s="514">
        <f>L58</f>
        <v>57.558028451424534</v>
      </c>
      <c r="AG241" s="383">
        <v>45162</v>
      </c>
      <c r="AH241" s="44">
        <f>((AF241-AVERAGE(AF$241:AF$244))/AVERAGE(AF$241:AF$244))*100</f>
        <v>-0.25705159754981238</v>
      </c>
      <c r="AI241" s="44" t="s">
        <v>3088</v>
      </c>
    </row>
    <row r="242" spans="1:35">
      <c r="A242" s="148">
        <v>45345</v>
      </c>
      <c r="B242">
        <v>27</v>
      </c>
      <c r="C242" t="s">
        <v>82</v>
      </c>
      <c r="H242" s="521">
        <v>0.18590000000000001</v>
      </c>
      <c r="I242">
        <v>0.26634000000000002</v>
      </c>
      <c r="J242">
        <v>-8.0440000000000011E-2</v>
      </c>
      <c r="K242">
        <v>-2.7779284542274953</v>
      </c>
      <c r="O242">
        <v>128</v>
      </c>
      <c r="P242">
        <v>41.7</v>
      </c>
      <c r="Q242">
        <v>100</v>
      </c>
      <c r="R242">
        <v>3</v>
      </c>
      <c r="S242" t="s">
        <v>54</v>
      </c>
      <c r="T242" t="s">
        <v>54</v>
      </c>
      <c r="X242" s="220"/>
      <c r="Y242" s="220"/>
      <c r="AA242" s="44"/>
      <c r="AC242">
        <v>2022</v>
      </c>
      <c r="AD242" t="s">
        <v>93</v>
      </c>
      <c r="AE242">
        <v>15</v>
      </c>
      <c r="AF242" s="514">
        <f>L59</f>
        <v>56.998619495398685</v>
      </c>
      <c r="AG242" s="383">
        <v>45162</v>
      </c>
      <c r="AH242" s="44">
        <f>((AF242-AVERAGE(AF$241:AF$244))/AVERAGE(AF$241:AF$244))*100</f>
        <v>-1.2264576063717452</v>
      </c>
      <c r="AI242" s="44" t="s">
        <v>3088</v>
      </c>
    </row>
    <row r="243" spans="1:35">
      <c r="A243" s="148">
        <v>45345</v>
      </c>
      <c r="B243">
        <v>28</v>
      </c>
      <c r="C243" t="s">
        <v>3234</v>
      </c>
      <c r="D243">
        <v>2130.4</v>
      </c>
      <c r="G243">
        <v>2129.9739200000004</v>
      </c>
      <c r="H243" s="521">
        <v>250.7011</v>
      </c>
      <c r="I243">
        <v>0.26634000000000002</v>
      </c>
      <c r="J243">
        <v>250.43475999999998</v>
      </c>
      <c r="K243">
        <v>2284.0363908842478</v>
      </c>
      <c r="L243" s="277">
        <v>107.23306841636105</v>
      </c>
      <c r="M243">
        <v>2087.0953479100749</v>
      </c>
      <c r="N243">
        <v>97.967299470056091</v>
      </c>
      <c r="O243">
        <v>128</v>
      </c>
      <c r="P243">
        <v>41.7</v>
      </c>
      <c r="Q243">
        <v>100</v>
      </c>
      <c r="R243">
        <v>3</v>
      </c>
      <c r="S243" t="s">
        <v>54</v>
      </c>
      <c r="T243" t="s">
        <v>54</v>
      </c>
      <c r="X243" s="220"/>
      <c r="Y243" s="220"/>
      <c r="AA243" s="44"/>
      <c r="AC243">
        <v>2022</v>
      </c>
      <c r="AD243" t="s">
        <v>93</v>
      </c>
      <c r="AE243">
        <v>15</v>
      </c>
      <c r="AF243" s="514">
        <f>L302</f>
        <v>57.905624244901176</v>
      </c>
      <c r="AG243" s="383">
        <v>45352</v>
      </c>
      <c r="AH243" s="44">
        <f>((AF243-AVERAGE(AF$241:AF$244))/AVERAGE(AF$241:AF$244))*100</f>
        <v>0.34530102338662333</v>
      </c>
      <c r="AI243" s="44" t="s">
        <v>3088</v>
      </c>
    </row>
    <row r="244" spans="1:35" ht="15.5">
      <c r="A244" s="148">
        <v>45345</v>
      </c>
      <c r="B244">
        <v>29</v>
      </c>
      <c r="C244" t="s">
        <v>84</v>
      </c>
      <c r="H244" s="521">
        <v>0.2823</v>
      </c>
      <c r="I244">
        <v>0.26634000000000002</v>
      </c>
      <c r="J244">
        <v>1.5959999999999974E-2</v>
      </c>
      <c r="K244">
        <v>-1.8979463198730568</v>
      </c>
      <c r="O244">
        <v>128</v>
      </c>
      <c r="P244">
        <v>41.7</v>
      </c>
      <c r="Q244">
        <v>100</v>
      </c>
      <c r="R244">
        <v>3</v>
      </c>
      <c r="S244" t="s">
        <v>54</v>
      </c>
      <c r="T244" t="s">
        <v>54</v>
      </c>
      <c r="X244" s="220"/>
      <c r="Y244" s="220"/>
      <c r="AA244" s="52"/>
      <c r="AC244" s="193">
        <v>2022</v>
      </c>
      <c r="AD244" s="193" t="s">
        <v>93</v>
      </c>
      <c r="AE244" s="193">
        <v>15</v>
      </c>
      <c r="AF244" s="516">
        <f>L305</f>
        <v>58.363182131864143</v>
      </c>
      <c r="AG244" s="389">
        <v>45352</v>
      </c>
      <c r="AH244" s="44">
        <f>((AF244-AVERAGE(AF$241:AF$244))/AVERAGE(AF$241:AF$244))*100</f>
        <v>1.1382081805349462</v>
      </c>
      <c r="AI244" s="44" t="s">
        <v>3088</v>
      </c>
    </row>
    <row r="245" spans="1:35" ht="15.5">
      <c r="H245" s="521"/>
      <c r="X245" s="220"/>
      <c r="Y245" s="220"/>
      <c r="AA245" s="347"/>
      <c r="AC245">
        <v>2022</v>
      </c>
      <c r="AD245" t="s">
        <v>93</v>
      </c>
      <c r="AE245">
        <v>16</v>
      </c>
      <c r="AF245" s="514">
        <f>L60</f>
        <v>67.484110403856008</v>
      </c>
      <c r="AG245" s="383">
        <v>45162</v>
      </c>
      <c r="AH245" s="44">
        <f>((AF245-AVERAGE(AF$245:AF$247))/AVERAGE(AF$245:AF$247))*100</f>
        <v>-1.5637168706666631</v>
      </c>
      <c r="AI245" s="44" t="s">
        <v>3088</v>
      </c>
    </row>
    <row r="246" spans="1:35" ht="15.5">
      <c r="H246" s="521"/>
      <c r="Y246" s="378"/>
      <c r="Z246" s="377"/>
      <c r="AA246" s="44"/>
      <c r="AC246">
        <v>2022</v>
      </c>
      <c r="AD246" t="s">
        <v>93</v>
      </c>
      <c r="AE246">
        <v>16</v>
      </c>
      <c r="AF246" s="514">
        <f>L303</f>
        <v>70.303541754242346</v>
      </c>
      <c r="AG246" s="383">
        <v>45352</v>
      </c>
      <c r="AH246" s="44">
        <f>((AF246-AVERAGE(AF$245:AF$247))/AVERAGE(AF$245:AF$247))*100</f>
        <v>2.5488711298190045</v>
      </c>
      <c r="AI246" s="44" t="s">
        <v>3088</v>
      </c>
    </row>
    <row r="247" spans="1:35" ht="15.5">
      <c r="A247" s="148" t="s">
        <v>36</v>
      </c>
      <c r="H247" s="521"/>
      <c r="Y247" s="378"/>
      <c r="Z247" s="377"/>
      <c r="AA247" s="44"/>
      <c r="AC247" s="193">
        <v>2022</v>
      </c>
      <c r="AD247" s="193" t="s">
        <v>93</v>
      </c>
      <c r="AE247" s="193">
        <v>16</v>
      </c>
      <c r="AF247" s="516">
        <f>L495</f>
        <v>67.880750564473175</v>
      </c>
      <c r="AG247" s="389">
        <v>45405</v>
      </c>
      <c r="AH247" s="44">
        <f>((AF247-AVERAGE(AF$245:AF$247))/AVERAGE(AF$245:AF$247))*100</f>
        <v>-0.98515425915234167</v>
      </c>
      <c r="AI247" s="44" t="s">
        <v>3088</v>
      </c>
    </row>
    <row r="248" spans="1:35">
      <c r="A248" s="148" t="s">
        <v>38</v>
      </c>
      <c r="H248" s="521"/>
      <c r="AA248" s="44"/>
      <c r="AC248">
        <v>2022</v>
      </c>
      <c r="AD248" t="s">
        <v>93</v>
      </c>
      <c r="AE248">
        <v>17</v>
      </c>
      <c r="AF248" s="514">
        <f>L61</f>
        <v>73.270823163909299</v>
      </c>
      <c r="AG248" s="383">
        <v>45162</v>
      </c>
      <c r="AH248">
        <f>((AF248-AF249)/AVERAGE(AF248:AF249))*100</f>
        <v>-0.66356026503967458</v>
      </c>
      <c r="AI248" t="s">
        <v>3088</v>
      </c>
    </row>
    <row r="249" spans="1:35">
      <c r="A249" s="148" t="s">
        <v>43</v>
      </c>
      <c r="H249" s="521"/>
      <c r="AA249" s="44"/>
      <c r="AC249" s="193">
        <v>2022</v>
      </c>
      <c r="AD249" s="193" t="s">
        <v>93</v>
      </c>
      <c r="AE249" s="193">
        <v>17</v>
      </c>
      <c r="AF249" s="516">
        <f>L306</f>
        <v>73.758637704020117</v>
      </c>
      <c r="AG249" s="389">
        <v>45352</v>
      </c>
    </row>
    <row r="250" spans="1:35">
      <c r="A250" s="148">
        <v>45351</v>
      </c>
      <c r="B250">
        <v>1</v>
      </c>
      <c r="C250" t="s">
        <v>45</v>
      </c>
      <c r="H250" s="521">
        <v>0.1923</v>
      </c>
      <c r="AA250" s="44"/>
      <c r="AC250">
        <v>2022</v>
      </c>
      <c r="AD250" t="s">
        <v>93</v>
      </c>
      <c r="AE250">
        <v>18</v>
      </c>
      <c r="AF250" s="514">
        <f>L62</f>
        <v>70.914150777632116</v>
      </c>
      <c r="AG250" s="383">
        <v>45162</v>
      </c>
      <c r="AH250">
        <f>((AF250-AF251)/AVERAGE(AF250:AF251))*100</f>
        <v>-1.8391278450155397</v>
      </c>
      <c r="AI250" t="s">
        <v>3088</v>
      </c>
    </row>
    <row r="251" spans="1:35">
      <c r="A251" s="148">
        <v>45351</v>
      </c>
      <c r="B251">
        <v>2</v>
      </c>
      <c r="C251" t="s">
        <v>49</v>
      </c>
      <c r="H251" s="521">
        <v>0.32540000000000002</v>
      </c>
      <c r="AA251" s="44"/>
      <c r="AC251" s="193">
        <v>2022</v>
      </c>
      <c r="AD251" s="193" t="s">
        <v>93</v>
      </c>
      <c r="AE251" s="193">
        <v>18</v>
      </c>
      <c r="AF251" s="516">
        <f>L307</f>
        <v>72.230456947285731</v>
      </c>
      <c r="AG251" s="389">
        <v>45352</v>
      </c>
    </row>
    <row r="252" spans="1:35">
      <c r="A252" s="148">
        <v>45351</v>
      </c>
      <c r="B252">
        <v>3</v>
      </c>
      <c r="C252" t="s">
        <v>51</v>
      </c>
      <c r="G252">
        <v>0</v>
      </c>
      <c r="H252" s="521">
        <v>0.2321</v>
      </c>
      <c r="I252">
        <v>0.28054000000000001</v>
      </c>
      <c r="J252">
        <v>0.28054000000000001</v>
      </c>
      <c r="AA252" s="44"/>
      <c r="AC252">
        <v>2022</v>
      </c>
      <c r="AD252" t="s">
        <v>93</v>
      </c>
      <c r="AE252">
        <v>19</v>
      </c>
      <c r="AF252" s="514">
        <f>L64</f>
        <v>70.819299701635401</v>
      </c>
      <c r="AG252" s="383">
        <v>45162</v>
      </c>
      <c r="AH252">
        <f>((AF252-AF253)/AVERAGE(AF252:AF253))*100</f>
        <v>-1.097167006447981</v>
      </c>
      <c r="AI252" t="s">
        <v>3088</v>
      </c>
    </row>
    <row r="253" spans="1:35">
      <c r="A253" s="148">
        <v>45351</v>
      </c>
      <c r="B253">
        <v>4</v>
      </c>
      <c r="C253" t="s">
        <v>53</v>
      </c>
      <c r="D253">
        <v>319.2</v>
      </c>
      <c r="G253">
        <v>319.13616000000002</v>
      </c>
      <c r="H253" s="521">
        <v>37.659100000000002</v>
      </c>
      <c r="I253">
        <v>0.28054000000000001</v>
      </c>
      <c r="J253">
        <v>37.37856</v>
      </c>
      <c r="K253">
        <v>321.12685259724225</v>
      </c>
      <c r="L253" s="277">
        <v>100.62377531810944</v>
      </c>
      <c r="M253">
        <v>311.50874857618652</v>
      </c>
      <c r="N253">
        <v>97.609982076674257</v>
      </c>
      <c r="O253">
        <v>128</v>
      </c>
      <c r="P253">
        <v>41.7</v>
      </c>
      <c r="Q253">
        <v>100</v>
      </c>
      <c r="R253">
        <v>3</v>
      </c>
      <c r="S253" t="s">
        <v>54</v>
      </c>
      <c r="T253" t="s">
        <v>54</v>
      </c>
      <c r="AA253" s="44"/>
      <c r="AC253" s="193">
        <v>2022</v>
      </c>
      <c r="AD253" s="193" t="s">
        <v>93</v>
      </c>
      <c r="AE253" s="193">
        <v>19</v>
      </c>
      <c r="AF253" s="516">
        <f>L308</f>
        <v>71.600591731346256</v>
      </c>
      <c r="AG253" s="389">
        <v>45352</v>
      </c>
    </row>
    <row r="254" spans="1:35">
      <c r="A254" s="148">
        <v>45351</v>
      </c>
      <c r="B254">
        <v>5</v>
      </c>
      <c r="C254" t="s">
        <v>55</v>
      </c>
      <c r="D254">
        <v>1059.4000000000001</v>
      </c>
      <c r="G254">
        <v>1059.18812</v>
      </c>
      <c r="H254" s="521">
        <v>121.8674</v>
      </c>
      <c r="I254">
        <v>0.28054000000000001</v>
      </c>
      <c r="J254">
        <v>121.58686</v>
      </c>
      <c r="K254">
        <v>1046.8169137670295</v>
      </c>
      <c r="L254" s="277">
        <v>98.832010480539523</v>
      </c>
      <c r="M254">
        <v>1013.2913253455454</v>
      </c>
      <c r="N254">
        <v>95.666794803697883</v>
      </c>
      <c r="O254">
        <v>128</v>
      </c>
      <c r="P254">
        <v>41.7</v>
      </c>
      <c r="Q254">
        <v>100</v>
      </c>
      <c r="R254">
        <v>3</v>
      </c>
      <c r="S254" t="s">
        <v>54</v>
      </c>
      <c r="T254" t="s">
        <v>54</v>
      </c>
      <c r="AA254" s="44"/>
      <c r="AC254">
        <v>2022</v>
      </c>
      <c r="AD254" t="s">
        <v>93</v>
      </c>
      <c r="AE254">
        <v>20</v>
      </c>
      <c r="AF254" s="514">
        <f>L65</f>
        <v>72.645224487732605</v>
      </c>
      <c r="AG254" s="383">
        <v>45162</v>
      </c>
      <c r="AH254" s="44">
        <f>((AF254-AVERAGE(AF$254:AF$256))/AVERAGE(AF$254:AF$256))*100</f>
        <v>-1.6604380931425694E-4</v>
      </c>
      <c r="AI254" s="44" t="s">
        <v>3088</v>
      </c>
    </row>
    <row r="255" spans="1:35">
      <c r="A255" s="148">
        <v>45351</v>
      </c>
      <c r="B255">
        <v>6</v>
      </c>
      <c r="C255" t="s">
        <v>56</v>
      </c>
      <c r="D255">
        <v>2141.6</v>
      </c>
      <c r="G255">
        <v>2141.1716799999999</v>
      </c>
      <c r="H255" s="521">
        <v>250.2158</v>
      </c>
      <c r="I255">
        <v>0.28054000000000001</v>
      </c>
      <c r="J255">
        <v>249.93526</v>
      </c>
      <c r="K255">
        <v>2152.8974099537991</v>
      </c>
      <c r="L255" s="277">
        <v>100.54763147034519</v>
      </c>
      <c r="M255">
        <v>2082.9325706411323</v>
      </c>
      <c r="N255">
        <v>97.280035510330137</v>
      </c>
      <c r="O255">
        <v>128</v>
      </c>
      <c r="P255">
        <v>41.7</v>
      </c>
      <c r="Q255">
        <v>100</v>
      </c>
      <c r="R255">
        <v>3</v>
      </c>
      <c r="S255" t="s">
        <v>54</v>
      </c>
      <c r="T255" t="s">
        <v>54</v>
      </c>
      <c r="AA255" s="44"/>
      <c r="AC255">
        <v>2022</v>
      </c>
      <c r="AD255" t="s">
        <v>93</v>
      </c>
      <c r="AE255">
        <v>20</v>
      </c>
      <c r="AF255" s="514">
        <f>L309</f>
        <v>71.978484912363314</v>
      </c>
      <c r="AG255" s="383">
        <v>45352</v>
      </c>
      <c r="AH255" s="44">
        <f>((AF255-AVERAGE(AF$254:AF$256))/AVERAGE(AF$254:AF$256))*100</f>
        <v>-0.91796686690690499</v>
      </c>
      <c r="AI255" s="44" t="s">
        <v>3088</v>
      </c>
    </row>
    <row r="256" spans="1:35">
      <c r="A256" s="148">
        <v>45351</v>
      </c>
      <c r="B256">
        <v>7</v>
      </c>
      <c r="C256" t="s">
        <v>58</v>
      </c>
      <c r="D256">
        <v>2869.3</v>
      </c>
      <c r="G256">
        <v>2868.7261400000002</v>
      </c>
      <c r="H256" s="521">
        <v>333.69150000000002</v>
      </c>
      <c r="I256">
        <v>0.28054000000000001</v>
      </c>
      <c r="J256">
        <v>333.41096000000005</v>
      </c>
      <c r="K256">
        <v>2872.2740728147141</v>
      </c>
      <c r="L256" s="277">
        <v>100.12367624658359</v>
      </c>
      <c r="M256">
        <v>2778.6097407493762</v>
      </c>
      <c r="N256">
        <v>96.858661480645068</v>
      </c>
      <c r="O256">
        <v>128</v>
      </c>
      <c r="P256">
        <v>41.7</v>
      </c>
      <c r="Q256">
        <v>100</v>
      </c>
      <c r="R256">
        <v>3</v>
      </c>
      <c r="S256" t="s">
        <v>54</v>
      </c>
      <c r="T256" t="s">
        <v>54</v>
      </c>
      <c r="AA256" s="44"/>
      <c r="AC256" s="193">
        <v>2022</v>
      </c>
      <c r="AD256" s="193" t="s">
        <v>93</v>
      </c>
      <c r="AE256" s="193">
        <v>20</v>
      </c>
      <c r="AF256" s="516">
        <f>L497</f>
        <v>73.312325932396845</v>
      </c>
      <c r="AG256" s="389">
        <v>45405</v>
      </c>
      <c r="AH256" s="44">
        <f>((AF256-AVERAGE(AF$254:AF$256))/AVERAGE(AF$254:AF$256))*100</f>
        <v>0.91813291071623881</v>
      </c>
      <c r="AI256" s="44" t="s">
        <v>3088</v>
      </c>
    </row>
    <row r="257" spans="1:35">
      <c r="A257" s="148">
        <v>45351</v>
      </c>
      <c r="B257">
        <v>8</v>
      </c>
      <c r="C257" t="s">
        <v>59</v>
      </c>
      <c r="D257">
        <v>3612.8</v>
      </c>
      <c r="G257">
        <v>3612.0774400000005</v>
      </c>
      <c r="H257" s="521">
        <v>418.80450000000002</v>
      </c>
      <c r="I257">
        <v>0.28054000000000001</v>
      </c>
      <c r="J257">
        <v>418.52396000000005</v>
      </c>
      <c r="K257">
        <v>3605.760655210323</v>
      </c>
      <c r="L257" s="277">
        <v>99.82512044953063</v>
      </c>
      <c r="M257">
        <v>3487.9319863780188</v>
      </c>
      <c r="N257">
        <v>96.563045624459761</v>
      </c>
      <c r="O257">
        <v>128</v>
      </c>
      <c r="P257">
        <v>41.7</v>
      </c>
      <c r="Q257">
        <v>100</v>
      </c>
      <c r="R257">
        <v>3</v>
      </c>
      <c r="S257" t="s">
        <v>54</v>
      </c>
      <c r="T257" t="s">
        <v>54</v>
      </c>
      <c r="AA257" s="44"/>
      <c r="AC257">
        <v>2022</v>
      </c>
      <c r="AD257" t="s">
        <v>93</v>
      </c>
      <c r="AE257">
        <v>21</v>
      </c>
      <c r="AF257" s="514">
        <f>L66</f>
        <v>70.578413267519551</v>
      </c>
      <c r="AG257" s="383">
        <v>45162</v>
      </c>
      <c r="AH257">
        <f>((AF257-AF258)/AVERAGE(AF257:AF258))*100</f>
        <v>0.60130916603033013</v>
      </c>
      <c r="AI257" t="s">
        <v>3088</v>
      </c>
    </row>
    <row r="258" spans="1:35">
      <c r="A258" s="148">
        <v>45351</v>
      </c>
      <c r="B258">
        <v>9</v>
      </c>
      <c r="C258" t="s">
        <v>61</v>
      </c>
      <c r="H258" s="521">
        <v>0.60629999999999995</v>
      </c>
      <c r="I258">
        <v>0.28054000000000001</v>
      </c>
      <c r="J258">
        <v>0.32575999999999994</v>
      </c>
      <c r="K258">
        <v>1.8133324512246456</v>
      </c>
      <c r="O258">
        <v>128</v>
      </c>
      <c r="P258">
        <v>41.7</v>
      </c>
      <c r="Q258">
        <v>100</v>
      </c>
      <c r="R258">
        <v>3</v>
      </c>
      <c r="S258" t="s">
        <v>54</v>
      </c>
      <c r="T258" t="s">
        <v>54</v>
      </c>
      <c r="AA258" s="44"/>
      <c r="AC258" s="193">
        <v>2022</v>
      </c>
      <c r="AD258" s="193" t="s">
        <v>93</v>
      </c>
      <c r="AE258" s="193">
        <v>21</v>
      </c>
      <c r="AF258" s="516">
        <f>L310</f>
        <v>70.155290935984709</v>
      </c>
      <c r="AG258" s="389">
        <v>45352</v>
      </c>
    </row>
    <row r="259" spans="1:35">
      <c r="A259" s="148">
        <v>45351</v>
      </c>
      <c r="B259">
        <v>10</v>
      </c>
      <c r="C259" t="s">
        <v>63</v>
      </c>
      <c r="H259" s="521">
        <v>0.22839999999999999</v>
      </c>
      <c r="I259">
        <v>0.28054000000000001</v>
      </c>
      <c r="J259">
        <v>-5.214000000000002E-2</v>
      </c>
      <c r="K259">
        <v>-1.4433331520004828</v>
      </c>
      <c r="O259">
        <v>128</v>
      </c>
      <c r="P259">
        <v>41.7</v>
      </c>
      <c r="Q259">
        <v>100</v>
      </c>
      <c r="R259">
        <v>3</v>
      </c>
      <c r="S259" t="s">
        <v>54</v>
      </c>
      <c r="T259" t="s">
        <v>54</v>
      </c>
      <c r="AA259" s="44"/>
    </row>
    <row r="260" spans="1:35">
      <c r="A260" s="148">
        <v>45351</v>
      </c>
      <c r="B260">
        <v>11</v>
      </c>
      <c r="C260" t="s">
        <v>64</v>
      </c>
      <c r="D260">
        <v>1015.5</v>
      </c>
      <c r="H260" s="521">
        <v>14.8574</v>
      </c>
      <c r="I260">
        <v>0.28054000000000001</v>
      </c>
      <c r="J260">
        <v>14.57686</v>
      </c>
      <c r="K260">
        <v>124.62642368732317</v>
      </c>
      <c r="L260" s="277">
        <v>12.272419860888546</v>
      </c>
      <c r="M260">
        <v>121.4819248459617</v>
      </c>
      <c r="N260">
        <v>11.962769556470871</v>
      </c>
      <c r="O260">
        <v>128</v>
      </c>
      <c r="P260">
        <v>41.7</v>
      </c>
      <c r="Q260">
        <v>100</v>
      </c>
      <c r="R260">
        <v>3</v>
      </c>
      <c r="S260" t="s">
        <v>54</v>
      </c>
      <c r="T260" t="s">
        <v>54</v>
      </c>
      <c r="AA260" s="44"/>
    </row>
    <row r="261" spans="1:35">
      <c r="A261" s="148">
        <v>45351</v>
      </c>
      <c r="B261">
        <v>12</v>
      </c>
      <c r="C261" t="s">
        <v>64</v>
      </c>
      <c r="D261">
        <v>1982.1</v>
      </c>
      <c r="H261" s="521">
        <v>29.687999999999999</v>
      </c>
      <c r="I261">
        <v>0.28054000000000001</v>
      </c>
      <c r="J261">
        <v>29.40746</v>
      </c>
      <c r="K261">
        <v>252.4335284642234</v>
      </c>
      <c r="L261" s="277">
        <v>12.735660585450956</v>
      </c>
      <c r="M261">
        <v>245.07849054121564</v>
      </c>
      <c r="N261">
        <v>12.36458758595508</v>
      </c>
      <c r="O261">
        <v>128</v>
      </c>
      <c r="P261">
        <v>41.7</v>
      </c>
      <c r="Q261">
        <v>100</v>
      </c>
      <c r="R261">
        <v>3</v>
      </c>
      <c r="S261" t="s">
        <v>54</v>
      </c>
      <c r="T261" t="s">
        <v>54</v>
      </c>
      <c r="AA261" s="44"/>
    </row>
    <row r="262" spans="1:35">
      <c r="A262" s="148">
        <v>45351</v>
      </c>
      <c r="B262">
        <v>13</v>
      </c>
      <c r="C262" t="s">
        <v>65</v>
      </c>
      <c r="H262" s="521">
        <v>0.182</v>
      </c>
      <c r="I262">
        <v>0.28054000000000001</v>
      </c>
      <c r="J262">
        <v>-9.8540000000000016E-2</v>
      </c>
      <c r="K262">
        <v>-1.8431989471569952</v>
      </c>
      <c r="O262">
        <v>128</v>
      </c>
      <c r="P262">
        <v>41.7</v>
      </c>
      <c r="Q262">
        <v>100</v>
      </c>
      <c r="R262">
        <v>3</v>
      </c>
      <c r="S262" t="s">
        <v>54</v>
      </c>
      <c r="T262" t="s">
        <v>54</v>
      </c>
      <c r="AA262" s="44"/>
    </row>
    <row r="263" spans="1:35">
      <c r="A263" s="148">
        <v>45351</v>
      </c>
      <c r="B263">
        <v>14</v>
      </c>
      <c r="C263" t="s">
        <v>66</v>
      </c>
      <c r="H263" s="521">
        <v>0.188</v>
      </c>
      <c r="I263">
        <v>0.28054000000000001</v>
      </c>
      <c r="J263">
        <v>-9.2540000000000011E-2</v>
      </c>
      <c r="K263">
        <v>-1.7914921633005496</v>
      </c>
      <c r="O263">
        <v>128</v>
      </c>
      <c r="P263">
        <v>41.7</v>
      </c>
      <c r="Q263">
        <v>100</v>
      </c>
      <c r="R263">
        <v>3</v>
      </c>
      <c r="S263" t="s">
        <v>54</v>
      </c>
      <c r="T263" t="s">
        <v>54</v>
      </c>
      <c r="AA263" s="44"/>
    </row>
    <row r="264" spans="1:35">
      <c r="A264" s="148">
        <v>45351</v>
      </c>
      <c r="B264">
        <v>15</v>
      </c>
      <c r="C264" t="s">
        <v>67</v>
      </c>
      <c r="D264">
        <v>2632.6</v>
      </c>
      <c r="E264" t="s">
        <v>68</v>
      </c>
      <c r="H264" s="521">
        <v>235.5907</v>
      </c>
      <c r="I264">
        <v>0.28054000000000001</v>
      </c>
      <c r="J264">
        <v>235.31016</v>
      </c>
      <c r="K264">
        <v>2026.8612625239818</v>
      </c>
      <c r="L264" s="277">
        <v>76.990855523968023</v>
      </c>
      <c r="M264">
        <v>1961.0486190174854</v>
      </c>
      <c r="N264">
        <v>74.490945035990492</v>
      </c>
      <c r="O264">
        <v>128</v>
      </c>
      <c r="P264">
        <v>41.7</v>
      </c>
      <c r="Q264">
        <v>100</v>
      </c>
      <c r="R264">
        <v>3</v>
      </c>
      <c r="S264" t="s">
        <v>54</v>
      </c>
      <c r="T264" t="s">
        <v>54</v>
      </c>
      <c r="AA264" s="44"/>
    </row>
    <row r="265" spans="1:35">
      <c r="A265" s="148">
        <v>45351</v>
      </c>
      <c r="B265">
        <v>16</v>
      </c>
      <c r="C265" t="s">
        <v>69</v>
      </c>
      <c r="D265">
        <v>2120.9</v>
      </c>
      <c r="H265" s="521">
        <v>188.71889999999999</v>
      </c>
      <c r="I265">
        <v>0.28054000000000001</v>
      </c>
      <c r="J265">
        <v>188.43835999999999</v>
      </c>
      <c r="K265">
        <v>1622.9295905968911</v>
      </c>
      <c r="L265" s="277">
        <v>76.520797331175018</v>
      </c>
      <c r="M265">
        <v>1570.4242674771024</v>
      </c>
      <c r="N265">
        <v>74.045182115003172</v>
      </c>
      <c r="O265">
        <v>128</v>
      </c>
      <c r="P265">
        <v>41.7</v>
      </c>
      <c r="Q265">
        <v>100</v>
      </c>
      <c r="R265">
        <v>3</v>
      </c>
      <c r="S265" t="s">
        <v>54</v>
      </c>
      <c r="T265" t="s">
        <v>54</v>
      </c>
      <c r="AA265" s="44"/>
    </row>
    <row r="266" spans="1:35">
      <c r="A266" s="148">
        <v>45351</v>
      </c>
      <c r="B266">
        <v>17</v>
      </c>
      <c r="C266" t="s">
        <v>70</v>
      </c>
      <c r="D266">
        <v>3322.7</v>
      </c>
      <c r="H266" s="521">
        <v>298.76209999999998</v>
      </c>
      <c r="I266">
        <v>0.28054000000000001</v>
      </c>
      <c r="J266">
        <v>298.48156</v>
      </c>
      <c r="K266">
        <v>2571.2595834754929</v>
      </c>
      <c r="L266" s="277">
        <v>77.384644520284496</v>
      </c>
      <c r="M266">
        <v>2487.5120183513741</v>
      </c>
      <c r="N266">
        <v>74.864177276051834</v>
      </c>
      <c r="O266">
        <v>128</v>
      </c>
      <c r="P266">
        <v>41.7</v>
      </c>
      <c r="Q266">
        <v>100</v>
      </c>
      <c r="R266">
        <v>3</v>
      </c>
      <c r="S266" t="s">
        <v>54</v>
      </c>
      <c r="T266" t="s">
        <v>54</v>
      </c>
      <c r="AA266" s="44"/>
    </row>
    <row r="267" spans="1:35">
      <c r="A267" s="148">
        <v>45351</v>
      </c>
      <c r="B267">
        <v>18</v>
      </c>
      <c r="C267" t="s">
        <v>71</v>
      </c>
      <c r="D267">
        <v>2831</v>
      </c>
      <c r="H267" s="521">
        <v>225.82570000000001</v>
      </c>
      <c r="I267">
        <v>0.28054000000000001</v>
      </c>
      <c r="J267">
        <v>225.54516000000001</v>
      </c>
      <c r="K267">
        <v>1942.7084717976168</v>
      </c>
      <c r="L267" s="277">
        <v>68.62269416452196</v>
      </c>
      <c r="M267">
        <v>1879.6681985345547</v>
      </c>
      <c r="N267">
        <v>66.395909520824958</v>
      </c>
      <c r="O267">
        <v>128</v>
      </c>
      <c r="P267">
        <v>41.7</v>
      </c>
      <c r="Q267">
        <v>100</v>
      </c>
      <c r="R267">
        <v>3</v>
      </c>
      <c r="S267" t="s">
        <v>54</v>
      </c>
      <c r="T267" t="s">
        <v>54</v>
      </c>
      <c r="AA267" s="44"/>
    </row>
    <row r="268" spans="1:35">
      <c r="A268" s="148">
        <v>45351</v>
      </c>
      <c r="B268">
        <v>19</v>
      </c>
      <c r="C268" t="s">
        <v>72</v>
      </c>
      <c r="D268">
        <v>2686.5</v>
      </c>
      <c r="H268" s="521">
        <v>241.71520000000001</v>
      </c>
      <c r="I268">
        <v>0.28054000000000001</v>
      </c>
      <c r="J268">
        <v>241.43466000000001</v>
      </c>
      <c r="K268">
        <v>2079.6409621454486</v>
      </c>
      <c r="L268" s="277">
        <v>77.410793305246557</v>
      </c>
      <c r="M268">
        <v>2012.08951868443</v>
      </c>
      <c r="N268">
        <v>74.896315603366091</v>
      </c>
      <c r="O268">
        <v>128</v>
      </c>
      <c r="P268">
        <v>41.7</v>
      </c>
      <c r="Q268">
        <v>100</v>
      </c>
      <c r="R268">
        <v>3</v>
      </c>
      <c r="S268" t="s">
        <v>54</v>
      </c>
      <c r="T268" t="s">
        <v>54</v>
      </c>
      <c r="AA268" s="44"/>
    </row>
    <row r="269" spans="1:35">
      <c r="A269" s="148">
        <v>45351</v>
      </c>
      <c r="B269">
        <v>20</v>
      </c>
      <c r="C269" t="s">
        <v>73</v>
      </c>
      <c r="D269">
        <v>2064.1999999999998</v>
      </c>
      <c r="H269" s="521">
        <v>181.09880000000001</v>
      </c>
      <c r="I269">
        <v>0.28054000000000001</v>
      </c>
      <c r="J269">
        <v>180.81826000000001</v>
      </c>
      <c r="K269">
        <v>1557.2611133194744</v>
      </c>
      <c r="L269" s="277">
        <v>75.441387138817674</v>
      </c>
      <c r="M269">
        <v>1506.919204279767</v>
      </c>
      <c r="N269">
        <v>73.002577476977379</v>
      </c>
      <c r="O269">
        <v>128</v>
      </c>
      <c r="P269">
        <v>41.7</v>
      </c>
      <c r="Q269">
        <v>100</v>
      </c>
      <c r="R269">
        <v>3</v>
      </c>
      <c r="S269" t="s">
        <v>54</v>
      </c>
      <c r="T269" t="s">
        <v>54</v>
      </c>
      <c r="AA269" s="44"/>
    </row>
    <row r="270" spans="1:35">
      <c r="A270" s="148">
        <v>45351</v>
      </c>
      <c r="B270">
        <v>21</v>
      </c>
      <c r="C270" t="s">
        <v>74</v>
      </c>
      <c r="H270" s="521">
        <v>0.32990000000000003</v>
      </c>
      <c r="I270">
        <v>0.28054000000000001</v>
      </c>
      <c r="J270">
        <v>4.9360000000000015E-2</v>
      </c>
      <c r="K270">
        <v>-0.56862672509561207</v>
      </c>
      <c r="M270">
        <v>0.41136073272273121</v>
      </c>
      <c r="O270">
        <v>128</v>
      </c>
      <c r="P270">
        <v>41.7</v>
      </c>
      <c r="Q270">
        <v>100</v>
      </c>
      <c r="R270">
        <v>3</v>
      </c>
      <c r="S270" t="s">
        <v>54</v>
      </c>
      <c r="T270" t="s">
        <v>54</v>
      </c>
      <c r="AA270" s="44"/>
    </row>
    <row r="271" spans="1:35">
      <c r="A271" s="148">
        <v>45351</v>
      </c>
      <c r="B271">
        <v>22</v>
      </c>
      <c r="C271" t="s">
        <v>75</v>
      </c>
      <c r="D271">
        <v>2259.1999999999998</v>
      </c>
      <c r="H271" s="521">
        <v>197.40289999999999</v>
      </c>
      <c r="I271">
        <v>0.28054000000000001</v>
      </c>
      <c r="J271">
        <v>197.12235999999999</v>
      </c>
      <c r="K271">
        <v>1697.7665424317865</v>
      </c>
      <c r="L271" s="277">
        <v>75.149014803106709</v>
      </c>
      <c r="M271">
        <v>1642.7957545711906</v>
      </c>
      <c r="N271">
        <v>72.715817748370696</v>
      </c>
      <c r="O271">
        <v>128</v>
      </c>
      <c r="P271">
        <v>41.7</v>
      </c>
      <c r="Q271">
        <v>100</v>
      </c>
      <c r="R271">
        <v>3</v>
      </c>
      <c r="S271" t="s">
        <v>54</v>
      </c>
      <c r="T271" t="s">
        <v>54</v>
      </c>
      <c r="AA271" s="44"/>
    </row>
    <row r="272" spans="1:35">
      <c r="A272" s="148">
        <v>45351</v>
      </c>
      <c r="B272">
        <v>23</v>
      </c>
      <c r="C272" t="s">
        <v>77</v>
      </c>
      <c r="D272">
        <v>3100.4</v>
      </c>
      <c r="H272" s="521">
        <v>273.0641</v>
      </c>
      <c r="I272">
        <v>0.28054000000000001</v>
      </c>
      <c r="J272">
        <v>272.78356000000002</v>
      </c>
      <c r="K272">
        <v>2349.7994282183367</v>
      </c>
      <c r="L272" s="277">
        <v>75.790202174504472</v>
      </c>
      <c r="M272">
        <v>2273.3477535720235</v>
      </c>
      <c r="N272">
        <v>73.324337297510766</v>
      </c>
      <c r="O272">
        <v>128</v>
      </c>
      <c r="P272">
        <v>41.7</v>
      </c>
      <c r="Q272">
        <v>100</v>
      </c>
      <c r="R272">
        <v>3</v>
      </c>
      <c r="S272" t="s">
        <v>54</v>
      </c>
      <c r="T272" t="s">
        <v>54</v>
      </c>
      <c r="AA272" s="44"/>
    </row>
    <row r="273" spans="1:27">
      <c r="A273" s="148">
        <v>45351</v>
      </c>
      <c r="B273">
        <v>24</v>
      </c>
      <c r="C273" t="s">
        <v>79</v>
      </c>
      <c r="D273">
        <v>2070</v>
      </c>
      <c r="H273" s="521">
        <v>175.15020000000001</v>
      </c>
      <c r="I273">
        <v>0.28054000000000001</v>
      </c>
      <c r="J273">
        <v>174.86966000000001</v>
      </c>
      <c r="K273">
        <v>1505.9972842447326</v>
      </c>
      <c r="L273" s="277">
        <v>72.75349199249915</v>
      </c>
      <c r="M273">
        <v>1457.3442355870109</v>
      </c>
      <c r="N273">
        <v>70.403103168454635</v>
      </c>
      <c r="O273">
        <v>128</v>
      </c>
      <c r="P273">
        <v>41.7</v>
      </c>
      <c r="Q273">
        <v>100</v>
      </c>
      <c r="R273">
        <v>3</v>
      </c>
      <c r="S273" t="s">
        <v>54</v>
      </c>
      <c r="T273" t="s">
        <v>54</v>
      </c>
      <c r="AA273" s="44"/>
    </row>
    <row r="274" spans="1:27">
      <c r="A274" s="148">
        <v>45351</v>
      </c>
      <c r="B274">
        <v>25</v>
      </c>
      <c r="C274" t="s">
        <v>80</v>
      </c>
      <c r="D274">
        <v>2580.5</v>
      </c>
      <c r="H274" s="521">
        <v>223.11250000000001</v>
      </c>
      <c r="I274">
        <v>0.28054000000000001</v>
      </c>
      <c r="J274">
        <v>222.83196000000001</v>
      </c>
      <c r="K274">
        <v>1919.3266641377322</v>
      </c>
      <c r="L274" s="277">
        <v>74.378092003012299</v>
      </c>
      <c r="M274">
        <v>1857.0566924562866</v>
      </c>
      <c r="N274">
        <v>71.96499486364219</v>
      </c>
      <c r="O274">
        <v>128</v>
      </c>
      <c r="P274">
        <v>41.7</v>
      </c>
      <c r="Q274">
        <v>100</v>
      </c>
      <c r="R274">
        <v>3</v>
      </c>
      <c r="S274" t="s">
        <v>54</v>
      </c>
      <c r="T274" t="s">
        <v>54</v>
      </c>
      <c r="AA274" s="44"/>
    </row>
    <row r="275" spans="1:27">
      <c r="A275" s="148">
        <v>45351</v>
      </c>
      <c r="B275">
        <v>26</v>
      </c>
      <c r="C275" t="s">
        <v>81</v>
      </c>
      <c r="D275">
        <v>2149.8000000000002</v>
      </c>
      <c r="H275" s="521">
        <v>192.0478</v>
      </c>
      <c r="I275">
        <v>0.28054000000000001</v>
      </c>
      <c r="J275">
        <v>191.76725999999999</v>
      </c>
      <c r="K275">
        <v>1651.617376060178</v>
      </c>
      <c r="L275" s="277">
        <v>76.826559496705642</v>
      </c>
      <c r="M275">
        <v>1598.1669486594506</v>
      </c>
      <c r="N275">
        <v>74.340261822469557</v>
      </c>
      <c r="O275">
        <v>128</v>
      </c>
      <c r="P275">
        <v>41.7</v>
      </c>
      <c r="Q275">
        <v>100</v>
      </c>
      <c r="R275">
        <v>3</v>
      </c>
      <c r="S275" t="s">
        <v>54</v>
      </c>
      <c r="T275" t="s">
        <v>54</v>
      </c>
      <c r="AA275" s="44"/>
    </row>
    <row r="276" spans="1:27">
      <c r="A276" s="148">
        <v>45351</v>
      </c>
      <c r="B276">
        <v>27</v>
      </c>
      <c r="C276" t="s">
        <v>82</v>
      </c>
      <c r="H276" s="521">
        <v>0.28270000000000001</v>
      </c>
      <c r="I276">
        <v>0.28054000000000001</v>
      </c>
      <c r="J276">
        <v>2.1599999999999953E-3</v>
      </c>
      <c r="K276">
        <v>-0.97538675809965047</v>
      </c>
      <c r="O276">
        <v>128</v>
      </c>
      <c r="P276">
        <v>41.7</v>
      </c>
      <c r="Q276">
        <v>100</v>
      </c>
      <c r="R276">
        <v>3</v>
      </c>
      <c r="S276" t="s">
        <v>54</v>
      </c>
      <c r="T276" t="s">
        <v>54</v>
      </c>
      <c r="AA276" s="44"/>
    </row>
    <row r="277" spans="1:27">
      <c r="A277" s="148">
        <v>45351</v>
      </c>
      <c r="B277">
        <v>28</v>
      </c>
      <c r="C277" t="s">
        <v>83</v>
      </c>
      <c r="D277">
        <v>2070.9</v>
      </c>
      <c r="G277">
        <v>2070.4858200000003</v>
      </c>
      <c r="H277" s="521">
        <v>245.93879999999999</v>
      </c>
      <c r="I277">
        <v>0.28054000000000001</v>
      </c>
      <c r="J277">
        <v>245.65825999999998</v>
      </c>
      <c r="K277">
        <v>2116.0390908614627</v>
      </c>
      <c r="L277" s="277">
        <v>102.20012474470666</v>
      </c>
      <c r="M277">
        <v>2047.2885298417984</v>
      </c>
      <c r="N277">
        <v>98.879620911472742</v>
      </c>
      <c r="O277">
        <v>128</v>
      </c>
      <c r="P277">
        <v>41.7</v>
      </c>
      <c r="Q277">
        <v>100</v>
      </c>
      <c r="R277">
        <v>3</v>
      </c>
      <c r="S277" t="s">
        <v>54</v>
      </c>
      <c r="T277" t="s">
        <v>54</v>
      </c>
      <c r="AA277" s="44"/>
    </row>
    <row r="278" spans="1:27">
      <c r="A278" s="148">
        <v>45351</v>
      </c>
      <c r="B278">
        <v>29</v>
      </c>
      <c r="C278" t="s">
        <v>84</v>
      </c>
      <c r="H278" s="521">
        <v>0.23830000000000001</v>
      </c>
      <c r="I278">
        <v>0.28054000000000001</v>
      </c>
      <c r="J278">
        <v>-4.224E-2</v>
      </c>
      <c r="K278">
        <v>-1.3580169586373476</v>
      </c>
      <c r="O278">
        <v>128</v>
      </c>
      <c r="P278">
        <v>41.7</v>
      </c>
      <c r="Q278">
        <v>100</v>
      </c>
      <c r="R278">
        <v>3</v>
      </c>
      <c r="S278" t="s">
        <v>54</v>
      </c>
      <c r="T278" t="s">
        <v>54</v>
      </c>
      <c r="AA278" s="44"/>
    </row>
    <row r="279" spans="1:27">
      <c r="H279" s="521"/>
      <c r="AA279" s="44"/>
    </row>
    <row r="280" spans="1:27">
      <c r="H280" s="521"/>
      <c r="AA280" s="44"/>
    </row>
    <row r="281" spans="1:27">
      <c r="A281" s="148" t="s">
        <v>85</v>
      </c>
      <c r="H281" s="521"/>
      <c r="AA281" s="44"/>
    </row>
    <row r="282" spans="1:27">
      <c r="A282" s="148" t="s">
        <v>38</v>
      </c>
      <c r="H282" s="521"/>
      <c r="AA282" s="44"/>
    </row>
    <row r="283" spans="1:27">
      <c r="A283" s="148" t="s">
        <v>86</v>
      </c>
      <c r="H283" s="521"/>
      <c r="AA283" s="44"/>
    </row>
    <row r="284" spans="1:27">
      <c r="A284" s="148">
        <v>45352</v>
      </c>
      <c r="B284">
        <v>1</v>
      </c>
      <c r="C284" t="s">
        <v>45</v>
      </c>
      <c r="H284" s="521">
        <v>0.27529999999999999</v>
      </c>
      <c r="AA284" s="44"/>
    </row>
    <row r="285" spans="1:27">
      <c r="A285" s="148">
        <v>45352</v>
      </c>
      <c r="B285">
        <v>2</v>
      </c>
      <c r="C285" t="s">
        <v>49</v>
      </c>
      <c r="H285" s="521">
        <v>0.2263</v>
      </c>
      <c r="X285" s="348">
        <f>A286</f>
        <v>45352</v>
      </c>
      <c r="Y285" s="44"/>
      <c r="Z285" s="44"/>
      <c r="AA285" s="44"/>
    </row>
    <row r="286" spans="1:27">
      <c r="A286" s="148">
        <v>45352</v>
      </c>
      <c r="B286">
        <v>3</v>
      </c>
      <c r="C286" t="s">
        <v>51</v>
      </c>
      <c r="G286">
        <v>0</v>
      </c>
      <c r="H286" s="521">
        <v>0.13400000000000001</v>
      </c>
      <c r="I286">
        <v>0.38014000000000003</v>
      </c>
      <c r="J286">
        <v>0.38014000000000003</v>
      </c>
      <c r="X286" s="208">
        <f>((J286-INDEX(LINEST($H$286:$H$291,$G$286:$G$291),2))/INDEX(LINEST($H$286:$H$291,$G$286:$G$291),1)/100.09)*12.01</f>
        <v>0.55185334609501446</v>
      </c>
      <c r="Y286" s="208">
        <f>(J286-X286)^2</f>
        <v>2.9485473227146206E-2</v>
      </c>
      <c r="Z286" s="44"/>
      <c r="AA286" s="44"/>
    </row>
    <row r="287" spans="1:27">
      <c r="A287" s="148">
        <v>45352</v>
      </c>
      <c r="B287">
        <v>4</v>
      </c>
      <c r="C287" t="s">
        <v>87</v>
      </c>
      <c r="D287">
        <v>218.6</v>
      </c>
      <c r="G287">
        <v>218.55627999999999</v>
      </c>
      <c r="H287" s="521">
        <v>24.893000000000001</v>
      </c>
      <c r="I287">
        <v>0.38014000000000003</v>
      </c>
      <c r="J287">
        <v>24.51286</v>
      </c>
      <c r="K287">
        <v>215.08172403245996</v>
      </c>
      <c r="L287" s="277">
        <v>98.410223688131936</v>
      </c>
      <c r="M287">
        <v>204.28744024979184</v>
      </c>
      <c r="N287">
        <v>93.471320178853631</v>
      </c>
      <c r="O287">
        <v>128</v>
      </c>
      <c r="P287">
        <v>41.7</v>
      </c>
      <c r="Q287">
        <v>100</v>
      </c>
      <c r="R287">
        <v>3</v>
      </c>
      <c r="S287" t="s">
        <v>54</v>
      </c>
      <c r="T287" t="s">
        <v>54</v>
      </c>
      <c r="X287" s="208">
        <f t="shared" ref="X287:X291" si="9">((J287-INDEX(LINEST($H$286:$H$291,$G$286:$G$291),2))/INDEX(LINEST($H$286:$H$291,$G$286:$G$291),1)/100.09)*12.01</f>
        <v>25.649614207495571</v>
      </c>
      <c r="Y287" s="208">
        <f t="shared" ref="Y287:Y291" si="10">(J287-X287)^2</f>
        <v>1.2922101282588832</v>
      </c>
      <c r="Z287" s="44"/>
      <c r="AA287" s="44"/>
    </row>
    <row r="288" spans="1:27">
      <c r="A288" s="148">
        <v>45352</v>
      </c>
      <c r="B288">
        <v>5</v>
      </c>
      <c r="C288" t="s">
        <v>88</v>
      </c>
      <c r="D288">
        <v>919.6</v>
      </c>
      <c r="G288">
        <v>919.41608000000008</v>
      </c>
      <c r="H288" s="521">
        <v>103.4756</v>
      </c>
      <c r="I288">
        <v>0.38014000000000003</v>
      </c>
      <c r="J288">
        <v>103.09546</v>
      </c>
      <c r="K288">
        <v>896.66478100139727</v>
      </c>
      <c r="L288" s="277">
        <v>97.525462139121728</v>
      </c>
      <c r="M288">
        <v>859.18606089925061</v>
      </c>
      <c r="N288">
        <v>93.44910096626225</v>
      </c>
      <c r="O288">
        <v>128</v>
      </c>
      <c r="P288">
        <v>41.7</v>
      </c>
      <c r="Q288">
        <v>100</v>
      </c>
      <c r="R288">
        <v>3</v>
      </c>
      <c r="S288" t="s">
        <v>54</v>
      </c>
      <c r="T288" t="s">
        <v>54</v>
      </c>
      <c r="X288" s="208">
        <f t="shared" si="9"/>
        <v>107.37464572765141</v>
      </c>
      <c r="Y288" s="208">
        <f t="shared" si="10"/>
        <v>18.311430491735521</v>
      </c>
      <c r="Z288" s="44"/>
      <c r="AA288" s="44"/>
    </row>
    <row r="289" spans="1:27">
      <c r="A289" s="148">
        <v>45352</v>
      </c>
      <c r="B289">
        <v>6</v>
      </c>
      <c r="C289" t="s">
        <v>89</v>
      </c>
      <c r="D289">
        <v>2034.9</v>
      </c>
      <c r="G289">
        <v>2034.4930200000001</v>
      </c>
      <c r="H289" s="521">
        <v>240.93340000000001</v>
      </c>
      <c r="I289">
        <v>0.38014000000000003</v>
      </c>
      <c r="J289">
        <v>240.55325999999999</v>
      </c>
      <c r="K289">
        <v>2088.8995445269716</v>
      </c>
      <c r="L289" s="277">
        <v>102.67420551420577</v>
      </c>
      <c r="M289">
        <v>2004.7440294254789</v>
      </c>
      <c r="N289">
        <v>98.537768855332757</v>
      </c>
      <c r="O289">
        <v>128</v>
      </c>
      <c r="P289">
        <v>41.7</v>
      </c>
      <c r="Q289">
        <v>100</v>
      </c>
      <c r="R289">
        <v>3</v>
      </c>
      <c r="S289" t="s">
        <v>54</v>
      </c>
      <c r="T289" t="s">
        <v>54</v>
      </c>
      <c r="X289" s="208">
        <f t="shared" si="9"/>
        <v>250.32923157351649</v>
      </c>
      <c r="Y289" s="208">
        <f t="shared" si="10"/>
        <v>95.569620206202671</v>
      </c>
      <c r="Z289" s="44"/>
      <c r="AA289" s="44"/>
    </row>
    <row r="290" spans="1:27" ht="15.5">
      <c r="A290" s="148">
        <v>45352</v>
      </c>
      <c r="B290">
        <v>7</v>
      </c>
      <c r="C290" t="s">
        <v>90</v>
      </c>
      <c r="D290">
        <v>2965.4</v>
      </c>
      <c r="G290">
        <v>2964.80692</v>
      </c>
      <c r="H290" s="521">
        <v>336.67720000000003</v>
      </c>
      <c r="I290">
        <v>0.38014000000000003</v>
      </c>
      <c r="J290">
        <v>336.29706000000004</v>
      </c>
      <c r="K290">
        <v>2919.3295874349765</v>
      </c>
      <c r="L290" s="277">
        <v>98.46609462969603</v>
      </c>
      <c r="M290">
        <v>2802.6621761365536</v>
      </c>
      <c r="N290">
        <v>94.531018435984819</v>
      </c>
      <c r="O290">
        <v>128</v>
      </c>
      <c r="P290">
        <v>41.7</v>
      </c>
      <c r="Q290">
        <v>100</v>
      </c>
      <c r="R290">
        <v>3</v>
      </c>
      <c r="S290" t="s">
        <v>54</v>
      </c>
      <c r="T290" t="s">
        <v>54</v>
      </c>
      <c r="X290" s="208">
        <f t="shared" si="9"/>
        <v>349.90172055783995</v>
      </c>
      <c r="Y290" s="208">
        <f t="shared" si="10"/>
        <v>185.08678889404484</v>
      </c>
      <c r="Z290" s="44"/>
      <c r="AA290" s="52" t="s">
        <v>42</v>
      </c>
    </row>
    <row r="291" spans="1:27" ht="15.5">
      <c r="A291" s="148">
        <v>45352</v>
      </c>
      <c r="B291">
        <v>8</v>
      </c>
      <c r="C291" t="s">
        <v>92</v>
      </c>
      <c r="D291">
        <v>3975</v>
      </c>
      <c r="G291">
        <v>3974.2049999999999</v>
      </c>
      <c r="H291" s="521">
        <v>459.6275</v>
      </c>
      <c r="I291">
        <v>0.38014000000000003</v>
      </c>
      <c r="J291">
        <v>459.24736000000001</v>
      </c>
      <c r="K291">
        <v>3985.7341264709453</v>
      </c>
      <c r="L291" s="277">
        <v>100.29009893729553</v>
      </c>
      <c r="M291">
        <v>3827.3162583180688</v>
      </c>
      <c r="N291">
        <v>96.303946533157415</v>
      </c>
      <c r="O291">
        <v>128</v>
      </c>
      <c r="P291">
        <v>41.7</v>
      </c>
      <c r="Q291">
        <v>100</v>
      </c>
      <c r="R291">
        <v>3</v>
      </c>
      <c r="S291" t="s">
        <v>54</v>
      </c>
      <c r="T291" t="s">
        <v>54</v>
      </c>
      <c r="X291" s="208">
        <f t="shared" si="9"/>
        <v>477.76866747627503</v>
      </c>
      <c r="Y291" s="208">
        <f t="shared" si="10"/>
        <v>343.03883063072067</v>
      </c>
      <c r="Z291" s="44"/>
      <c r="AA291" s="347">
        <f>(Y292/$AL$15)*100</f>
        <v>6.0922397679619262</v>
      </c>
    </row>
    <row r="292" spans="1:27" ht="15.5">
      <c r="A292" s="148">
        <v>45352</v>
      </c>
      <c r="B292">
        <v>9</v>
      </c>
      <c r="C292" t="s">
        <v>61</v>
      </c>
      <c r="H292" s="521">
        <v>0.88619999999999999</v>
      </c>
      <c r="I292">
        <v>0.38014000000000003</v>
      </c>
      <c r="J292">
        <v>0.50605999999999995</v>
      </c>
      <c r="K292">
        <v>6.8596986471725572</v>
      </c>
      <c r="O292">
        <v>128</v>
      </c>
      <c r="P292">
        <v>41.7</v>
      </c>
      <c r="Q292">
        <v>100</v>
      </c>
      <c r="R292">
        <v>3</v>
      </c>
      <c r="S292" t="s">
        <v>54</v>
      </c>
      <c r="T292" t="s">
        <v>54</v>
      </c>
      <c r="X292" s="44"/>
      <c r="Y292" s="347">
        <f>SQRT(SUM(Y286:Y291)/(6-2))</f>
        <v>12.681959290900103</v>
      </c>
      <c r="Z292" s="52" t="s">
        <v>60</v>
      </c>
      <c r="AA292" s="44"/>
    </row>
    <row r="293" spans="1:27" ht="15.5">
      <c r="A293" s="148">
        <v>45352</v>
      </c>
      <c r="B293">
        <v>10</v>
      </c>
      <c r="C293" t="s">
        <v>63</v>
      </c>
      <c r="H293" s="521">
        <v>0.23580000000000001</v>
      </c>
      <c r="I293">
        <v>0.38014000000000003</v>
      </c>
      <c r="J293">
        <v>-0.14434000000000002</v>
      </c>
      <c r="K293">
        <v>1.2184801044850309</v>
      </c>
      <c r="N293" t="e">
        <v>#DIV/0!</v>
      </c>
      <c r="O293">
        <v>128</v>
      </c>
      <c r="P293">
        <v>41.7</v>
      </c>
      <c r="Q293">
        <v>100</v>
      </c>
      <c r="R293">
        <v>3</v>
      </c>
      <c r="S293" t="s">
        <v>54</v>
      </c>
      <c r="T293" t="s">
        <v>54</v>
      </c>
      <c r="X293" s="44"/>
      <c r="Y293" s="347">
        <f>(Y292/12.01)*100.09</f>
        <v>105.6900337573848</v>
      </c>
      <c r="Z293" s="52" t="s">
        <v>62</v>
      </c>
      <c r="AA293" s="44"/>
    </row>
    <row r="294" spans="1:27">
      <c r="A294" s="148">
        <v>45352</v>
      </c>
      <c r="B294">
        <v>11</v>
      </c>
      <c r="C294" t="s">
        <v>64</v>
      </c>
      <c r="D294">
        <v>888.2</v>
      </c>
      <c r="H294" s="521">
        <v>13.714399999999999</v>
      </c>
      <c r="I294">
        <v>0.38014000000000003</v>
      </c>
      <c r="J294">
        <v>13.334259999999999</v>
      </c>
      <c r="K294">
        <v>118.12458134905467</v>
      </c>
      <c r="L294" s="277">
        <v>13.299322376610522</v>
      </c>
      <c r="M294">
        <v>111.12623508742715</v>
      </c>
      <c r="N294">
        <v>12.51139778061553</v>
      </c>
      <c r="O294">
        <v>128</v>
      </c>
      <c r="P294">
        <v>41.7</v>
      </c>
      <c r="Q294">
        <v>100</v>
      </c>
      <c r="R294">
        <v>3</v>
      </c>
      <c r="S294" t="s">
        <v>54</v>
      </c>
      <c r="T294" t="s">
        <v>54</v>
      </c>
      <c r="X294" s="44"/>
      <c r="Y294" s="44"/>
      <c r="Z294" s="44"/>
      <c r="AA294" s="44"/>
    </row>
    <row r="295" spans="1:27">
      <c r="A295" s="148">
        <v>45352</v>
      </c>
      <c r="B295">
        <v>12</v>
      </c>
      <c r="C295" t="s">
        <v>64</v>
      </c>
      <c r="D295">
        <v>1949.1</v>
      </c>
      <c r="H295" s="521">
        <v>28.358799999999999</v>
      </c>
      <c r="I295">
        <v>0.38014000000000003</v>
      </c>
      <c r="J295">
        <v>27.978659999999998</v>
      </c>
      <c r="K295">
        <v>245.14220254606144</v>
      </c>
      <c r="L295" s="277">
        <v>12.577199863837743</v>
      </c>
      <c r="M295">
        <v>233.17103075770191</v>
      </c>
      <c r="N295">
        <v>11.963010146103429</v>
      </c>
      <c r="O295">
        <v>128</v>
      </c>
      <c r="P295">
        <v>41.7</v>
      </c>
      <c r="Q295">
        <v>100</v>
      </c>
      <c r="R295">
        <v>3</v>
      </c>
      <c r="S295" t="s">
        <v>54</v>
      </c>
      <c r="T295" t="s">
        <v>54</v>
      </c>
      <c r="AA295" s="44"/>
    </row>
    <row r="296" spans="1:27">
      <c r="A296" s="148">
        <v>45352</v>
      </c>
      <c r="B296">
        <v>13</v>
      </c>
      <c r="C296" t="s">
        <v>65</v>
      </c>
      <c r="H296" s="521">
        <v>1</v>
      </c>
      <c r="I296">
        <v>0.38014000000000003</v>
      </c>
      <c r="J296">
        <v>0.61985999999999997</v>
      </c>
      <c r="K296">
        <v>7.8467384229379951</v>
      </c>
      <c r="O296">
        <v>128</v>
      </c>
      <c r="P296">
        <v>41.7</v>
      </c>
      <c r="Q296">
        <v>100</v>
      </c>
      <c r="R296">
        <v>3</v>
      </c>
      <c r="S296" t="s">
        <v>54</v>
      </c>
      <c r="T296" t="s">
        <v>54</v>
      </c>
      <c r="AA296" s="44"/>
    </row>
    <row r="297" spans="1:27">
      <c r="A297" s="148">
        <v>45352</v>
      </c>
      <c r="B297">
        <v>14</v>
      </c>
      <c r="C297" t="s">
        <v>66</v>
      </c>
      <c r="H297" s="521">
        <v>0.17960000000000001</v>
      </c>
      <c r="I297">
        <v>0.38014000000000003</v>
      </c>
      <c r="J297">
        <v>-0.20054000000000002</v>
      </c>
      <c r="K297">
        <v>0.73103163877310129</v>
      </c>
      <c r="O297">
        <v>128</v>
      </c>
      <c r="P297">
        <v>41.7</v>
      </c>
      <c r="Q297">
        <v>100</v>
      </c>
      <c r="R297">
        <v>3</v>
      </c>
      <c r="S297" t="s">
        <v>54</v>
      </c>
      <c r="T297" t="s">
        <v>54</v>
      </c>
      <c r="AA297" s="44"/>
    </row>
    <row r="298" spans="1:27">
      <c r="A298" s="148">
        <v>45352</v>
      </c>
      <c r="B298">
        <v>15</v>
      </c>
      <c r="C298" t="s">
        <v>96</v>
      </c>
      <c r="D298">
        <v>2949.2</v>
      </c>
      <c r="E298" t="s">
        <v>68</v>
      </c>
      <c r="H298" s="521">
        <v>270.36700000000002</v>
      </c>
      <c r="I298">
        <v>0.38014000000000003</v>
      </c>
      <c r="J298">
        <v>269.98686000000004</v>
      </c>
      <c r="K298">
        <v>2344.1907039643147</v>
      </c>
      <c r="L298" s="277">
        <v>79.485647089526481</v>
      </c>
      <c r="M298">
        <v>2250.0403678101584</v>
      </c>
      <c r="N298">
        <v>76.293244534455397</v>
      </c>
      <c r="O298">
        <v>128</v>
      </c>
      <c r="P298">
        <v>41.7</v>
      </c>
      <c r="Q298">
        <v>100</v>
      </c>
      <c r="R298">
        <v>3</v>
      </c>
      <c r="S298" t="s">
        <v>54</v>
      </c>
      <c r="T298" t="s">
        <v>54</v>
      </c>
      <c r="AA298" s="44"/>
    </row>
    <row r="299" spans="1:27">
      <c r="A299" s="148">
        <v>45352</v>
      </c>
      <c r="B299">
        <v>16</v>
      </c>
      <c r="C299" t="s">
        <v>97</v>
      </c>
      <c r="D299">
        <v>2243.9</v>
      </c>
      <c r="H299" s="521">
        <v>93.679500000000004</v>
      </c>
      <c r="I299">
        <v>0.38014000000000003</v>
      </c>
      <c r="J299">
        <v>93.299360000000007</v>
      </c>
      <c r="K299">
        <v>811.69869710530065</v>
      </c>
      <c r="L299" s="277">
        <v>36.173568211832105</v>
      </c>
      <c r="M299">
        <v>777.54645648626149</v>
      </c>
      <c r="N299">
        <v>34.65156452989266</v>
      </c>
      <c r="O299">
        <v>128</v>
      </c>
      <c r="P299">
        <v>41.7</v>
      </c>
      <c r="Q299">
        <v>100</v>
      </c>
      <c r="R299">
        <v>3</v>
      </c>
      <c r="S299" t="s">
        <v>54</v>
      </c>
      <c r="T299" t="s">
        <v>54</v>
      </c>
      <c r="AA299" s="44"/>
    </row>
    <row r="300" spans="1:27">
      <c r="A300" s="148">
        <v>45352</v>
      </c>
      <c r="B300">
        <v>17</v>
      </c>
      <c r="C300" t="s">
        <v>99</v>
      </c>
      <c r="D300">
        <v>2513.6999999999998</v>
      </c>
      <c r="H300" s="521">
        <v>198.55449999999999</v>
      </c>
      <c r="I300">
        <v>0.38014000000000003</v>
      </c>
      <c r="J300">
        <v>198.17435999999998</v>
      </c>
      <c r="K300">
        <v>1721.3278401931761</v>
      </c>
      <c r="L300" s="277">
        <v>68.477854962532376</v>
      </c>
      <c r="M300">
        <v>1651.56300519567</v>
      </c>
      <c r="N300">
        <v>65.70247066856308</v>
      </c>
      <c r="O300">
        <v>128</v>
      </c>
      <c r="P300">
        <v>41.7</v>
      </c>
      <c r="Q300">
        <v>100</v>
      </c>
      <c r="R300">
        <v>3</v>
      </c>
      <c r="S300" t="s">
        <v>54</v>
      </c>
      <c r="T300" t="s">
        <v>54</v>
      </c>
      <c r="AA300" s="44"/>
    </row>
    <row r="301" spans="1:27">
      <c r="A301" s="148">
        <v>45352</v>
      </c>
      <c r="B301">
        <v>18</v>
      </c>
      <c r="C301" t="s">
        <v>100</v>
      </c>
      <c r="D301">
        <v>2690.1</v>
      </c>
      <c r="H301" s="521">
        <v>194.28450000000001</v>
      </c>
      <c r="I301">
        <v>0.38014000000000003</v>
      </c>
      <c r="J301">
        <v>193.90436</v>
      </c>
      <c r="K301">
        <v>1684.2921649513623</v>
      </c>
      <c r="L301" s="277">
        <v>62.610764096180901</v>
      </c>
      <c r="M301">
        <v>1615.9773016153206</v>
      </c>
      <c r="N301">
        <v>60.071272503450452</v>
      </c>
      <c r="O301">
        <v>128</v>
      </c>
      <c r="P301">
        <v>41.7</v>
      </c>
      <c r="Q301">
        <v>100</v>
      </c>
      <c r="R301">
        <v>3</v>
      </c>
      <c r="S301" t="s">
        <v>54</v>
      </c>
      <c r="T301" t="s">
        <v>54</v>
      </c>
      <c r="AA301" s="44"/>
    </row>
    <row r="302" spans="1:27">
      <c r="A302" s="148">
        <v>45352</v>
      </c>
      <c r="B302">
        <v>19</v>
      </c>
      <c r="C302" t="s">
        <v>101</v>
      </c>
      <c r="D302">
        <v>2593.8000000000002</v>
      </c>
      <c r="H302" s="521">
        <v>173.26220000000001</v>
      </c>
      <c r="I302">
        <v>0.38014000000000003</v>
      </c>
      <c r="J302">
        <v>172.88206</v>
      </c>
      <c r="K302">
        <v>1501.9560816642468</v>
      </c>
      <c r="L302" s="277">
        <v>57.905624244901176</v>
      </c>
      <c r="M302">
        <v>1440.7797989508745</v>
      </c>
      <c r="N302">
        <v>55.547066040206431</v>
      </c>
      <c r="O302">
        <v>128</v>
      </c>
      <c r="P302">
        <v>41.7</v>
      </c>
      <c r="Q302">
        <v>100</v>
      </c>
      <c r="R302">
        <v>3</v>
      </c>
      <c r="S302" t="s">
        <v>54</v>
      </c>
      <c r="T302" t="s">
        <v>54</v>
      </c>
      <c r="AA302" s="44"/>
    </row>
    <row r="303" spans="1:27">
      <c r="A303" s="148">
        <v>45352</v>
      </c>
      <c r="B303">
        <v>20</v>
      </c>
      <c r="C303" t="s">
        <v>102</v>
      </c>
      <c r="D303">
        <v>3425.2</v>
      </c>
      <c r="H303" s="521">
        <v>277.72809999999998</v>
      </c>
      <c r="I303">
        <v>0.38014000000000003</v>
      </c>
      <c r="J303">
        <v>277.34796</v>
      </c>
      <c r="K303">
        <v>2408.0369121663089</v>
      </c>
      <c r="L303" s="277">
        <v>70.303541754242346</v>
      </c>
      <c r="M303">
        <v>2311.3869539050793</v>
      </c>
      <c r="N303">
        <v>67.481809935334567</v>
      </c>
      <c r="O303">
        <v>128</v>
      </c>
      <c r="P303">
        <v>41.7</v>
      </c>
      <c r="Q303">
        <v>100</v>
      </c>
      <c r="R303">
        <v>3</v>
      </c>
      <c r="S303" t="s">
        <v>54</v>
      </c>
      <c r="T303" t="s">
        <v>54</v>
      </c>
      <c r="AA303" s="44"/>
    </row>
    <row r="304" spans="1:27">
      <c r="A304" s="148">
        <v>45352</v>
      </c>
      <c r="B304">
        <v>21</v>
      </c>
      <c r="C304" t="s">
        <v>74</v>
      </c>
      <c r="H304" s="521">
        <v>0.27589999999999998</v>
      </c>
      <c r="I304">
        <v>0.38014000000000003</v>
      </c>
      <c r="J304">
        <v>-0.10424000000000005</v>
      </c>
      <c r="K304">
        <v>1.5662858602688094</v>
      </c>
      <c r="O304">
        <v>128</v>
      </c>
      <c r="P304">
        <v>41.7</v>
      </c>
      <c r="Q304">
        <v>100</v>
      </c>
      <c r="R304">
        <v>3</v>
      </c>
      <c r="S304" t="s">
        <v>54</v>
      </c>
      <c r="T304" t="s">
        <v>54</v>
      </c>
      <c r="AA304" s="44"/>
    </row>
    <row r="305" spans="1:27">
      <c r="A305" s="148">
        <v>45352</v>
      </c>
      <c r="B305">
        <v>22</v>
      </c>
      <c r="C305" t="s">
        <v>103</v>
      </c>
      <c r="D305">
        <v>2216.6999999999998</v>
      </c>
      <c r="H305" s="521">
        <v>149.25569999999999</v>
      </c>
      <c r="I305">
        <v>0.38014000000000003</v>
      </c>
      <c r="J305">
        <v>148.87555999999998</v>
      </c>
      <c r="K305">
        <v>1293.7366583170324</v>
      </c>
      <c r="L305" s="277">
        <v>58.363182131864143</v>
      </c>
      <c r="M305">
        <v>1240.7123064446293</v>
      </c>
      <c r="N305">
        <v>55.971142078072333</v>
      </c>
      <c r="O305">
        <v>128</v>
      </c>
      <c r="P305">
        <v>41.7</v>
      </c>
      <c r="Q305">
        <v>100</v>
      </c>
      <c r="R305">
        <v>3</v>
      </c>
      <c r="S305" t="s">
        <v>54</v>
      </c>
      <c r="T305" t="s">
        <v>54</v>
      </c>
      <c r="AA305" s="44"/>
    </row>
    <row r="306" spans="1:27">
      <c r="A306" s="148">
        <v>45352</v>
      </c>
      <c r="B306">
        <v>23</v>
      </c>
      <c r="C306" t="s">
        <v>104</v>
      </c>
      <c r="D306">
        <v>2860.7</v>
      </c>
      <c r="H306" s="521">
        <v>243.36770000000001</v>
      </c>
      <c r="I306">
        <v>0.38014000000000003</v>
      </c>
      <c r="J306">
        <v>242.98756</v>
      </c>
      <c r="K306">
        <v>2110.0133487989033</v>
      </c>
      <c r="L306" s="277">
        <v>73.758637704020117</v>
      </c>
      <c r="M306">
        <v>2025.0312140216488</v>
      </c>
      <c r="N306">
        <v>70.78796147871671</v>
      </c>
      <c r="O306">
        <v>128</v>
      </c>
      <c r="P306">
        <v>41.7</v>
      </c>
      <c r="Q306">
        <v>100</v>
      </c>
      <c r="R306">
        <v>3</v>
      </c>
      <c r="S306" t="s">
        <v>54</v>
      </c>
      <c r="T306" t="s">
        <v>54</v>
      </c>
      <c r="AA306" s="44"/>
    </row>
    <row r="307" spans="1:27">
      <c r="A307" s="148">
        <v>45352</v>
      </c>
      <c r="B307">
        <v>24</v>
      </c>
      <c r="C307" t="s">
        <v>105</v>
      </c>
      <c r="D307">
        <v>3427</v>
      </c>
      <c r="H307" s="521">
        <v>285.48750000000001</v>
      </c>
      <c r="I307">
        <v>0.38014000000000003</v>
      </c>
      <c r="J307">
        <v>285.10736000000003</v>
      </c>
      <c r="K307">
        <v>2475.3377595834822</v>
      </c>
      <c r="L307" s="277">
        <v>72.230456947285731</v>
      </c>
      <c r="M307">
        <v>2376.0529277602</v>
      </c>
      <c r="N307">
        <v>69.33332149869274</v>
      </c>
      <c r="O307">
        <v>128</v>
      </c>
      <c r="P307">
        <v>41.7</v>
      </c>
      <c r="Q307">
        <v>100</v>
      </c>
      <c r="R307">
        <v>3</v>
      </c>
      <c r="S307" t="s">
        <v>54</v>
      </c>
      <c r="T307" t="s">
        <v>54</v>
      </c>
      <c r="AA307" s="44"/>
    </row>
    <row r="308" spans="1:27">
      <c r="A308" s="148">
        <v>45352</v>
      </c>
      <c r="B308">
        <v>25</v>
      </c>
      <c r="C308" t="s">
        <v>107</v>
      </c>
      <c r="D308">
        <v>3336.1</v>
      </c>
      <c r="H308" s="521">
        <v>275.49489999999997</v>
      </c>
      <c r="I308">
        <v>0.38014000000000003</v>
      </c>
      <c r="J308">
        <v>275.11475999999999</v>
      </c>
      <c r="K308">
        <v>2388.6673407494422</v>
      </c>
      <c r="L308" s="277">
        <v>71.600591731346256</v>
      </c>
      <c r="M308">
        <v>2292.7757142714404</v>
      </c>
      <c r="N308">
        <v>68.726228658356774</v>
      </c>
      <c r="O308">
        <v>128</v>
      </c>
      <c r="P308">
        <v>41.7</v>
      </c>
      <c r="Q308">
        <v>100</v>
      </c>
      <c r="R308">
        <v>3</v>
      </c>
      <c r="S308" t="s">
        <v>54</v>
      </c>
      <c r="T308" t="s">
        <v>54</v>
      </c>
      <c r="AA308" s="44"/>
    </row>
    <row r="309" spans="1:27">
      <c r="A309" s="148">
        <v>45352</v>
      </c>
      <c r="B309">
        <v>26</v>
      </c>
      <c r="C309" t="s">
        <v>108</v>
      </c>
      <c r="D309">
        <v>2880.8</v>
      </c>
      <c r="H309" s="521">
        <v>239.1644</v>
      </c>
      <c r="I309">
        <v>0.38014000000000003</v>
      </c>
      <c r="J309">
        <v>238.78425999999999</v>
      </c>
      <c r="K309">
        <v>2073.5561933553627</v>
      </c>
      <c r="L309" s="277">
        <v>71.978484912363314</v>
      </c>
      <c r="M309">
        <v>1990.0013807993341</v>
      </c>
      <c r="N309">
        <v>69.078081810585047</v>
      </c>
      <c r="AA309" s="44"/>
    </row>
    <row r="310" spans="1:27">
      <c r="A310" s="148">
        <v>45352</v>
      </c>
      <c r="B310">
        <v>27</v>
      </c>
      <c r="C310" t="s">
        <v>109</v>
      </c>
      <c r="D310">
        <v>2040.3</v>
      </c>
      <c r="H310" s="521">
        <v>165.125</v>
      </c>
      <c r="I310">
        <v>0.38014000000000003</v>
      </c>
      <c r="J310">
        <v>164.74485999999999</v>
      </c>
      <c r="K310">
        <v>1431.3784009668959</v>
      </c>
      <c r="L310" s="277">
        <v>70.155290935984709</v>
      </c>
      <c r="M310">
        <v>1372.9652820482931</v>
      </c>
      <c r="N310">
        <v>67.292323778282267</v>
      </c>
      <c r="O310">
        <v>128</v>
      </c>
      <c r="P310">
        <v>41.7</v>
      </c>
      <c r="Q310">
        <v>100</v>
      </c>
      <c r="R310">
        <v>3</v>
      </c>
      <c r="S310" t="s">
        <v>54</v>
      </c>
      <c r="T310" t="s">
        <v>54</v>
      </c>
      <c r="AA310" s="44"/>
    </row>
    <row r="311" spans="1:27">
      <c r="A311" s="148">
        <v>45352</v>
      </c>
      <c r="B311">
        <v>28</v>
      </c>
      <c r="C311" t="s">
        <v>82</v>
      </c>
      <c r="H311" s="521">
        <v>0.3599</v>
      </c>
      <c r="I311">
        <v>0.38014000000000003</v>
      </c>
      <c r="J311">
        <v>-2.0240000000000036E-2</v>
      </c>
      <c r="K311">
        <v>2.2948565207635085</v>
      </c>
      <c r="O311">
        <v>128</v>
      </c>
      <c r="P311">
        <v>41.7</v>
      </c>
      <c r="Q311">
        <v>100</v>
      </c>
      <c r="R311">
        <v>3</v>
      </c>
      <c r="S311" t="s">
        <v>54</v>
      </c>
      <c r="T311" t="s">
        <v>54</v>
      </c>
      <c r="AA311" s="44"/>
    </row>
    <row r="312" spans="1:27">
      <c r="A312" s="148">
        <v>45352</v>
      </c>
      <c r="B312">
        <v>29</v>
      </c>
      <c r="C312" t="s">
        <v>110</v>
      </c>
      <c r="D312">
        <v>2170.1999999999998</v>
      </c>
      <c r="G312">
        <v>2169.7659599999997</v>
      </c>
      <c r="H312" s="521">
        <v>251.36170000000001</v>
      </c>
      <c r="I312">
        <v>0.38014000000000003</v>
      </c>
      <c r="J312">
        <v>250.98156</v>
      </c>
      <c r="K312">
        <v>2179.3489899893152</v>
      </c>
      <c r="L312" s="277">
        <v>100.44166191957935</v>
      </c>
      <c r="M312">
        <v>2091.6523181015823</v>
      </c>
      <c r="N312">
        <v>96.399904720672396</v>
      </c>
      <c r="O312">
        <v>128</v>
      </c>
      <c r="P312">
        <v>41.7</v>
      </c>
      <c r="Q312">
        <v>100</v>
      </c>
      <c r="R312">
        <v>3</v>
      </c>
      <c r="S312" t="s">
        <v>54</v>
      </c>
      <c r="T312" t="s">
        <v>54</v>
      </c>
      <c r="AA312" s="44"/>
    </row>
    <row r="313" spans="1:27">
      <c r="A313" s="148">
        <v>45352</v>
      </c>
      <c r="B313">
        <v>30</v>
      </c>
      <c r="C313" t="s">
        <v>84</v>
      </c>
      <c r="H313" s="521">
        <v>0.22839999999999999</v>
      </c>
      <c r="I313">
        <v>0.38014000000000003</v>
      </c>
      <c r="J313">
        <v>-0.15174000000000004</v>
      </c>
      <c r="K313">
        <v>1.1542964986795452</v>
      </c>
      <c r="O313">
        <v>128</v>
      </c>
      <c r="P313">
        <v>41.7</v>
      </c>
      <c r="Q313">
        <v>100</v>
      </c>
      <c r="R313">
        <v>3</v>
      </c>
      <c r="S313" t="s">
        <v>54</v>
      </c>
      <c r="T313" t="s">
        <v>54</v>
      </c>
      <c r="AA313" s="44"/>
    </row>
    <row r="314" spans="1:27">
      <c r="H314" s="521"/>
      <c r="AA314" s="44"/>
    </row>
    <row r="315" spans="1:27">
      <c r="H315" s="521"/>
      <c r="AA315" s="44"/>
    </row>
    <row r="316" spans="1:27">
      <c r="A316" s="148" t="s">
        <v>36</v>
      </c>
      <c r="H316" s="521"/>
      <c r="AA316" s="44"/>
    </row>
    <row r="317" spans="1:27">
      <c r="A317" s="148" t="s">
        <v>38</v>
      </c>
      <c r="H317" s="521"/>
      <c r="AA317" s="44"/>
    </row>
    <row r="318" spans="1:27">
      <c r="A318" s="148" t="s">
        <v>111</v>
      </c>
      <c r="H318" s="521"/>
      <c r="AA318" s="44"/>
    </row>
    <row r="319" spans="1:27">
      <c r="A319" s="148">
        <v>45356</v>
      </c>
      <c r="B319">
        <v>1</v>
      </c>
      <c r="C319" t="s">
        <v>45</v>
      </c>
      <c r="H319" s="521">
        <v>0.2823</v>
      </c>
      <c r="AA319" s="44"/>
    </row>
    <row r="320" spans="1:27">
      <c r="A320" s="148">
        <v>45356</v>
      </c>
      <c r="B320">
        <v>2</v>
      </c>
      <c r="C320" t="s">
        <v>49</v>
      </c>
      <c r="H320" s="521">
        <v>0.26819999999999999</v>
      </c>
      <c r="X320" s="348">
        <f>A321</f>
        <v>45356</v>
      </c>
      <c r="Y320" s="44"/>
      <c r="Z320" s="44"/>
      <c r="AA320" s="44"/>
    </row>
    <row r="321" spans="1:27">
      <c r="A321" s="148">
        <v>45356</v>
      </c>
      <c r="B321">
        <v>3</v>
      </c>
      <c r="C321" t="s">
        <v>51</v>
      </c>
      <c r="G321">
        <v>0</v>
      </c>
      <c r="H321" s="521">
        <v>0.2382</v>
      </c>
      <c r="I321">
        <v>0.31532999999999994</v>
      </c>
      <c r="J321">
        <v>0.31532999999999994</v>
      </c>
      <c r="X321" s="208">
        <f>((J321-INDEX(LINEST($H$321:$H$326,$G$321:$G$326),2))/INDEX(LINEST($H$321:$H$326,$G$321:$G$326),1)/100.09)*12.01</f>
        <v>0.83146755997179622</v>
      </c>
      <c r="Y321" s="208">
        <f>(J321-X321)^2</f>
        <v>0.26639798081363963</v>
      </c>
      <c r="Z321" s="44"/>
      <c r="AA321" s="44"/>
    </row>
    <row r="322" spans="1:27">
      <c r="A322" s="148">
        <v>45356</v>
      </c>
      <c r="B322">
        <v>4</v>
      </c>
      <c r="C322" t="s">
        <v>112</v>
      </c>
      <c r="D322">
        <v>396.2</v>
      </c>
      <c r="G322">
        <v>396.12076000000002</v>
      </c>
      <c r="H322" s="521">
        <v>46.204900000000002</v>
      </c>
      <c r="I322">
        <v>0.31532999999999994</v>
      </c>
      <c r="J322">
        <v>45.889569999999999</v>
      </c>
      <c r="K322">
        <v>393.22170134054545</v>
      </c>
      <c r="L322" s="277">
        <v>99.268137660986369</v>
      </c>
      <c r="M322">
        <v>382.43855631140713</v>
      </c>
      <c r="N322">
        <v>96.545951368821761</v>
      </c>
      <c r="O322">
        <v>128</v>
      </c>
      <c r="P322">
        <v>41.7</v>
      </c>
      <c r="Q322">
        <v>100</v>
      </c>
      <c r="R322">
        <v>3</v>
      </c>
      <c r="S322" t="s">
        <v>54</v>
      </c>
      <c r="T322" t="s">
        <v>54</v>
      </c>
      <c r="X322" s="208">
        <f t="shared" ref="X322:X326" si="11">((J322-INDEX(LINEST($H$321:$H$326,$G$321:$G$326),2))/INDEX(LINEST($H$321:$H$326,$G$321:$G$326),1)/100.09)*12.01</f>
        <v>47.017197210723204</v>
      </c>
      <c r="Y322" s="208">
        <f t="shared" ref="Y322:Y326" si="12">(J322-X322)^2</f>
        <v>1.2715431263633945</v>
      </c>
      <c r="Z322" s="44"/>
      <c r="AA322" s="44"/>
    </row>
    <row r="323" spans="1:27">
      <c r="A323" s="148">
        <v>45356</v>
      </c>
      <c r="B323">
        <v>5</v>
      </c>
      <c r="C323" t="s">
        <v>113</v>
      </c>
      <c r="D323">
        <v>1159.0999999999999</v>
      </c>
      <c r="G323">
        <v>1158.8681799999999</v>
      </c>
      <c r="H323" s="521">
        <v>134.91480000000001</v>
      </c>
      <c r="I323">
        <v>0.31532999999999994</v>
      </c>
      <c r="J323">
        <v>134.59947000000003</v>
      </c>
      <c r="K323">
        <v>1142.8644078395037</v>
      </c>
      <c r="L323" s="277">
        <v>98.6190170343191</v>
      </c>
      <c r="M323">
        <v>1121.7369652206496</v>
      </c>
      <c r="N323">
        <v>96.795906952993533</v>
      </c>
      <c r="O323">
        <v>128</v>
      </c>
      <c r="P323">
        <v>41.7</v>
      </c>
      <c r="Q323">
        <v>100</v>
      </c>
      <c r="R323">
        <v>3</v>
      </c>
      <c r="S323" t="s">
        <v>54</v>
      </c>
      <c r="T323" t="s">
        <v>54</v>
      </c>
      <c r="X323" s="208">
        <f t="shared" si="11"/>
        <v>136.91735701032033</v>
      </c>
      <c r="Y323" s="208">
        <f t="shared" si="12"/>
        <v>5.3726001926116034</v>
      </c>
      <c r="Z323" s="44"/>
      <c r="AA323" s="44"/>
    </row>
    <row r="324" spans="1:27">
      <c r="A324" s="148">
        <v>45356</v>
      </c>
      <c r="B324">
        <v>6</v>
      </c>
      <c r="C324" t="s">
        <v>114</v>
      </c>
      <c r="D324">
        <v>2021.7</v>
      </c>
      <c r="G324">
        <v>2021.29566</v>
      </c>
      <c r="H324" s="521">
        <v>240.82390000000001</v>
      </c>
      <c r="I324">
        <v>0.31532999999999994</v>
      </c>
      <c r="J324">
        <v>240.50857000000002</v>
      </c>
      <c r="K324">
        <v>2037.8488951049474</v>
      </c>
      <c r="L324" s="277">
        <v>100.81894180215809</v>
      </c>
      <c r="M324">
        <v>2004.3715879517072</v>
      </c>
      <c r="N324">
        <v>99.162711701053524</v>
      </c>
      <c r="O324">
        <v>128</v>
      </c>
      <c r="P324">
        <v>41.7</v>
      </c>
      <c r="Q324">
        <v>100</v>
      </c>
      <c r="R324">
        <v>3</v>
      </c>
      <c r="S324" t="s">
        <v>54</v>
      </c>
      <c r="T324" t="s">
        <v>54</v>
      </c>
      <c r="X324" s="208">
        <f t="shared" si="11"/>
        <v>244.24748605151541</v>
      </c>
      <c r="Y324" s="208">
        <f t="shared" si="12"/>
        <v>13.979493240279426</v>
      </c>
      <c r="Z324" s="44"/>
      <c r="AA324" s="44"/>
    </row>
    <row r="325" spans="1:27" ht="15.5">
      <c r="A325" s="148">
        <v>45356</v>
      </c>
      <c r="B325">
        <v>7</v>
      </c>
      <c r="C325" t="s">
        <v>115</v>
      </c>
      <c r="D325">
        <v>2987</v>
      </c>
      <c r="G325">
        <v>2986.4025999999999</v>
      </c>
      <c r="H325" s="521">
        <v>351.5677</v>
      </c>
      <c r="I325">
        <v>0.31532999999999994</v>
      </c>
      <c r="J325">
        <v>351.25236999999998</v>
      </c>
      <c r="K325">
        <v>2973.6889981822733</v>
      </c>
      <c r="L325" s="277">
        <v>99.574283727929839</v>
      </c>
      <c r="M325">
        <v>2927.2980610574518</v>
      </c>
      <c r="N325">
        <v>98.020878399230298</v>
      </c>
      <c r="O325">
        <v>128</v>
      </c>
      <c r="P325">
        <v>41.7</v>
      </c>
      <c r="Q325">
        <v>100</v>
      </c>
      <c r="R325">
        <v>3</v>
      </c>
      <c r="S325" t="s">
        <v>54</v>
      </c>
      <c r="T325" t="s">
        <v>54</v>
      </c>
      <c r="X325" s="208">
        <f t="shared" si="11"/>
        <v>356.47718439200082</v>
      </c>
      <c r="Y325" s="208">
        <f t="shared" si="12"/>
        <v>27.298685430859081</v>
      </c>
      <c r="Z325" s="44"/>
      <c r="AA325" s="52" t="s">
        <v>42</v>
      </c>
    </row>
    <row r="326" spans="1:27" ht="15.5">
      <c r="A326" s="148">
        <v>45356</v>
      </c>
      <c r="B326">
        <v>8</v>
      </c>
      <c r="C326" t="s">
        <v>116</v>
      </c>
      <c r="D326">
        <v>3475</v>
      </c>
      <c r="G326">
        <v>3474.3050000000003</v>
      </c>
      <c r="H326" s="521">
        <v>411.63310000000001</v>
      </c>
      <c r="I326">
        <v>0.31532999999999994</v>
      </c>
      <c r="J326">
        <v>411.31777</v>
      </c>
      <c r="K326">
        <v>3481.2714554158238</v>
      </c>
      <c r="L326" s="277">
        <v>100.20051363987396</v>
      </c>
      <c r="M326">
        <v>3427.8764029392173</v>
      </c>
      <c r="N326">
        <v>98.663657996037117</v>
      </c>
      <c r="O326">
        <v>128</v>
      </c>
      <c r="P326">
        <v>41.7</v>
      </c>
      <c r="Q326">
        <v>100</v>
      </c>
      <c r="R326">
        <v>3</v>
      </c>
      <c r="S326" t="s">
        <v>54</v>
      </c>
      <c r="T326" t="s">
        <v>54</v>
      </c>
      <c r="X326" s="208">
        <f t="shared" si="11"/>
        <v>417.34850831894386</v>
      </c>
      <c r="Y326" s="208">
        <f t="shared" si="12"/>
        <v>36.369804671577825</v>
      </c>
      <c r="Z326" s="44"/>
      <c r="AA326" s="347">
        <f>(Y327/$AL$15)*100</f>
        <v>2.2087132435647678</v>
      </c>
    </row>
    <row r="327" spans="1:27" ht="15.5">
      <c r="A327" s="148">
        <v>45356</v>
      </c>
      <c r="B327">
        <v>9</v>
      </c>
      <c r="C327" t="s">
        <v>61</v>
      </c>
      <c r="H327" s="521">
        <v>0.6381</v>
      </c>
      <c r="I327">
        <v>0.31532999999999994</v>
      </c>
      <c r="J327">
        <v>0.32277000000000006</v>
      </c>
      <c r="K327">
        <v>8.1596138114565715</v>
      </c>
      <c r="O327">
        <v>128</v>
      </c>
      <c r="P327">
        <v>41.7</v>
      </c>
      <c r="Q327">
        <v>100</v>
      </c>
      <c r="R327">
        <v>3</v>
      </c>
      <c r="S327" t="s">
        <v>54</v>
      </c>
      <c r="T327" t="s">
        <v>54</v>
      </c>
      <c r="X327" s="44"/>
      <c r="Y327" s="347">
        <f>SQRT(SUM(Y321:Y326)/(6-2))</f>
        <v>4.597785462657674</v>
      </c>
      <c r="Z327" s="52" t="s">
        <v>60</v>
      </c>
      <c r="AA327" s="44"/>
    </row>
    <row r="328" spans="1:27" ht="15.5">
      <c r="A328" s="148">
        <v>45356</v>
      </c>
      <c r="B328">
        <v>10</v>
      </c>
      <c r="C328" t="s">
        <v>63</v>
      </c>
      <c r="H328" s="521">
        <v>0.32800000000000001</v>
      </c>
      <c r="I328">
        <v>0.31532999999999994</v>
      </c>
      <c r="J328">
        <v>1.267000000000007E-2</v>
      </c>
      <c r="K328">
        <v>5.5391148222194424</v>
      </c>
      <c r="O328">
        <v>128</v>
      </c>
      <c r="P328">
        <v>41.7</v>
      </c>
      <c r="Q328">
        <v>100</v>
      </c>
      <c r="R328">
        <v>3</v>
      </c>
      <c r="S328" t="s">
        <v>54</v>
      </c>
      <c r="T328" t="s">
        <v>54</v>
      </c>
      <c r="X328" s="44"/>
      <c r="Y328" s="347">
        <f>(Y327/12.01)*100.09</f>
        <v>38.317431053905629</v>
      </c>
      <c r="Z328" s="52" t="s">
        <v>62</v>
      </c>
      <c r="AA328" s="44"/>
    </row>
    <row r="329" spans="1:27">
      <c r="A329" s="148">
        <v>45356</v>
      </c>
      <c r="B329">
        <v>11</v>
      </c>
      <c r="C329" t="s">
        <v>64</v>
      </c>
      <c r="D329">
        <v>958.7</v>
      </c>
      <c r="H329" s="521">
        <v>12.785299999999999</v>
      </c>
      <c r="I329">
        <v>0.31532999999999994</v>
      </c>
      <c r="J329">
        <v>12.46997</v>
      </c>
      <c r="K329">
        <v>110.80948585938067</v>
      </c>
      <c r="L329" s="277">
        <v>11.558306650608184</v>
      </c>
      <c r="M329">
        <v>103.92333865945045</v>
      </c>
      <c r="N329">
        <v>10.840026980228481</v>
      </c>
      <c r="O329">
        <v>128</v>
      </c>
      <c r="P329">
        <v>41.7</v>
      </c>
      <c r="Q329">
        <v>100</v>
      </c>
      <c r="R329">
        <v>3</v>
      </c>
      <c r="S329" t="s">
        <v>54</v>
      </c>
      <c r="T329" t="s">
        <v>54</v>
      </c>
      <c r="AA329" s="44"/>
    </row>
    <row r="330" spans="1:27">
      <c r="A330" s="148">
        <v>45356</v>
      </c>
      <c r="B330">
        <v>12</v>
      </c>
      <c r="C330" t="s">
        <v>64</v>
      </c>
      <c r="D330">
        <v>1940.7</v>
      </c>
      <c r="H330" s="521">
        <v>27.691099999999999</v>
      </c>
      <c r="I330">
        <v>0.31532999999999994</v>
      </c>
      <c r="J330">
        <v>27.375769999999999</v>
      </c>
      <c r="K330">
        <v>236.77089777092795</v>
      </c>
      <c r="L330" s="277">
        <v>12.200283288036683</v>
      </c>
      <c r="M330">
        <v>228.14661276436303</v>
      </c>
      <c r="N330">
        <v>11.755892861563508</v>
      </c>
      <c r="O330">
        <v>128</v>
      </c>
      <c r="P330">
        <v>41.7</v>
      </c>
      <c r="Q330">
        <v>100</v>
      </c>
      <c r="R330">
        <v>3</v>
      </c>
      <c r="S330" t="s">
        <v>54</v>
      </c>
      <c r="T330" t="s">
        <v>54</v>
      </c>
      <c r="AA330" s="44"/>
    </row>
    <row r="331" spans="1:27">
      <c r="A331" s="148">
        <v>45356</v>
      </c>
      <c r="B331">
        <v>13</v>
      </c>
      <c r="C331" t="s">
        <v>65</v>
      </c>
      <c r="H331" s="521">
        <v>0.22220000000000001</v>
      </c>
      <c r="I331">
        <v>0.31532999999999994</v>
      </c>
      <c r="J331">
        <v>-9.3129999999999935E-2</v>
      </c>
      <c r="K331">
        <v>4.6450522841307986</v>
      </c>
      <c r="O331">
        <v>128</v>
      </c>
      <c r="P331">
        <v>41.7</v>
      </c>
      <c r="Q331">
        <v>100</v>
      </c>
      <c r="R331">
        <v>3</v>
      </c>
      <c r="S331" t="s">
        <v>54</v>
      </c>
      <c r="T331" t="s">
        <v>54</v>
      </c>
      <c r="AA331" s="44"/>
    </row>
    <row r="332" spans="1:27">
      <c r="A332" s="148">
        <v>45356</v>
      </c>
      <c r="B332">
        <v>14</v>
      </c>
      <c r="C332" t="s">
        <v>66</v>
      </c>
      <c r="H332" s="521">
        <v>0.27379999999999999</v>
      </c>
      <c r="I332">
        <v>0.31532999999999994</v>
      </c>
      <c r="J332">
        <v>-4.1529999999999956E-2</v>
      </c>
      <c r="K332">
        <v>5.0810979076220457</v>
      </c>
      <c r="O332">
        <v>128</v>
      </c>
      <c r="P332">
        <v>41.7</v>
      </c>
      <c r="Q332">
        <v>100</v>
      </c>
      <c r="R332">
        <v>3</v>
      </c>
      <c r="S332" t="s">
        <v>54</v>
      </c>
      <c r="T332" t="s">
        <v>54</v>
      </c>
      <c r="AA332" s="44"/>
    </row>
    <row r="333" spans="1:27">
      <c r="A333" s="148">
        <v>45356</v>
      </c>
      <c r="B333">
        <v>15</v>
      </c>
      <c r="C333" t="s">
        <v>117</v>
      </c>
      <c r="D333">
        <v>2632.9</v>
      </c>
      <c r="E333" t="s">
        <v>68</v>
      </c>
      <c r="H333" s="521">
        <v>248.26849999999999</v>
      </c>
      <c r="I333">
        <v>0.31532999999999994</v>
      </c>
      <c r="J333">
        <v>247.95317</v>
      </c>
      <c r="K333">
        <v>2100.759461939113</v>
      </c>
      <c r="L333" s="514">
        <v>79.788805573288499</v>
      </c>
      <c r="M333">
        <v>2066.4140537302251</v>
      </c>
      <c r="N333">
        <v>78.484334905625929</v>
      </c>
      <c r="O333">
        <v>128</v>
      </c>
      <c r="P333">
        <v>41.7</v>
      </c>
      <c r="Q333">
        <v>100</v>
      </c>
      <c r="R333">
        <v>3</v>
      </c>
      <c r="S333" t="s">
        <v>54</v>
      </c>
      <c r="T333" t="s">
        <v>54</v>
      </c>
      <c r="AA333" s="44"/>
    </row>
    <row r="334" spans="1:27">
      <c r="A334" s="148">
        <v>45356</v>
      </c>
      <c r="B334">
        <v>16</v>
      </c>
      <c r="C334" t="s">
        <v>118</v>
      </c>
      <c r="D334">
        <v>2790.4</v>
      </c>
      <c r="H334" s="521">
        <v>256.85000000000002</v>
      </c>
      <c r="I334">
        <v>0.31532999999999994</v>
      </c>
      <c r="J334">
        <v>256.53467000000001</v>
      </c>
      <c r="K334">
        <v>2173.2773983342709</v>
      </c>
      <c r="L334" s="277">
        <v>77.884081075626099</v>
      </c>
      <c r="M334">
        <v>2137.9313172606167</v>
      </c>
      <c r="N334">
        <v>76.617378055498008</v>
      </c>
      <c r="O334">
        <v>128</v>
      </c>
      <c r="P334">
        <v>41.7</v>
      </c>
      <c r="Q334">
        <v>100</v>
      </c>
      <c r="R334">
        <v>3</v>
      </c>
      <c r="S334" t="s">
        <v>54</v>
      </c>
      <c r="T334" t="s">
        <v>54</v>
      </c>
      <c r="AA334" s="44"/>
    </row>
    <row r="335" spans="1:27">
      <c r="A335" s="148">
        <v>45356</v>
      </c>
      <c r="B335">
        <v>17</v>
      </c>
      <c r="C335" t="s">
        <v>119</v>
      </c>
      <c r="D335">
        <v>2402.5</v>
      </c>
      <c r="H335" s="521">
        <v>202.6559</v>
      </c>
      <c r="I335">
        <v>0.31532999999999994</v>
      </c>
      <c r="J335">
        <v>202.34057000000001</v>
      </c>
      <c r="K335">
        <v>1715.3103416666927</v>
      </c>
      <c r="L335" s="277">
        <v>71.396892473119365</v>
      </c>
      <c r="M335">
        <v>1686.2837344962531</v>
      </c>
      <c r="N335">
        <v>70.188709032102096</v>
      </c>
      <c r="O335">
        <v>128</v>
      </c>
      <c r="P335">
        <v>41.7</v>
      </c>
      <c r="Q335">
        <v>100</v>
      </c>
      <c r="R335">
        <v>3</v>
      </c>
      <c r="S335" t="s">
        <v>54</v>
      </c>
      <c r="T335" t="s">
        <v>54</v>
      </c>
      <c r="AA335" s="44"/>
    </row>
    <row r="336" spans="1:27">
      <c r="A336" s="148">
        <v>45356</v>
      </c>
      <c r="B336">
        <v>18</v>
      </c>
      <c r="C336" t="s">
        <v>120</v>
      </c>
      <c r="D336">
        <v>2315.1</v>
      </c>
      <c r="H336" s="521">
        <v>85.420900000000003</v>
      </c>
      <c r="I336">
        <v>0.31532999999999994</v>
      </c>
      <c r="J336">
        <v>85.10557</v>
      </c>
      <c r="K336">
        <v>724.61637519389365</v>
      </c>
      <c r="L336" s="277">
        <v>31.299571301191897</v>
      </c>
      <c r="M336">
        <v>709.26032483763527</v>
      </c>
      <c r="N336">
        <v>30.636271644319265</v>
      </c>
      <c r="O336">
        <v>128</v>
      </c>
      <c r="P336">
        <v>41.7</v>
      </c>
      <c r="Q336">
        <v>100</v>
      </c>
      <c r="R336">
        <v>3</v>
      </c>
      <c r="S336" t="s">
        <v>54</v>
      </c>
      <c r="T336" t="s">
        <v>54</v>
      </c>
      <c r="AA336" s="44"/>
    </row>
    <row r="337" spans="1:27">
      <c r="A337" s="148">
        <v>45356</v>
      </c>
      <c r="B337">
        <v>19</v>
      </c>
      <c r="C337" t="s">
        <v>74</v>
      </c>
      <c r="H337" s="521">
        <v>0.2722</v>
      </c>
      <c r="I337">
        <v>0.31532999999999994</v>
      </c>
      <c r="J337">
        <v>-4.3129999999999946E-2</v>
      </c>
      <c r="K337">
        <v>5.0675771130951865</v>
      </c>
      <c r="O337">
        <v>128</v>
      </c>
      <c r="P337">
        <v>41.7</v>
      </c>
      <c r="Q337">
        <v>100</v>
      </c>
      <c r="R337">
        <v>3</v>
      </c>
      <c r="S337" t="s">
        <v>54</v>
      </c>
      <c r="T337" t="s">
        <v>54</v>
      </c>
      <c r="AA337" s="44"/>
    </row>
    <row r="338" spans="1:27">
      <c r="A338" s="148">
        <v>45356</v>
      </c>
      <c r="B338">
        <v>20</v>
      </c>
      <c r="C338" t="s">
        <v>121</v>
      </c>
      <c r="D338">
        <v>2546.3000000000002</v>
      </c>
      <c r="H338" s="521">
        <v>208.85990000000001</v>
      </c>
      <c r="I338">
        <v>0.31532999999999994</v>
      </c>
      <c r="J338">
        <v>208.54457000000002</v>
      </c>
      <c r="K338">
        <v>1767.737222444594</v>
      </c>
      <c r="L338" s="277">
        <v>69.423760846899185</v>
      </c>
      <c r="M338">
        <v>1737.9871782930893</v>
      </c>
      <c r="N338">
        <v>68.255397176023607</v>
      </c>
      <c r="O338">
        <v>128</v>
      </c>
      <c r="P338">
        <v>41.7</v>
      </c>
      <c r="Q338">
        <v>100</v>
      </c>
      <c r="R338">
        <v>3</v>
      </c>
      <c r="S338" t="s">
        <v>54</v>
      </c>
      <c r="T338" t="s">
        <v>54</v>
      </c>
      <c r="AA338" s="44"/>
    </row>
    <row r="339" spans="1:27">
      <c r="A339" s="148">
        <v>45356</v>
      </c>
      <c r="B339">
        <v>21</v>
      </c>
      <c r="C339" t="s">
        <v>122</v>
      </c>
      <c r="D339">
        <v>2647.8</v>
      </c>
      <c r="H339" s="521">
        <v>160.21010000000001</v>
      </c>
      <c r="I339">
        <v>0.31532999999999994</v>
      </c>
      <c r="J339">
        <v>159.89477000000002</v>
      </c>
      <c r="K339">
        <v>1356.622253961561</v>
      </c>
      <c r="L339" s="277">
        <v>51.235828006705972</v>
      </c>
      <c r="M339">
        <v>1332.5451731307246</v>
      </c>
      <c r="N339">
        <v>50.326504008260613</v>
      </c>
      <c r="O339">
        <v>128</v>
      </c>
      <c r="P339">
        <v>41.7</v>
      </c>
      <c r="Q339">
        <v>100</v>
      </c>
      <c r="R339">
        <v>3</v>
      </c>
      <c r="S339" t="s">
        <v>54</v>
      </c>
      <c r="T339" t="s">
        <v>54</v>
      </c>
      <c r="AA339" s="44"/>
    </row>
    <row r="340" spans="1:27">
      <c r="A340" s="148">
        <v>45356</v>
      </c>
      <c r="B340">
        <v>22</v>
      </c>
      <c r="C340" t="s">
        <v>123</v>
      </c>
      <c r="D340">
        <v>3106.9</v>
      </c>
      <c r="H340" s="521">
        <v>233.08189999999999</v>
      </c>
      <c r="I340">
        <v>0.31532999999999994</v>
      </c>
      <c r="J340">
        <v>232.76657</v>
      </c>
      <c r="K340">
        <v>1972.4251505881016</v>
      </c>
      <c r="L340" s="277">
        <v>63.485311744443059</v>
      </c>
      <c r="M340">
        <v>1939.8506237552042</v>
      </c>
      <c r="N340">
        <v>62.436854219807657</v>
      </c>
      <c r="O340">
        <v>128</v>
      </c>
      <c r="P340">
        <v>41.7</v>
      </c>
      <c r="Q340">
        <v>100</v>
      </c>
      <c r="R340">
        <v>3</v>
      </c>
      <c r="S340" t="s">
        <v>54</v>
      </c>
      <c r="T340" t="s">
        <v>54</v>
      </c>
      <c r="AA340" s="44"/>
    </row>
    <row r="341" spans="1:27">
      <c r="A341" s="148">
        <v>45356</v>
      </c>
      <c r="B341">
        <v>23</v>
      </c>
      <c r="C341" t="s">
        <v>124</v>
      </c>
      <c r="D341">
        <v>2138.5</v>
      </c>
      <c r="H341" s="521">
        <v>168.6925</v>
      </c>
      <c r="I341">
        <v>0.31532999999999994</v>
      </c>
      <c r="J341">
        <v>168.37717000000001</v>
      </c>
      <c r="K341">
        <v>1428.3027461457111</v>
      </c>
      <c r="L341" s="277">
        <v>66.789934353318273</v>
      </c>
      <c r="M341">
        <v>1403.2365483180683</v>
      </c>
      <c r="N341">
        <v>65.617795104889794</v>
      </c>
      <c r="AA341" s="44"/>
    </row>
    <row r="342" spans="1:27">
      <c r="A342" s="148">
        <v>45356</v>
      </c>
      <c r="B342">
        <v>24</v>
      </c>
      <c r="C342" t="s">
        <v>125</v>
      </c>
      <c r="D342">
        <v>2654.5</v>
      </c>
      <c r="H342" s="521">
        <v>203.98390000000001</v>
      </c>
      <c r="I342">
        <v>0.31532999999999994</v>
      </c>
      <c r="J342">
        <v>203.66857000000002</v>
      </c>
      <c r="K342">
        <v>1726.5326011239868</v>
      </c>
      <c r="L342" s="277">
        <v>65.041725414352499</v>
      </c>
      <c r="M342">
        <v>1697.3511383263949</v>
      </c>
      <c r="N342">
        <v>63.942404909640047</v>
      </c>
      <c r="O342">
        <v>128</v>
      </c>
      <c r="P342">
        <v>41.7</v>
      </c>
      <c r="Q342">
        <v>100</v>
      </c>
      <c r="R342">
        <v>3</v>
      </c>
      <c r="S342" t="s">
        <v>54</v>
      </c>
      <c r="T342" t="s">
        <v>54</v>
      </c>
      <c r="AA342" s="44"/>
    </row>
    <row r="343" spans="1:27">
      <c r="A343" s="148">
        <v>45356</v>
      </c>
      <c r="B343">
        <v>25</v>
      </c>
      <c r="C343" t="s">
        <v>82</v>
      </c>
      <c r="H343" s="521">
        <v>0.35849999999999999</v>
      </c>
      <c r="I343">
        <v>0.31532999999999994</v>
      </c>
      <c r="J343">
        <v>4.3170000000000042E-2</v>
      </c>
      <c r="K343">
        <v>5.7968549678877181</v>
      </c>
      <c r="O343">
        <v>128</v>
      </c>
      <c r="P343">
        <v>41.7</v>
      </c>
      <c r="Q343">
        <v>100</v>
      </c>
      <c r="R343">
        <v>3</v>
      </c>
      <c r="S343" t="s">
        <v>54</v>
      </c>
      <c r="T343" t="s">
        <v>54</v>
      </c>
      <c r="AA343" s="44"/>
    </row>
    <row r="344" spans="1:27">
      <c r="A344" s="148">
        <v>45356</v>
      </c>
      <c r="B344">
        <v>26</v>
      </c>
      <c r="C344" t="s">
        <v>126</v>
      </c>
      <c r="D344">
        <v>2014.6</v>
      </c>
      <c r="G344">
        <v>2014.1970799999999</v>
      </c>
      <c r="H344" s="521">
        <v>237.20849999999999</v>
      </c>
      <c r="I344">
        <v>0.31532999999999994</v>
      </c>
      <c r="J344">
        <v>236.89317</v>
      </c>
      <c r="K344">
        <v>2007.2969697721903</v>
      </c>
      <c r="L344" s="277">
        <v>99.657426261991716</v>
      </c>
      <c r="M344">
        <v>1974.2412477352207</v>
      </c>
      <c r="N344">
        <v>98.016289832731786</v>
      </c>
      <c r="O344">
        <v>128</v>
      </c>
      <c r="P344">
        <v>41.7</v>
      </c>
      <c r="Q344">
        <v>100</v>
      </c>
      <c r="R344">
        <v>3</v>
      </c>
      <c r="S344" t="s">
        <v>54</v>
      </c>
      <c r="T344" t="s">
        <v>54</v>
      </c>
      <c r="AA344" s="44"/>
    </row>
    <row r="345" spans="1:27">
      <c r="A345" s="148">
        <v>45356</v>
      </c>
      <c r="B345">
        <v>27</v>
      </c>
      <c r="C345" t="s">
        <v>84</v>
      </c>
      <c r="H345" s="521">
        <v>0.27179999999999999</v>
      </c>
      <c r="I345">
        <v>0.31532999999999994</v>
      </c>
      <c r="J345">
        <v>-4.3529999999999958E-2</v>
      </c>
      <c r="K345">
        <v>5.0641969144634702</v>
      </c>
      <c r="O345">
        <v>128</v>
      </c>
      <c r="P345">
        <v>41.7</v>
      </c>
      <c r="Q345">
        <v>100</v>
      </c>
      <c r="R345">
        <v>3</v>
      </c>
      <c r="S345" t="s">
        <v>54</v>
      </c>
      <c r="T345" t="s">
        <v>54</v>
      </c>
      <c r="AA345" s="44"/>
    </row>
    <row r="346" spans="1:27">
      <c r="H346" s="521"/>
      <c r="AA346" s="44"/>
    </row>
    <row r="347" spans="1:27">
      <c r="H347" s="521"/>
      <c r="AA347" s="44"/>
    </row>
    <row r="348" spans="1:27">
      <c r="A348" s="148" t="s">
        <v>127</v>
      </c>
      <c r="H348" s="521"/>
      <c r="AA348" s="44"/>
    </row>
    <row r="349" spans="1:27">
      <c r="A349" s="148" t="s">
        <v>38</v>
      </c>
      <c r="H349" s="521"/>
      <c r="AA349" s="44"/>
    </row>
    <row r="350" spans="1:27">
      <c r="A350" s="148" t="s">
        <v>128</v>
      </c>
      <c r="H350" s="521"/>
      <c r="AA350" s="44"/>
    </row>
    <row r="351" spans="1:27">
      <c r="A351" s="148">
        <v>45357</v>
      </c>
      <c r="B351">
        <v>1</v>
      </c>
      <c r="C351" t="s">
        <v>45</v>
      </c>
      <c r="H351" s="521">
        <v>0.14019999999999999</v>
      </c>
      <c r="AA351" s="44"/>
    </row>
    <row r="352" spans="1:27">
      <c r="A352" s="148">
        <v>45357</v>
      </c>
      <c r="B352">
        <v>2</v>
      </c>
      <c r="C352" t="s">
        <v>49</v>
      </c>
      <c r="H352" s="521">
        <v>0.18190000000000001</v>
      </c>
      <c r="AA352" s="44"/>
    </row>
    <row r="353" spans="1:27">
      <c r="A353" s="148">
        <v>45357</v>
      </c>
      <c r="B353">
        <v>3</v>
      </c>
      <c r="C353" t="s">
        <v>51</v>
      </c>
      <c r="G353">
        <v>0</v>
      </c>
      <c r="H353" s="521">
        <v>0</v>
      </c>
      <c r="I353">
        <v>0.23681000000000002</v>
      </c>
      <c r="J353">
        <v>0.23681000000000002</v>
      </c>
      <c r="X353" s="348">
        <f>A354</f>
        <v>45357</v>
      </c>
      <c r="Y353" s="44"/>
      <c r="Z353" s="44"/>
      <c r="AA353" s="44"/>
    </row>
    <row r="354" spans="1:27">
      <c r="A354" s="148">
        <v>45357</v>
      </c>
      <c r="B354">
        <v>4</v>
      </c>
      <c r="C354" t="s">
        <v>129</v>
      </c>
      <c r="D354">
        <v>238.5</v>
      </c>
      <c r="G354">
        <v>238.45230000000001</v>
      </c>
      <c r="H354" s="521">
        <v>27.8277</v>
      </c>
      <c r="I354">
        <v>0.23681000000000002</v>
      </c>
      <c r="J354">
        <v>27.590890000000002</v>
      </c>
      <c r="K354">
        <v>238.67494830498276</v>
      </c>
      <c r="L354" s="277">
        <v>100.09337226144714</v>
      </c>
      <c r="M354">
        <v>229.93939884263119</v>
      </c>
      <c r="N354">
        <v>96.429935396987659</v>
      </c>
      <c r="O354">
        <v>128</v>
      </c>
      <c r="P354">
        <v>41.7</v>
      </c>
      <c r="Q354">
        <v>100</v>
      </c>
      <c r="R354">
        <v>3</v>
      </c>
      <c r="S354" t="s">
        <v>54</v>
      </c>
      <c r="T354" t="s">
        <v>54</v>
      </c>
      <c r="X354" s="208">
        <f>((J353-INDEX(LINEST($H$353:$H$358,$G$353:$G$358),2))/INDEX(LINEST($H$353:$H$358,$G$353:$G$358),1)/100.09)*12.01</f>
        <v>0.89892391231145174</v>
      </c>
      <c r="Y354" s="208">
        <f>(J353-X354)^2</f>
        <v>0.43839483287637671</v>
      </c>
      <c r="Z354" s="44"/>
      <c r="AA354" s="44"/>
    </row>
    <row r="355" spans="1:27">
      <c r="A355" s="148">
        <v>45357</v>
      </c>
      <c r="B355">
        <v>5</v>
      </c>
      <c r="C355" t="s">
        <v>130</v>
      </c>
      <c r="D355">
        <v>1125</v>
      </c>
      <c r="G355">
        <v>1124.7750000000001</v>
      </c>
      <c r="H355" s="521">
        <v>131.56989999999999</v>
      </c>
      <c r="I355">
        <v>0.23681000000000002</v>
      </c>
      <c r="J355">
        <v>131.33309</v>
      </c>
      <c r="K355">
        <v>1114.3995990268083</v>
      </c>
      <c r="L355" s="277">
        <v>99.07755764724574</v>
      </c>
      <c r="M355">
        <v>1094.5153187427145</v>
      </c>
      <c r="N355">
        <v>97.309712497407418</v>
      </c>
      <c r="O355">
        <v>128</v>
      </c>
      <c r="P355">
        <v>41.7</v>
      </c>
      <c r="Q355">
        <v>100</v>
      </c>
      <c r="R355">
        <v>3</v>
      </c>
      <c r="S355" t="s">
        <v>54</v>
      </c>
      <c r="T355" t="s">
        <v>54</v>
      </c>
      <c r="X355" s="208">
        <f t="shared" ref="X355:X359" si="13">((J354-INDEX(LINEST($H$353:$H$358,$G$353:$G$358),2))/INDEX(LINEST($H$353:$H$358,$G$353:$G$358),1)/100.09)*12.01</f>
        <v>28.588389820442568</v>
      </c>
      <c r="Y355" s="208">
        <f t="shared" ref="Y355:Y359" si="14">(J354-X355)^2</f>
        <v>0.99500589178295273</v>
      </c>
      <c r="Z355" s="44"/>
      <c r="AA355" s="44"/>
    </row>
    <row r="356" spans="1:27">
      <c r="A356" s="148">
        <v>45357</v>
      </c>
      <c r="B356">
        <v>6</v>
      </c>
      <c r="C356" t="s">
        <v>131</v>
      </c>
      <c r="D356">
        <v>2167.5</v>
      </c>
      <c r="G356">
        <v>2167.0664999999999</v>
      </c>
      <c r="H356" s="521">
        <v>255.67400000000001</v>
      </c>
      <c r="I356">
        <v>0.23681000000000002</v>
      </c>
      <c r="J356">
        <v>255.43719000000002</v>
      </c>
      <c r="K356">
        <v>2162.0062588590322</v>
      </c>
      <c r="L356" s="277">
        <v>99.766493499808718</v>
      </c>
      <c r="M356">
        <v>2128.7850413905085</v>
      </c>
      <c r="N356">
        <v>98.233489437934111</v>
      </c>
      <c r="O356">
        <v>128</v>
      </c>
      <c r="P356">
        <v>41.7</v>
      </c>
      <c r="Q356">
        <v>100</v>
      </c>
      <c r="R356">
        <v>3</v>
      </c>
      <c r="S356" t="s">
        <v>54</v>
      </c>
      <c r="T356" t="s">
        <v>54</v>
      </c>
      <c r="X356" s="208">
        <f t="shared" si="13"/>
        <v>133.60256357933042</v>
      </c>
      <c r="Y356" s="208">
        <f t="shared" si="14"/>
        <v>5.1505103272788428</v>
      </c>
      <c r="Z356" s="44"/>
      <c r="AA356" s="44"/>
    </row>
    <row r="357" spans="1:27">
      <c r="A357" s="148">
        <v>45357</v>
      </c>
      <c r="B357">
        <v>7</v>
      </c>
      <c r="C357" t="s">
        <v>132</v>
      </c>
      <c r="D357">
        <v>3159.4</v>
      </c>
      <c r="G357">
        <v>3158.7681200000002</v>
      </c>
      <c r="H357" s="521">
        <v>375.00459999999998</v>
      </c>
      <c r="I357">
        <v>0.23681000000000002</v>
      </c>
      <c r="J357">
        <v>374.76778999999999</v>
      </c>
      <c r="K357">
        <v>3169.3181146460302</v>
      </c>
      <c r="L357" s="277">
        <v>100.33399079151242</v>
      </c>
      <c r="M357">
        <v>3123.2729476353038</v>
      </c>
      <c r="N357">
        <v>98.876296992490339</v>
      </c>
      <c r="O357">
        <v>128</v>
      </c>
      <c r="P357">
        <v>41.7</v>
      </c>
      <c r="Q357">
        <v>100</v>
      </c>
      <c r="R357">
        <v>3</v>
      </c>
      <c r="S357" t="s">
        <v>54</v>
      </c>
      <c r="T357" t="s">
        <v>54</v>
      </c>
      <c r="X357" s="208">
        <f t="shared" si="13"/>
        <v>259.22829275791349</v>
      </c>
      <c r="Y357" s="208">
        <f t="shared" si="14"/>
        <v>14.372460121059181</v>
      </c>
      <c r="Z357" s="44"/>
      <c r="AA357" s="44"/>
    </row>
    <row r="358" spans="1:27" ht="15.5">
      <c r="A358" s="148">
        <v>45357</v>
      </c>
      <c r="B358">
        <v>8</v>
      </c>
      <c r="C358" t="s">
        <v>133</v>
      </c>
      <c r="D358">
        <v>3458.7</v>
      </c>
      <c r="G358">
        <v>3458.0082600000001</v>
      </c>
      <c r="H358" s="521">
        <v>408.83609999999999</v>
      </c>
      <c r="I358">
        <v>0.23681000000000002</v>
      </c>
      <c r="J358">
        <v>408.59929</v>
      </c>
      <c r="K358">
        <v>3454.9017876440525</v>
      </c>
      <c r="L358" s="277">
        <v>99.910165849171591</v>
      </c>
      <c r="M358">
        <v>3405.2208939300585</v>
      </c>
      <c r="N358">
        <v>98.473474841556879</v>
      </c>
      <c r="O358">
        <v>128</v>
      </c>
      <c r="P358">
        <v>41.7</v>
      </c>
      <c r="Q358">
        <v>100</v>
      </c>
      <c r="R358">
        <v>3</v>
      </c>
      <c r="S358" t="s">
        <v>54</v>
      </c>
      <c r="T358" t="s">
        <v>54</v>
      </c>
      <c r="X358" s="208">
        <f t="shared" si="13"/>
        <v>380.0219944834634</v>
      </c>
      <c r="Y358" s="208">
        <f t="shared" si="14"/>
        <v>27.60666475404701</v>
      </c>
      <c r="Z358" s="44"/>
      <c r="AA358" s="52" t="s">
        <v>42</v>
      </c>
    </row>
    <row r="359" spans="1:27" ht="15.5">
      <c r="A359" s="148">
        <v>45357</v>
      </c>
      <c r="B359">
        <v>9</v>
      </c>
      <c r="C359" t="s">
        <v>61</v>
      </c>
      <c r="H359" s="521">
        <v>0</v>
      </c>
      <c r="I359">
        <v>0.23681000000000002</v>
      </c>
      <c r="J359">
        <v>-0.23681000000000002</v>
      </c>
      <c r="K359">
        <v>3.7714773655603606</v>
      </c>
      <c r="O359">
        <v>128</v>
      </c>
      <c r="P359">
        <v>41.7</v>
      </c>
      <c r="Q359">
        <v>100</v>
      </c>
      <c r="R359">
        <v>3</v>
      </c>
      <c r="S359" t="s">
        <v>54</v>
      </c>
      <c r="T359" t="s">
        <v>54</v>
      </c>
      <c r="X359" s="208">
        <f t="shared" si="13"/>
        <v>414.26829945409071</v>
      </c>
      <c r="Y359" s="208">
        <f t="shared" si="14"/>
        <v>32.137668190569876</v>
      </c>
      <c r="Z359" s="44"/>
      <c r="AA359" s="347">
        <f>(Y360/$AL$15)*100</f>
        <v>2.1577409252138695</v>
      </c>
    </row>
    <row r="360" spans="1:27" ht="15.5">
      <c r="A360" s="148">
        <v>45357</v>
      </c>
      <c r="B360">
        <v>10</v>
      </c>
      <c r="C360" t="s">
        <v>63</v>
      </c>
      <c r="H360" s="521">
        <v>0.18390000000000001</v>
      </c>
      <c r="I360">
        <v>0.23681000000000002</v>
      </c>
      <c r="J360">
        <v>-5.2910000000000013E-2</v>
      </c>
      <c r="K360">
        <v>5.3238423941383521</v>
      </c>
      <c r="O360">
        <v>128</v>
      </c>
      <c r="P360">
        <v>41.7</v>
      </c>
      <c r="Q360">
        <v>100</v>
      </c>
      <c r="R360">
        <v>3</v>
      </c>
      <c r="S360" t="s">
        <v>54</v>
      </c>
      <c r="T360" t="s">
        <v>54</v>
      </c>
      <c r="X360" s="44"/>
      <c r="Y360" s="347">
        <f>SQRT(SUM(Y354:Y359)/(6-2))</f>
        <v>4.4916785313959808</v>
      </c>
      <c r="Z360" s="52" t="s">
        <v>60</v>
      </c>
      <c r="AA360" s="44"/>
    </row>
    <row r="361" spans="1:27" ht="15.5">
      <c r="A361" s="148">
        <v>45357</v>
      </c>
      <c r="B361">
        <v>11</v>
      </c>
      <c r="C361" t="s">
        <v>64</v>
      </c>
      <c r="D361">
        <v>917.2</v>
      </c>
      <c r="H361" s="521">
        <v>16.284700000000001</v>
      </c>
      <c r="I361">
        <v>0.23681000000000002</v>
      </c>
      <c r="J361">
        <v>16.047890000000002</v>
      </c>
      <c r="K361">
        <v>141.23639732686556</v>
      </c>
      <c r="L361" s="277">
        <v>15.398647767865848</v>
      </c>
      <c r="M361">
        <v>133.7413247377186</v>
      </c>
      <c r="N361">
        <v>14.581478929101461</v>
      </c>
      <c r="O361">
        <v>128</v>
      </c>
      <c r="P361">
        <v>41.7</v>
      </c>
      <c r="Q361">
        <v>100</v>
      </c>
      <c r="R361">
        <v>3</v>
      </c>
      <c r="S361" t="s">
        <v>54</v>
      </c>
      <c r="T361" t="s">
        <v>54</v>
      </c>
      <c r="X361" s="44"/>
      <c r="Y361" s="347">
        <f>(Y360/12.01)*100.09</f>
        <v>37.433147727512385</v>
      </c>
      <c r="Z361" s="52" t="s">
        <v>62</v>
      </c>
      <c r="AA361" s="44"/>
    </row>
    <row r="362" spans="1:27">
      <c r="A362" s="148">
        <v>45357</v>
      </c>
      <c r="B362">
        <v>12</v>
      </c>
      <c r="C362" t="s">
        <v>64</v>
      </c>
      <c r="D362">
        <v>2050.6</v>
      </c>
      <c r="H362" s="521">
        <v>30.8034</v>
      </c>
      <c r="I362">
        <v>0.23681000000000002</v>
      </c>
      <c r="J362">
        <v>30.566590000000001</v>
      </c>
      <c r="K362">
        <v>263.7938858554968</v>
      </c>
      <c r="L362" s="277">
        <v>12.86422929169496</v>
      </c>
      <c r="M362">
        <v>254.73855063280601</v>
      </c>
      <c r="N362">
        <v>12.422634869443383</v>
      </c>
      <c r="O362">
        <v>128</v>
      </c>
      <c r="P362">
        <v>41.7</v>
      </c>
      <c r="Q362">
        <v>100</v>
      </c>
      <c r="R362">
        <v>3</v>
      </c>
      <c r="S362" t="s">
        <v>54</v>
      </c>
      <c r="T362" t="s">
        <v>54</v>
      </c>
      <c r="AA362" s="44"/>
    </row>
    <row r="363" spans="1:27">
      <c r="A363" s="148">
        <v>45357</v>
      </c>
      <c r="B363">
        <v>13</v>
      </c>
      <c r="C363" t="s">
        <v>65</v>
      </c>
      <c r="H363" s="521">
        <v>0.3256</v>
      </c>
      <c r="I363">
        <v>0.23681000000000002</v>
      </c>
      <c r="J363">
        <v>8.878999999999998E-2</v>
      </c>
      <c r="K363">
        <v>6.5199822774961627</v>
      </c>
      <c r="O363">
        <v>128</v>
      </c>
      <c r="P363">
        <v>41.7</v>
      </c>
      <c r="Q363">
        <v>100</v>
      </c>
      <c r="R363">
        <v>3</v>
      </c>
      <c r="S363" t="s">
        <v>54</v>
      </c>
      <c r="T363" t="s">
        <v>54</v>
      </c>
      <c r="AA363" s="44"/>
    </row>
    <row r="364" spans="1:27">
      <c r="A364" s="148">
        <v>45357</v>
      </c>
      <c r="B364">
        <v>14</v>
      </c>
      <c r="C364" t="s">
        <v>66</v>
      </c>
      <c r="H364" s="521">
        <v>0.2722</v>
      </c>
      <c r="I364">
        <v>0.23681000000000002</v>
      </c>
      <c r="J364">
        <v>3.5389999999999977E-2</v>
      </c>
      <c r="K364">
        <v>6.0692139657720485</v>
      </c>
      <c r="O364">
        <v>128</v>
      </c>
      <c r="P364">
        <v>41.7</v>
      </c>
      <c r="Q364">
        <v>100</v>
      </c>
      <c r="R364">
        <v>3</v>
      </c>
      <c r="S364" t="s">
        <v>54</v>
      </c>
      <c r="T364" t="s">
        <v>54</v>
      </c>
      <c r="AA364" s="44"/>
    </row>
    <row r="365" spans="1:27">
      <c r="A365" s="148">
        <v>45357</v>
      </c>
      <c r="B365">
        <v>15</v>
      </c>
      <c r="C365" t="s">
        <v>134</v>
      </c>
      <c r="D365">
        <v>3027.5</v>
      </c>
      <c r="E365" t="s">
        <v>68</v>
      </c>
      <c r="H365" s="521">
        <v>257.37790000000001</v>
      </c>
      <c r="I365">
        <v>0.23681000000000002</v>
      </c>
      <c r="J365">
        <v>257.14109000000002</v>
      </c>
      <c r="K365">
        <v>2176.3894821988583</v>
      </c>
      <c r="L365" s="277">
        <v>71.887348710119184</v>
      </c>
      <c r="M365">
        <v>2142.9851538801004</v>
      </c>
      <c r="N365">
        <v>70.783985264412891</v>
      </c>
      <c r="O365">
        <v>128</v>
      </c>
      <c r="P365">
        <v>41.7</v>
      </c>
      <c r="Q365">
        <v>100</v>
      </c>
      <c r="R365">
        <v>3</v>
      </c>
      <c r="S365" t="s">
        <v>54</v>
      </c>
      <c r="T365" t="s">
        <v>54</v>
      </c>
      <c r="AA365" s="44"/>
    </row>
    <row r="366" spans="1:27">
      <c r="A366" s="148">
        <v>45357</v>
      </c>
      <c r="B366">
        <v>16</v>
      </c>
      <c r="C366" t="s">
        <v>135</v>
      </c>
      <c r="D366">
        <v>2229.6999999999998</v>
      </c>
      <c r="H366" s="521">
        <v>199.68279999999999</v>
      </c>
      <c r="I366">
        <v>0.23681000000000002</v>
      </c>
      <c r="J366">
        <v>199.44598999999999</v>
      </c>
      <c r="K366">
        <v>1689.3647102558996</v>
      </c>
      <c r="L366" s="277">
        <v>75.766457830914462</v>
      </c>
      <c r="M366">
        <v>1662.1606277352207</v>
      </c>
      <c r="N366">
        <v>74.546379680460191</v>
      </c>
      <c r="O366">
        <v>128</v>
      </c>
      <c r="P366">
        <v>41.7</v>
      </c>
      <c r="Q366">
        <v>100</v>
      </c>
      <c r="R366">
        <v>3</v>
      </c>
      <c r="S366" t="s">
        <v>54</v>
      </c>
      <c r="T366" t="s">
        <v>54</v>
      </c>
      <c r="AA366" s="44"/>
    </row>
    <row r="367" spans="1:27">
      <c r="A367" s="148">
        <v>45357</v>
      </c>
      <c r="B367">
        <v>17</v>
      </c>
      <c r="C367" t="s">
        <v>136</v>
      </c>
      <c r="D367">
        <v>2197.1</v>
      </c>
      <c r="H367" s="521">
        <v>197.61349999999999</v>
      </c>
      <c r="I367">
        <v>0.23681000000000002</v>
      </c>
      <c r="J367">
        <v>197.37669</v>
      </c>
      <c r="K367">
        <v>1671.8970161088826</v>
      </c>
      <c r="L367" s="277">
        <v>76.095626785712184</v>
      </c>
      <c r="M367">
        <v>1644.9153124146546</v>
      </c>
      <c r="N367">
        <v>74.867566902492143</v>
      </c>
      <c r="O367">
        <v>128</v>
      </c>
      <c r="P367">
        <v>41.7</v>
      </c>
      <c r="Q367">
        <v>100</v>
      </c>
      <c r="R367">
        <v>3</v>
      </c>
      <c r="S367" t="s">
        <v>54</v>
      </c>
      <c r="T367" t="s">
        <v>54</v>
      </c>
      <c r="AA367" s="44"/>
    </row>
    <row r="368" spans="1:27">
      <c r="A368" s="148">
        <v>45357</v>
      </c>
      <c r="B368">
        <v>18</v>
      </c>
      <c r="C368" t="s">
        <v>137</v>
      </c>
      <c r="D368">
        <v>2130.3000000000002</v>
      </c>
      <c r="H368" s="521">
        <v>192.2826</v>
      </c>
      <c r="I368">
        <v>0.23681000000000002</v>
      </c>
      <c r="J368">
        <v>192.04579000000001</v>
      </c>
      <c r="K368">
        <v>1626.8970012592556</v>
      </c>
      <c r="L368" s="277">
        <v>76.369384652830846</v>
      </c>
      <c r="M368">
        <v>1600.4881866028313</v>
      </c>
      <c r="N368">
        <v>75.129708801710152</v>
      </c>
      <c r="O368">
        <v>128</v>
      </c>
      <c r="P368">
        <v>41.7</v>
      </c>
      <c r="Q368">
        <v>100</v>
      </c>
      <c r="R368">
        <v>3</v>
      </c>
      <c r="S368" t="s">
        <v>54</v>
      </c>
      <c r="T368" t="s">
        <v>54</v>
      </c>
      <c r="AA368" s="44"/>
    </row>
    <row r="369" spans="1:27">
      <c r="A369" s="148">
        <v>45357</v>
      </c>
      <c r="B369">
        <v>19</v>
      </c>
      <c r="C369" t="s">
        <v>74</v>
      </c>
      <c r="H369" s="521">
        <v>0.32429999999999998</v>
      </c>
      <c r="I369">
        <v>0.23681000000000002</v>
      </c>
      <c r="J369">
        <v>8.7489999999999957E-2</v>
      </c>
      <c r="K369">
        <v>6.5090085170983851</v>
      </c>
      <c r="O369">
        <v>128</v>
      </c>
      <c r="P369">
        <v>41.7</v>
      </c>
      <c r="Q369">
        <v>100</v>
      </c>
      <c r="R369">
        <v>3</v>
      </c>
      <c r="S369" t="s">
        <v>54</v>
      </c>
      <c r="T369" t="s">
        <v>54</v>
      </c>
      <c r="AA369" s="44"/>
    </row>
    <row r="370" spans="1:27">
      <c r="A370" s="148">
        <v>45357</v>
      </c>
      <c r="B370">
        <v>20</v>
      </c>
      <c r="C370" t="s">
        <v>138</v>
      </c>
      <c r="D370">
        <v>2587.6999999999998</v>
      </c>
      <c r="H370" s="521">
        <v>236.73929999999999</v>
      </c>
      <c r="I370">
        <v>0.23681000000000002</v>
      </c>
      <c r="J370">
        <v>236.50248999999999</v>
      </c>
      <c r="K370">
        <v>2002.1717503945638</v>
      </c>
      <c r="L370" s="277">
        <v>77.372637878987675</v>
      </c>
      <c r="M370">
        <v>1970.9853642048292</v>
      </c>
      <c r="N370">
        <v>76.167460068973583</v>
      </c>
      <c r="O370">
        <v>128</v>
      </c>
      <c r="P370">
        <v>41.7</v>
      </c>
      <c r="Q370">
        <v>100</v>
      </c>
      <c r="R370">
        <v>3</v>
      </c>
      <c r="S370" t="s">
        <v>54</v>
      </c>
      <c r="T370" t="s">
        <v>54</v>
      </c>
      <c r="AA370" s="44"/>
    </row>
    <row r="371" spans="1:27">
      <c r="A371" s="148">
        <v>45357</v>
      </c>
      <c r="B371">
        <v>21</v>
      </c>
      <c r="C371" t="s">
        <v>139</v>
      </c>
      <c r="D371">
        <v>2449.4</v>
      </c>
      <c r="H371" s="521">
        <v>215.31630000000001</v>
      </c>
      <c r="I371">
        <v>0.23681000000000002</v>
      </c>
      <c r="J371">
        <v>215.07949000000002</v>
      </c>
      <c r="K371">
        <v>1821.3326203933334</v>
      </c>
      <c r="L371" s="277">
        <v>74.358317154949518</v>
      </c>
      <c r="M371">
        <v>1792.4484724479603</v>
      </c>
      <c r="N371">
        <v>73.179083548949137</v>
      </c>
      <c r="O371">
        <v>128</v>
      </c>
      <c r="P371">
        <v>41.7</v>
      </c>
      <c r="Q371">
        <v>100</v>
      </c>
      <c r="R371">
        <v>3</v>
      </c>
      <c r="S371" t="s">
        <v>54</v>
      </c>
      <c r="T371" t="s">
        <v>54</v>
      </c>
      <c r="AA371" s="44"/>
    </row>
    <row r="372" spans="1:27">
      <c r="A372" s="148">
        <v>45357</v>
      </c>
      <c r="B372">
        <v>22</v>
      </c>
      <c r="C372" t="s">
        <v>140</v>
      </c>
      <c r="D372">
        <v>2636</v>
      </c>
      <c r="H372" s="521">
        <v>231.83930000000001</v>
      </c>
      <c r="I372">
        <v>0.23681000000000002</v>
      </c>
      <c r="J372">
        <v>231.60249000000002</v>
      </c>
      <c r="K372">
        <v>1960.8091150490927</v>
      </c>
      <c r="L372" s="277">
        <v>74.385778264381358</v>
      </c>
      <c r="M372">
        <v>1930.1493109159035</v>
      </c>
      <c r="N372">
        <v>73.222659746430324</v>
      </c>
      <c r="O372">
        <v>128</v>
      </c>
      <c r="P372">
        <v>41.7</v>
      </c>
      <c r="Q372">
        <v>100</v>
      </c>
      <c r="R372">
        <v>3</v>
      </c>
      <c r="S372" t="s">
        <v>54</v>
      </c>
      <c r="T372" t="s">
        <v>54</v>
      </c>
      <c r="AA372" s="44"/>
    </row>
    <row r="373" spans="1:27">
      <c r="A373" s="148">
        <v>45357</v>
      </c>
      <c r="B373">
        <v>23</v>
      </c>
      <c r="C373" t="s">
        <v>141</v>
      </c>
      <c r="D373">
        <v>3003.5</v>
      </c>
      <c r="H373" s="521">
        <v>252.72319999999999</v>
      </c>
      <c r="I373">
        <v>0.23681000000000002</v>
      </c>
      <c r="J373">
        <v>252.48639</v>
      </c>
      <c r="K373">
        <v>2137.0975110269064</v>
      </c>
      <c r="L373" s="277">
        <v>71.153571201162194</v>
      </c>
      <c r="M373">
        <v>2104.1934034221485</v>
      </c>
      <c r="N373">
        <v>70.058045727389668</v>
      </c>
      <c r="O373">
        <v>128</v>
      </c>
      <c r="P373">
        <v>41.7</v>
      </c>
      <c r="Q373">
        <v>100</v>
      </c>
      <c r="R373">
        <v>3</v>
      </c>
      <c r="S373" t="s">
        <v>54</v>
      </c>
      <c r="T373" t="s">
        <v>54</v>
      </c>
      <c r="AA373" s="44"/>
    </row>
    <row r="374" spans="1:27">
      <c r="A374" s="148">
        <v>45357</v>
      </c>
      <c r="B374">
        <v>25</v>
      </c>
      <c r="C374" t="s">
        <v>82</v>
      </c>
      <c r="H374" s="521">
        <v>0.51819999999999999</v>
      </c>
      <c r="I374">
        <v>0.23681000000000002</v>
      </c>
      <c r="J374">
        <v>0.28138999999999997</v>
      </c>
      <c r="K374">
        <v>8.1457870871977462</v>
      </c>
      <c r="L374" s="277" t="e">
        <v>#DIV/0!</v>
      </c>
      <c r="M374">
        <v>2.3450728642797669</v>
      </c>
      <c r="N374" t="e">
        <v>#DIV/0!</v>
      </c>
      <c r="O374">
        <v>128</v>
      </c>
      <c r="P374">
        <v>41.7</v>
      </c>
      <c r="Q374">
        <v>100</v>
      </c>
      <c r="R374">
        <v>3</v>
      </c>
      <c r="S374" t="s">
        <v>54</v>
      </c>
      <c r="T374" t="s">
        <v>54</v>
      </c>
      <c r="AA374" s="44"/>
    </row>
    <row r="375" spans="1:27">
      <c r="A375" s="148">
        <v>45357</v>
      </c>
      <c r="B375">
        <v>26</v>
      </c>
      <c r="C375" t="s">
        <v>142</v>
      </c>
      <c r="D375">
        <v>2087.9</v>
      </c>
      <c r="G375">
        <v>2087.4824200000003</v>
      </c>
      <c r="H375" s="521">
        <v>249.7611</v>
      </c>
      <c r="I375">
        <v>0.23681000000000002</v>
      </c>
      <c r="J375">
        <v>249.52429000000001</v>
      </c>
      <c r="K375">
        <v>2112.0933758928613</v>
      </c>
      <c r="L375" s="277">
        <v>101.17897787579264</v>
      </c>
      <c r="M375">
        <v>2079.5075925145711</v>
      </c>
      <c r="N375">
        <v>99.598045524908812</v>
      </c>
      <c r="O375">
        <v>128</v>
      </c>
      <c r="P375">
        <v>41.7</v>
      </c>
      <c r="Q375">
        <v>100</v>
      </c>
      <c r="R375">
        <v>3</v>
      </c>
      <c r="S375" t="s">
        <v>54</v>
      </c>
      <c r="T375" t="s">
        <v>54</v>
      </c>
      <c r="AA375" s="44"/>
    </row>
    <row r="376" spans="1:27">
      <c r="A376" s="148">
        <v>45357</v>
      </c>
      <c r="B376">
        <v>27</v>
      </c>
      <c r="C376" t="s">
        <v>84</v>
      </c>
      <c r="H376" s="521">
        <v>0.42180000000000001</v>
      </c>
      <c r="I376">
        <v>0.23681000000000002</v>
      </c>
      <c r="J376">
        <v>0.18498999999999999</v>
      </c>
      <c r="K376">
        <v>7.3320405469317409</v>
      </c>
      <c r="O376">
        <v>128</v>
      </c>
      <c r="P376">
        <v>41.7</v>
      </c>
      <c r="Q376">
        <v>100</v>
      </c>
      <c r="R376">
        <v>3</v>
      </c>
      <c r="S376" t="s">
        <v>54</v>
      </c>
      <c r="T376" t="s">
        <v>54</v>
      </c>
      <c r="AA376" s="44"/>
    </row>
    <row r="377" spans="1:27">
      <c r="H377" s="521"/>
      <c r="AA377" s="44"/>
    </row>
    <row r="378" spans="1:27">
      <c r="H378" s="521"/>
      <c r="AA378" s="44"/>
    </row>
    <row r="379" spans="1:27">
      <c r="A379" s="148" t="s">
        <v>85</v>
      </c>
      <c r="H379" s="521"/>
      <c r="AA379" s="44"/>
    </row>
    <row r="380" spans="1:27">
      <c r="A380" s="148" t="s">
        <v>38</v>
      </c>
      <c r="H380" s="521"/>
      <c r="AA380" s="44"/>
    </row>
    <row r="381" spans="1:27">
      <c r="A381" s="148" t="s">
        <v>143</v>
      </c>
      <c r="H381" s="521"/>
      <c r="AA381" s="44"/>
    </row>
    <row r="382" spans="1:27">
      <c r="A382" s="148">
        <v>45370</v>
      </c>
      <c r="B382">
        <v>1</v>
      </c>
      <c r="C382" t="s">
        <v>45</v>
      </c>
      <c r="H382" s="521">
        <v>0.14180000000000001</v>
      </c>
      <c r="AA382" s="44"/>
    </row>
    <row r="383" spans="1:27">
      <c r="A383" s="148">
        <v>45370</v>
      </c>
      <c r="B383">
        <v>2</v>
      </c>
      <c r="C383" t="s">
        <v>49</v>
      </c>
      <c r="H383" s="521">
        <v>0.2757</v>
      </c>
      <c r="X383" s="348">
        <f>A384</f>
        <v>45370</v>
      </c>
      <c r="Y383" s="44"/>
      <c r="Z383" s="44"/>
      <c r="AA383" s="44"/>
    </row>
    <row r="384" spans="1:27">
      <c r="A384" s="148">
        <v>45370</v>
      </c>
      <c r="B384">
        <v>3</v>
      </c>
      <c r="C384" t="s">
        <v>51</v>
      </c>
      <c r="G384">
        <v>0</v>
      </c>
      <c r="H384" s="521">
        <v>0.2296</v>
      </c>
      <c r="I384">
        <v>0.28501000000000004</v>
      </c>
      <c r="J384">
        <v>0.28501000000000004</v>
      </c>
      <c r="X384" s="208">
        <f>((J384-INDEX(LINEST($H$384:$H$389,$G$384:$G$389),2))/INDEX(LINEST($H$384:$H$389,$G$384:$G$389),1)/100.09)*12.01</f>
        <v>1.0825961113499558</v>
      </c>
      <c r="Y384" s="208">
        <f>(J384-X384)^2</f>
        <v>0.6361436050183441</v>
      </c>
      <c r="Z384" s="44"/>
      <c r="AA384" s="44"/>
    </row>
    <row r="385" spans="1:27">
      <c r="A385" s="148">
        <v>45370</v>
      </c>
      <c r="B385">
        <v>4</v>
      </c>
      <c r="C385" t="s">
        <v>144</v>
      </c>
      <c r="D385">
        <v>317.89999999999998</v>
      </c>
      <c r="G385">
        <v>317.83641999999998</v>
      </c>
      <c r="H385" s="521">
        <v>36.967799999999997</v>
      </c>
      <c r="I385">
        <v>0.28501000000000004</v>
      </c>
      <c r="J385">
        <v>36.682789999999997</v>
      </c>
      <c r="K385">
        <v>314.22276168865613</v>
      </c>
      <c r="L385" s="277">
        <v>98.863044609128224</v>
      </c>
      <c r="M385">
        <v>305.71027902581181</v>
      </c>
      <c r="N385">
        <v>96.184785565421308</v>
      </c>
      <c r="O385">
        <v>128</v>
      </c>
      <c r="P385">
        <v>41.7</v>
      </c>
      <c r="Q385">
        <v>100</v>
      </c>
      <c r="R385">
        <v>3</v>
      </c>
      <c r="S385" t="s">
        <v>54</v>
      </c>
      <c r="T385" t="s">
        <v>54</v>
      </c>
      <c r="X385" s="208">
        <f t="shared" ref="X385:X389" si="15">((J385-INDEX(LINEST($H$384:$H$389,$G$384:$G$389),2))/INDEX(LINEST($H$384:$H$389,$G$384:$G$389),1)/100.09)*12.01</f>
        <v>37.547830573388907</v>
      </c>
      <c r="Y385" s="208">
        <f t="shared" ref="Y385:Y389" si="16">(J385-X385)^2</f>
        <v>0.74829519360901442</v>
      </c>
      <c r="Z385" s="44"/>
      <c r="AA385" s="44"/>
    </row>
    <row r="386" spans="1:27">
      <c r="A386" s="148">
        <v>45370</v>
      </c>
      <c r="B386">
        <v>5</v>
      </c>
      <c r="C386" t="s">
        <v>145</v>
      </c>
      <c r="D386">
        <v>1040.5999999999999</v>
      </c>
      <c r="G386">
        <v>1040.3918799999999</v>
      </c>
      <c r="H386" s="521">
        <v>124.8741</v>
      </c>
      <c r="I386">
        <v>0.28501000000000004</v>
      </c>
      <c r="J386">
        <v>124.58909</v>
      </c>
      <c r="K386">
        <v>1048.5190171441454</v>
      </c>
      <c r="L386" s="277">
        <v>100.78116114710024</v>
      </c>
      <c r="M386">
        <v>1038.3115751956705</v>
      </c>
      <c r="N386">
        <v>99.800046036083117</v>
      </c>
      <c r="O386">
        <v>128</v>
      </c>
      <c r="P386">
        <v>41.7</v>
      </c>
      <c r="Q386">
        <v>100</v>
      </c>
      <c r="R386">
        <v>3</v>
      </c>
      <c r="S386" t="s">
        <v>54</v>
      </c>
      <c r="T386" t="s">
        <v>54</v>
      </c>
      <c r="X386" s="208">
        <f t="shared" si="15"/>
        <v>125.61704359106017</v>
      </c>
      <c r="Y386" s="208">
        <f t="shared" si="16"/>
        <v>1.0566885853734951</v>
      </c>
      <c r="Z386" s="44"/>
      <c r="AA386" s="44"/>
    </row>
    <row r="387" spans="1:27">
      <c r="A387" s="148">
        <v>45370</v>
      </c>
      <c r="B387">
        <v>6</v>
      </c>
      <c r="C387" t="s">
        <v>146</v>
      </c>
      <c r="D387">
        <v>1984</v>
      </c>
      <c r="G387">
        <v>1983.6032</v>
      </c>
      <c r="H387" s="521">
        <v>234.12790000000001</v>
      </c>
      <c r="I387">
        <v>0.28501000000000004</v>
      </c>
      <c r="J387">
        <v>233.84289000000001</v>
      </c>
      <c r="K387">
        <v>1961.1345661353207</v>
      </c>
      <c r="L387" s="277">
        <v>98.86728183012211</v>
      </c>
      <c r="M387">
        <v>1948.8205545462117</v>
      </c>
      <c r="N387">
        <v>98.246491765400037</v>
      </c>
      <c r="O387">
        <v>128</v>
      </c>
      <c r="P387">
        <v>41.7</v>
      </c>
      <c r="Q387">
        <v>100</v>
      </c>
      <c r="R387">
        <v>3</v>
      </c>
      <c r="S387" t="s">
        <v>54</v>
      </c>
      <c r="T387" t="s">
        <v>54</v>
      </c>
      <c r="X387" s="208">
        <f t="shared" si="15"/>
        <v>235.0733190251309</v>
      </c>
      <c r="Y387" s="208">
        <f t="shared" si="16"/>
        <v>1.5139555858845486</v>
      </c>
      <c r="Z387" s="44"/>
      <c r="AA387" s="44"/>
    </row>
    <row r="388" spans="1:27" ht="15.5">
      <c r="A388" s="148">
        <v>45370</v>
      </c>
      <c r="B388">
        <v>7</v>
      </c>
      <c r="C388" t="s">
        <v>147</v>
      </c>
      <c r="D388">
        <v>2866.5</v>
      </c>
      <c r="G388">
        <v>2865.9267</v>
      </c>
      <c r="H388" s="521">
        <v>340.74930000000001</v>
      </c>
      <c r="I388">
        <v>0.28501000000000004</v>
      </c>
      <c r="J388">
        <v>340.46429000000001</v>
      </c>
      <c r="K388">
        <v>2851.7612307932795</v>
      </c>
      <c r="L388" s="277">
        <v>99.50572813998626</v>
      </c>
      <c r="M388">
        <v>2837.3914060033312</v>
      </c>
      <c r="N388">
        <v>99.004325756249486</v>
      </c>
      <c r="O388">
        <v>128</v>
      </c>
      <c r="P388">
        <v>41.7</v>
      </c>
      <c r="Q388">
        <v>100</v>
      </c>
      <c r="R388">
        <v>3</v>
      </c>
      <c r="S388" t="s">
        <v>54</v>
      </c>
      <c r="T388" t="s">
        <v>54</v>
      </c>
      <c r="X388" s="208">
        <f t="shared" si="15"/>
        <v>341.89231594392214</v>
      </c>
      <c r="Y388" s="208">
        <f t="shared" si="16"/>
        <v>2.0392580965147098</v>
      </c>
      <c r="Z388" s="44"/>
      <c r="AA388" s="52" t="s">
        <v>42</v>
      </c>
    </row>
    <row r="389" spans="1:27" ht="15.5">
      <c r="A389" s="148">
        <v>45370</v>
      </c>
      <c r="B389">
        <v>8</v>
      </c>
      <c r="C389" t="s">
        <v>148</v>
      </c>
      <c r="D389">
        <v>3550.3</v>
      </c>
      <c r="G389">
        <v>3549.5899400000003</v>
      </c>
      <c r="H389" s="521">
        <v>426.91579999999999</v>
      </c>
      <c r="I389">
        <v>0.28501000000000004</v>
      </c>
      <c r="J389">
        <v>426.63078999999999</v>
      </c>
      <c r="K389">
        <v>3571.5246413304699</v>
      </c>
      <c r="L389" s="277">
        <v>100.61795029006842</v>
      </c>
      <c r="M389">
        <v>3555.4934030890922</v>
      </c>
      <c r="N389">
        <v>100.16631394580446</v>
      </c>
      <c r="O389">
        <v>128</v>
      </c>
      <c r="P389">
        <v>41.7</v>
      </c>
      <c r="Q389">
        <v>100</v>
      </c>
      <c r="R389">
        <v>3</v>
      </c>
      <c r="S389" t="s">
        <v>54</v>
      </c>
      <c r="T389" t="s">
        <v>54</v>
      </c>
      <c r="X389" s="208">
        <f t="shared" si="15"/>
        <v>428.21850466403856</v>
      </c>
      <c r="Y389" s="208">
        <f t="shared" si="16"/>
        <v>2.5208378544031147</v>
      </c>
      <c r="Z389" s="44"/>
      <c r="AA389" s="347">
        <f>(Y390/$AL$15)*100</f>
        <v>0.70090236546577955</v>
      </c>
    </row>
    <row r="390" spans="1:27" ht="15.5">
      <c r="A390" s="148">
        <v>45370</v>
      </c>
      <c r="B390">
        <v>9</v>
      </c>
      <c r="C390" t="s">
        <v>61</v>
      </c>
      <c r="H390" s="521">
        <v>0.4199</v>
      </c>
      <c r="I390">
        <v>0.28501000000000004</v>
      </c>
      <c r="J390">
        <v>0.13488999999999995</v>
      </c>
      <c r="K390">
        <v>8.9319450491015733</v>
      </c>
      <c r="O390">
        <v>128</v>
      </c>
      <c r="P390">
        <v>41.7</v>
      </c>
      <c r="Q390">
        <v>100</v>
      </c>
      <c r="R390">
        <v>3</v>
      </c>
      <c r="S390" t="s">
        <v>54</v>
      </c>
      <c r="T390" t="s">
        <v>54</v>
      </c>
      <c r="X390" s="44"/>
      <c r="Y390" s="347">
        <f>SQRT(SUM(Y384:Y389)/(6-2))</f>
        <v>1.459038974873806</v>
      </c>
      <c r="Z390" s="52" t="s">
        <v>60</v>
      </c>
      <c r="AA390" s="44"/>
    </row>
    <row r="391" spans="1:27" ht="15.5">
      <c r="A391" s="148">
        <v>45370</v>
      </c>
      <c r="B391">
        <v>10</v>
      </c>
      <c r="C391" t="s">
        <v>63</v>
      </c>
      <c r="H391" s="521">
        <v>0.2737</v>
      </c>
      <c r="I391">
        <v>0.28501000000000004</v>
      </c>
      <c r="J391">
        <v>-1.1310000000000042E-2</v>
      </c>
      <c r="K391">
        <v>7.7107116159165496</v>
      </c>
      <c r="O391">
        <v>128</v>
      </c>
      <c r="P391">
        <v>41.7</v>
      </c>
      <c r="Q391">
        <v>100</v>
      </c>
      <c r="R391">
        <v>3</v>
      </c>
      <c r="S391" t="s">
        <v>54</v>
      </c>
      <c r="T391" t="s">
        <v>54</v>
      </c>
      <c r="X391" s="44"/>
      <c r="Y391" s="347">
        <f>(Y390/12.01)*100.09</f>
        <v>12.159468026238073</v>
      </c>
      <c r="Z391" s="52" t="s">
        <v>62</v>
      </c>
      <c r="AA391" s="44"/>
    </row>
    <row r="392" spans="1:27">
      <c r="A392" s="148">
        <v>45370</v>
      </c>
      <c r="B392">
        <v>11</v>
      </c>
      <c r="C392" t="s">
        <v>64</v>
      </c>
      <c r="D392">
        <v>1140.2</v>
      </c>
      <c r="H392" s="521">
        <v>17.246400000000001</v>
      </c>
      <c r="I392">
        <v>0.28501000000000004</v>
      </c>
      <c r="J392">
        <v>16.961390000000002</v>
      </c>
      <c r="K392">
        <v>149.48655765845714</v>
      </c>
      <c r="L392" s="277">
        <v>13.11055583743704</v>
      </c>
      <c r="M392">
        <v>141.35433181515407</v>
      </c>
      <c r="N392">
        <v>12.39732782100983</v>
      </c>
      <c r="O392">
        <v>128</v>
      </c>
      <c r="P392">
        <v>41.7</v>
      </c>
      <c r="Q392">
        <v>100</v>
      </c>
      <c r="R392">
        <v>3</v>
      </c>
      <c r="S392" t="s">
        <v>54</v>
      </c>
      <c r="T392" t="s">
        <v>54</v>
      </c>
      <c r="AA392" s="44"/>
    </row>
    <row r="393" spans="1:27">
      <c r="A393" s="148">
        <v>45370</v>
      </c>
      <c r="B393">
        <v>12</v>
      </c>
      <c r="C393" t="s">
        <v>64</v>
      </c>
      <c r="D393">
        <v>1862.2</v>
      </c>
      <c r="H393" s="521">
        <v>28.4451</v>
      </c>
      <c r="I393">
        <v>0.28501000000000004</v>
      </c>
      <c r="J393">
        <v>28.16009</v>
      </c>
      <c r="K393">
        <v>243.03120094306118</v>
      </c>
      <c r="L393" s="277">
        <v>13.050757219582277</v>
      </c>
      <c r="M393">
        <v>234.68304813488763</v>
      </c>
      <c r="N393">
        <v>12.602462041396606</v>
      </c>
      <c r="O393">
        <v>128</v>
      </c>
      <c r="P393">
        <v>41.7</v>
      </c>
      <c r="Q393">
        <v>100</v>
      </c>
      <c r="R393">
        <v>3</v>
      </c>
      <c r="S393" t="s">
        <v>54</v>
      </c>
      <c r="T393" t="s">
        <v>54</v>
      </c>
      <c r="AA393" s="44"/>
    </row>
    <row r="394" spans="1:27">
      <c r="A394" s="148">
        <v>45370</v>
      </c>
      <c r="B394">
        <v>13</v>
      </c>
      <c r="C394" t="s">
        <v>65</v>
      </c>
      <c r="H394" s="521">
        <v>0.2382</v>
      </c>
      <c r="I394">
        <v>0.28501000000000004</v>
      </c>
      <c r="J394">
        <v>-4.6810000000000046E-2</v>
      </c>
      <c r="K394">
        <v>7.414174085970803</v>
      </c>
      <c r="O394">
        <v>128</v>
      </c>
      <c r="P394">
        <v>41.7</v>
      </c>
      <c r="Q394">
        <v>100</v>
      </c>
      <c r="R394">
        <v>3</v>
      </c>
      <c r="S394" t="s">
        <v>54</v>
      </c>
      <c r="T394" t="s">
        <v>54</v>
      </c>
      <c r="AA394" s="44"/>
    </row>
    <row r="395" spans="1:27">
      <c r="A395" s="148">
        <v>45370</v>
      </c>
      <c r="B395">
        <v>14</v>
      </c>
      <c r="C395" t="s">
        <v>66</v>
      </c>
      <c r="H395" s="521">
        <v>0.27929999999999999</v>
      </c>
      <c r="I395">
        <v>0.28501000000000004</v>
      </c>
      <c r="J395">
        <v>-5.7100000000000484E-3</v>
      </c>
      <c r="K395">
        <v>7.7574893671192591</v>
      </c>
      <c r="O395">
        <v>128</v>
      </c>
      <c r="P395">
        <v>41.7</v>
      </c>
      <c r="Q395">
        <v>100</v>
      </c>
      <c r="R395">
        <v>3</v>
      </c>
      <c r="S395" t="s">
        <v>54</v>
      </c>
      <c r="T395" t="s">
        <v>54</v>
      </c>
      <c r="AA395" s="44"/>
    </row>
    <row r="396" spans="1:27">
      <c r="A396" s="148">
        <v>45370</v>
      </c>
      <c r="B396">
        <v>15</v>
      </c>
      <c r="C396" t="s">
        <v>149</v>
      </c>
      <c r="D396">
        <v>3131</v>
      </c>
      <c r="E396" t="s">
        <v>68</v>
      </c>
      <c r="H396" s="521">
        <v>273.80860000000001</v>
      </c>
      <c r="I396">
        <v>0.28501000000000004</v>
      </c>
      <c r="J396">
        <v>273.52359000000001</v>
      </c>
      <c r="K396">
        <v>2292.5941933048484</v>
      </c>
      <c r="L396" s="277">
        <v>73.22242712567386</v>
      </c>
      <c r="M396">
        <v>2279.5150810241466</v>
      </c>
      <c r="N396">
        <v>72.80469757343171</v>
      </c>
      <c r="O396">
        <v>128</v>
      </c>
      <c r="P396">
        <v>41.7</v>
      </c>
      <c r="Q396">
        <v>100</v>
      </c>
      <c r="R396">
        <v>3</v>
      </c>
      <c r="S396" t="s">
        <v>54</v>
      </c>
      <c r="T396" t="s">
        <v>54</v>
      </c>
      <c r="AA396" s="44"/>
    </row>
    <row r="397" spans="1:27">
      <c r="A397" s="148">
        <v>45370</v>
      </c>
      <c r="B397">
        <v>16</v>
      </c>
      <c r="C397" t="s">
        <v>150</v>
      </c>
      <c r="D397">
        <v>2893.9</v>
      </c>
      <c r="H397" s="521">
        <v>255.57409999999999</v>
      </c>
      <c r="I397">
        <v>0.28501000000000004</v>
      </c>
      <c r="J397">
        <v>255.28908999999999</v>
      </c>
      <c r="K397">
        <v>2140.2783175359541</v>
      </c>
      <c r="L397" s="277">
        <v>73.958267995989985</v>
      </c>
      <c r="M397">
        <v>2127.5507925145712</v>
      </c>
      <c r="N397">
        <v>73.518462715179211</v>
      </c>
      <c r="O397">
        <v>128</v>
      </c>
      <c r="P397">
        <v>41.7</v>
      </c>
      <c r="Q397">
        <v>100</v>
      </c>
      <c r="R397">
        <v>3</v>
      </c>
      <c r="S397" t="s">
        <v>54</v>
      </c>
      <c r="T397" t="s">
        <v>54</v>
      </c>
      <c r="AA397" s="44"/>
    </row>
    <row r="398" spans="1:27">
      <c r="A398" s="148">
        <v>45370</v>
      </c>
      <c r="B398">
        <v>17</v>
      </c>
      <c r="C398" t="s">
        <v>151</v>
      </c>
      <c r="D398">
        <v>2453.1999999999998</v>
      </c>
      <c r="H398" s="521">
        <v>210.3793</v>
      </c>
      <c r="I398">
        <v>0.28501000000000004</v>
      </c>
      <c r="J398">
        <v>210.09429</v>
      </c>
      <c r="K398">
        <v>1762.7584764544874</v>
      </c>
      <c r="L398" s="277">
        <v>71.855473522521095</v>
      </c>
      <c r="M398">
        <v>1750.9023718651126</v>
      </c>
      <c r="N398">
        <v>71.372182123965132</v>
      </c>
      <c r="O398">
        <v>128</v>
      </c>
      <c r="P398">
        <v>41.7</v>
      </c>
      <c r="Q398">
        <v>100</v>
      </c>
      <c r="R398">
        <v>3</v>
      </c>
      <c r="S398" t="s">
        <v>54</v>
      </c>
      <c r="T398" t="s">
        <v>54</v>
      </c>
      <c r="AA398" s="44"/>
    </row>
    <row r="399" spans="1:27">
      <c r="A399" s="148">
        <v>45370</v>
      </c>
      <c r="B399">
        <v>18</v>
      </c>
      <c r="C399" t="s">
        <v>152</v>
      </c>
      <c r="D399">
        <v>2211.5</v>
      </c>
      <c r="H399" s="521">
        <v>189.5907</v>
      </c>
      <c r="I399">
        <v>0.28501000000000004</v>
      </c>
      <c r="J399">
        <v>189.30569</v>
      </c>
      <c r="K399">
        <v>1589.1077695522292</v>
      </c>
      <c r="L399" s="277">
        <v>71.856557519883751</v>
      </c>
      <c r="M399">
        <v>1577.6524989258951</v>
      </c>
      <c r="N399">
        <v>71.338571057015386</v>
      </c>
      <c r="O399">
        <v>128</v>
      </c>
      <c r="P399">
        <v>41.7</v>
      </c>
      <c r="Q399">
        <v>100</v>
      </c>
      <c r="R399">
        <v>3</v>
      </c>
      <c r="S399" t="s">
        <v>54</v>
      </c>
      <c r="T399" t="s">
        <v>54</v>
      </c>
      <c r="AA399" s="44"/>
    </row>
    <row r="400" spans="1:27">
      <c r="A400" s="148">
        <v>45370</v>
      </c>
      <c r="B400">
        <v>19</v>
      </c>
      <c r="C400" t="s">
        <v>74</v>
      </c>
      <c r="H400" s="521">
        <v>0.38200000000000001</v>
      </c>
      <c r="I400">
        <v>0.28501000000000004</v>
      </c>
      <c r="J400">
        <v>9.6989999999999965E-2</v>
      </c>
      <c r="K400">
        <v>8.6153599114975208</v>
      </c>
      <c r="O400">
        <v>128</v>
      </c>
      <c r="P400">
        <v>41.7</v>
      </c>
      <c r="Q400">
        <v>100</v>
      </c>
      <c r="R400">
        <v>3</v>
      </c>
      <c r="S400" t="s">
        <v>54</v>
      </c>
      <c r="T400" t="s">
        <v>54</v>
      </c>
      <c r="AA400" s="44"/>
    </row>
    <row r="401" spans="1:27">
      <c r="A401" s="148">
        <v>45370</v>
      </c>
      <c r="B401">
        <v>20</v>
      </c>
      <c r="C401" t="s">
        <v>153</v>
      </c>
      <c r="D401">
        <v>2357.3000000000002</v>
      </c>
      <c r="H401" s="521">
        <v>199.2766</v>
      </c>
      <c r="I401">
        <v>0.28501000000000004</v>
      </c>
      <c r="J401">
        <v>198.99159</v>
      </c>
      <c r="K401">
        <v>1670.0157374762155</v>
      </c>
      <c r="L401" s="277">
        <v>70.84442953702181</v>
      </c>
      <c r="M401">
        <v>1658.373708834305</v>
      </c>
      <c r="N401">
        <v>70.350558216362145</v>
      </c>
      <c r="O401">
        <v>128</v>
      </c>
      <c r="P401">
        <v>41.7</v>
      </c>
      <c r="Q401">
        <v>100</v>
      </c>
      <c r="R401">
        <v>3</v>
      </c>
      <c r="S401" t="s">
        <v>54</v>
      </c>
      <c r="T401" t="s">
        <v>54</v>
      </c>
      <c r="AA401" s="44"/>
    </row>
    <row r="402" spans="1:27">
      <c r="A402" s="148">
        <v>45370</v>
      </c>
      <c r="B402">
        <v>21</v>
      </c>
      <c r="C402" t="s">
        <v>154</v>
      </c>
      <c r="D402">
        <v>2141.8000000000002</v>
      </c>
      <c r="H402" s="521">
        <v>184.40039999999999</v>
      </c>
      <c r="I402">
        <v>0.28501000000000004</v>
      </c>
      <c r="J402">
        <v>184.11538999999999</v>
      </c>
      <c r="K402">
        <v>1545.7523120401893</v>
      </c>
      <c r="L402" s="277">
        <v>72.170712113184663</v>
      </c>
      <c r="M402">
        <v>1534.3971178268112</v>
      </c>
      <c r="N402">
        <v>71.640541499057377</v>
      </c>
      <c r="O402">
        <v>128</v>
      </c>
      <c r="P402">
        <v>41.7</v>
      </c>
      <c r="Q402">
        <v>100</v>
      </c>
      <c r="R402">
        <v>3</v>
      </c>
      <c r="S402" t="s">
        <v>54</v>
      </c>
      <c r="T402" t="s">
        <v>54</v>
      </c>
      <c r="AA402" s="44"/>
    </row>
    <row r="403" spans="1:27">
      <c r="A403" s="148">
        <v>45370</v>
      </c>
      <c r="B403">
        <v>22</v>
      </c>
      <c r="C403" t="s">
        <v>155</v>
      </c>
      <c r="D403">
        <v>3099.3</v>
      </c>
      <c r="H403" s="521">
        <v>262.73719999999997</v>
      </c>
      <c r="I403">
        <v>0.28501000000000004</v>
      </c>
      <c r="J403">
        <v>262.45218999999997</v>
      </c>
      <c r="K403">
        <v>2200.1129085431198</v>
      </c>
      <c r="L403" s="277">
        <v>70.987413562517972</v>
      </c>
      <c r="M403">
        <v>2187.2472687010822</v>
      </c>
      <c r="N403">
        <v>70.572299186948086</v>
      </c>
      <c r="O403">
        <v>128</v>
      </c>
      <c r="P403">
        <v>41.7</v>
      </c>
      <c r="Q403">
        <v>100</v>
      </c>
      <c r="R403">
        <v>3</v>
      </c>
      <c r="S403" t="s">
        <v>54</v>
      </c>
      <c r="T403" t="s">
        <v>54</v>
      </c>
      <c r="AA403" s="44"/>
    </row>
    <row r="404" spans="1:27">
      <c r="A404" s="148">
        <v>45370</v>
      </c>
      <c r="B404">
        <v>23</v>
      </c>
      <c r="C404" t="s">
        <v>156</v>
      </c>
      <c r="D404">
        <v>2024</v>
      </c>
      <c r="H404" s="521">
        <v>168.7525</v>
      </c>
      <c r="I404">
        <v>0.28501000000000004</v>
      </c>
      <c r="J404">
        <v>168.46749</v>
      </c>
      <c r="K404">
        <v>1415.0427454250325</v>
      </c>
      <c r="L404" s="277">
        <v>69.913179121790151</v>
      </c>
      <c r="O404">
        <v>128</v>
      </c>
      <c r="P404">
        <v>41.7</v>
      </c>
      <c r="Q404">
        <v>100</v>
      </c>
      <c r="R404">
        <v>3</v>
      </c>
      <c r="S404" t="s">
        <v>54</v>
      </c>
      <c r="T404" t="s">
        <v>54</v>
      </c>
      <c r="AA404" s="44"/>
    </row>
    <row r="405" spans="1:27">
      <c r="A405" s="148">
        <v>45370</v>
      </c>
      <c r="B405">
        <v>24</v>
      </c>
      <c r="C405" t="s">
        <v>157</v>
      </c>
      <c r="D405">
        <v>2679.2</v>
      </c>
      <c r="H405" s="521">
        <v>221.99340000000001</v>
      </c>
      <c r="I405">
        <v>0.28501000000000004</v>
      </c>
      <c r="J405">
        <v>221.70839000000001</v>
      </c>
      <c r="K405">
        <v>1859.7730264979496</v>
      </c>
      <c r="L405" s="277">
        <v>69.415236880335542</v>
      </c>
      <c r="M405">
        <v>1847.692985437136</v>
      </c>
      <c r="N405">
        <v>68.964354487799952</v>
      </c>
      <c r="O405">
        <v>128</v>
      </c>
      <c r="P405">
        <v>41.7</v>
      </c>
      <c r="Q405">
        <v>100</v>
      </c>
      <c r="R405">
        <v>3</v>
      </c>
      <c r="S405" t="s">
        <v>54</v>
      </c>
      <c r="T405" t="s">
        <v>54</v>
      </c>
      <c r="AA405" s="44"/>
    </row>
    <row r="406" spans="1:27">
      <c r="A406" s="148">
        <v>45370</v>
      </c>
      <c r="B406">
        <v>25</v>
      </c>
      <c r="C406" t="s">
        <v>82</v>
      </c>
      <c r="H406" s="521">
        <v>0.3821</v>
      </c>
      <c r="I406">
        <v>0.28501000000000004</v>
      </c>
      <c r="J406">
        <v>9.7089999999999954E-2</v>
      </c>
      <c r="K406">
        <v>8.6161952284832832</v>
      </c>
      <c r="O406">
        <v>128</v>
      </c>
      <c r="P406">
        <v>41.7</v>
      </c>
      <c r="Q406">
        <v>100</v>
      </c>
      <c r="R406">
        <v>3</v>
      </c>
      <c r="S406" t="s">
        <v>54</v>
      </c>
      <c r="T406" t="s">
        <v>54</v>
      </c>
      <c r="AA406" s="44"/>
    </row>
    <row r="407" spans="1:27">
      <c r="A407" s="148">
        <v>45370</v>
      </c>
      <c r="B407">
        <v>26</v>
      </c>
      <c r="C407" t="s">
        <v>158</v>
      </c>
      <c r="D407">
        <v>1999.9</v>
      </c>
      <c r="G407">
        <v>1999.5000200000002</v>
      </c>
      <c r="H407" s="521">
        <v>237.78540000000001</v>
      </c>
      <c r="I407">
        <v>0.28501000000000004</v>
      </c>
      <c r="J407">
        <v>237.50039000000001</v>
      </c>
      <c r="K407">
        <v>1991.6862848895905</v>
      </c>
      <c r="L407" s="277">
        <v>99.60921555227543</v>
      </c>
      <c r="M407">
        <v>1979.3017514654457</v>
      </c>
      <c r="N407">
        <v>98.989834041884421</v>
      </c>
      <c r="O407">
        <v>128</v>
      </c>
      <c r="P407">
        <v>41.7</v>
      </c>
      <c r="Q407">
        <v>100</v>
      </c>
      <c r="R407">
        <v>3</v>
      </c>
      <c r="S407" t="s">
        <v>54</v>
      </c>
      <c r="T407" t="s">
        <v>54</v>
      </c>
      <c r="AA407" s="44"/>
    </row>
    <row r="408" spans="1:27">
      <c r="A408" s="148">
        <v>45370</v>
      </c>
      <c r="B408">
        <v>27</v>
      </c>
      <c r="C408" t="s">
        <v>84</v>
      </c>
      <c r="H408" s="521">
        <v>0.2278</v>
      </c>
      <c r="I408">
        <v>0.28501000000000004</v>
      </c>
      <c r="J408">
        <v>-5.7210000000000039E-2</v>
      </c>
      <c r="K408">
        <v>7.3273011194514854</v>
      </c>
      <c r="O408">
        <v>128</v>
      </c>
      <c r="P408">
        <v>41.7</v>
      </c>
      <c r="Q408">
        <v>100</v>
      </c>
      <c r="R408">
        <v>3</v>
      </c>
      <c r="S408" t="s">
        <v>54</v>
      </c>
      <c r="T408" t="s">
        <v>54</v>
      </c>
      <c r="AA408" s="44"/>
    </row>
    <row r="409" spans="1:27">
      <c r="H409" s="521"/>
      <c r="AA409" s="44"/>
    </row>
    <row r="410" spans="1:27">
      <c r="H410" s="521"/>
      <c r="AA410" s="44"/>
    </row>
    <row r="411" spans="1:27">
      <c r="A411" s="148" t="s">
        <v>159</v>
      </c>
      <c r="H411" s="521"/>
      <c r="AA411" s="44"/>
    </row>
    <row r="412" spans="1:27">
      <c r="A412" s="148" t="s">
        <v>38</v>
      </c>
      <c r="H412" s="521"/>
      <c r="AA412" s="44"/>
    </row>
    <row r="413" spans="1:27">
      <c r="A413" s="148" t="s">
        <v>160</v>
      </c>
      <c r="H413" s="521"/>
      <c r="AA413" s="44"/>
    </row>
    <row r="414" spans="1:27">
      <c r="A414" s="148">
        <v>45371</v>
      </c>
      <c r="B414">
        <v>1</v>
      </c>
      <c r="C414" t="s">
        <v>45</v>
      </c>
      <c r="H414" s="521">
        <v>0.23799999999999999</v>
      </c>
      <c r="AA414" s="44"/>
    </row>
    <row r="415" spans="1:27">
      <c r="A415" s="148">
        <v>45371</v>
      </c>
      <c r="B415">
        <v>2</v>
      </c>
      <c r="C415" t="s">
        <v>49</v>
      </c>
      <c r="H415" s="521">
        <v>0.31780000000000003</v>
      </c>
      <c r="X415" s="348">
        <f>A416</f>
        <v>45371</v>
      </c>
      <c r="Y415" s="44"/>
      <c r="Z415" s="44"/>
      <c r="AA415" s="44"/>
    </row>
    <row r="416" spans="1:27">
      <c r="A416" s="148">
        <v>45371</v>
      </c>
      <c r="B416">
        <v>3</v>
      </c>
      <c r="C416" t="s">
        <v>51</v>
      </c>
      <c r="G416">
        <v>0</v>
      </c>
      <c r="H416" s="521">
        <v>0.3679</v>
      </c>
      <c r="I416">
        <v>0.30125000000000002</v>
      </c>
      <c r="J416">
        <v>0.30125000000000002</v>
      </c>
      <c r="X416" s="208">
        <f>((J416-INDEX(LINEST($H$416:$H$421,$G$416:$G$421),2))/INDEX(LINEST($H$416:$H$421,$G$416:$G$421),1)/100.09)*12.01</f>
        <v>-0.15442913008915876</v>
      </c>
      <c r="Y416" s="208">
        <f>(J416-X416)^2</f>
        <v>0.2076434695988125</v>
      </c>
      <c r="Z416" s="44"/>
      <c r="AA416" s="44"/>
    </row>
    <row r="417" spans="1:27">
      <c r="A417" s="148">
        <v>45371</v>
      </c>
      <c r="B417">
        <v>4</v>
      </c>
      <c r="C417" t="s">
        <v>161</v>
      </c>
      <c r="D417">
        <v>258.60000000000002</v>
      </c>
      <c r="G417">
        <v>258.54828000000003</v>
      </c>
      <c r="H417" s="521">
        <v>30.718399999999999</v>
      </c>
      <c r="I417">
        <v>0.30125000000000002</v>
      </c>
      <c r="J417">
        <v>30.417149999999999</v>
      </c>
      <c r="K417">
        <v>255.15959816434923</v>
      </c>
      <c r="L417" s="277">
        <v>98.689342727149139</v>
      </c>
      <c r="M417">
        <v>253.49313434637801</v>
      </c>
      <c r="N417">
        <v>98.044796254834111</v>
      </c>
      <c r="O417">
        <v>128</v>
      </c>
      <c r="P417">
        <v>41.7</v>
      </c>
      <c r="Q417">
        <v>100</v>
      </c>
      <c r="R417">
        <v>3</v>
      </c>
      <c r="S417" t="s">
        <v>54</v>
      </c>
      <c r="T417" t="s">
        <v>54</v>
      </c>
      <c r="X417" s="208">
        <f t="shared" ref="X417:X421" si="17">((J417-INDEX(LINEST($H$416:$H$421,$G$416:$G$421),2))/INDEX(LINEST($H$416:$H$421,$G$416:$G$421),1)/100.09)*12.01</f>
        <v>30.403935017475984</v>
      </c>
      <c r="Y417" s="208">
        <f t="shared" ref="Y417:Y421" si="18">(J417-X417)^2</f>
        <v>1.7463576311003612E-4</v>
      </c>
      <c r="Z417" s="44"/>
      <c r="AA417" s="44"/>
    </row>
    <row r="418" spans="1:27">
      <c r="A418" s="148">
        <v>45371</v>
      </c>
      <c r="B418">
        <v>5</v>
      </c>
      <c r="C418" t="s">
        <v>162</v>
      </c>
      <c r="D418">
        <v>1127</v>
      </c>
      <c r="G418">
        <v>1126.7746</v>
      </c>
      <c r="H418" s="521">
        <v>133.95150000000001</v>
      </c>
      <c r="I418">
        <v>0.30125000000000002</v>
      </c>
      <c r="J418">
        <v>133.65025</v>
      </c>
      <c r="K418">
        <v>1128.4096244783502</v>
      </c>
      <c r="L418" s="277">
        <v>100.14510661478792</v>
      </c>
      <c r="M418">
        <v>1113.8262716486263</v>
      </c>
      <c r="N418">
        <v>98.850850174349532</v>
      </c>
      <c r="O418">
        <v>128</v>
      </c>
      <c r="P418">
        <v>41.7</v>
      </c>
      <c r="Q418">
        <v>100</v>
      </c>
      <c r="R418">
        <v>3</v>
      </c>
      <c r="S418" t="s">
        <v>54</v>
      </c>
      <c r="T418" t="s">
        <v>54</v>
      </c>
      <c r="X418" s="208">
        <f t="shared" si="17"/>
        <v>135.15374033234309</v>
      </c>
      <c r="Y418" s="208">
        <f t="shared" si="18"/>
        <v>2.2604831794491385</v>
      </c>
      <c r="Z418" s="44"/>
      <c r="AA418" s="44"/>
    </row>
    <row r="419" spans="1:27">
      <c r="A419" s="148">
        <v>45371</v>
      </c>
      <c r="B419">
        <v>6</v>
      </c>
      <c r="C419" t="s">
        <v>163</v>
      </c>
      <c r="D419">
        <v>2037.6</v>
      </c>
      <c r="G419">
        <v>2037.1924799999999</v>
      </c>
      <c r="H419" s="521">
        <v>241.4332</v>
      </c>
      <c r="I419">
        <v>0.30125000000000002</v>
      </c>
      <c r="J419">
        <v>241.13194999999999</v>
      </c>
      <c r="K419">
        <v>2037.5986089540031</v>
      </c>
      <c r="L419" s="277">
        <v>100.01993571829813</v>
      </c>
      <c r="M419">
        <v>2009.5667673189009</v>
      </c>
      <c r="N419">
        <v>98.643932129520778</v>
      </c>
      <c r="O419">
        <v>128</v>
      </c>
      <c r="P419">
        <v>41.7</v>
      </c>
      <c r="Q419">
        <v>100</v>
      </c>
      <c r="R419">
        <v>3</v>
      </c>
      <c r="S419" t="s">
        <v>54</v>
      </c>
      <c r="T419" t="s">
        <v>54</v>
      </c>
      <c r="X419" s="208">
        <f t="shared" si="17"/>
        <v>244.21456626812295</v>
      </c>
      <c r="Y419" s="208">
        <f t="shared" si="18"/>
        <v>9.5025230564963366</v>
      </c>
      <c r="Z419" s="44"/>
      <c r="AA419" s="44"/>
    </row>
    <row r="420" spans="1:27" ht="15.5">
      <c r="A420" s="148">
        <v>45371</v>
      </c>
      <c r="B420">
        <v>7</v>
      </c>
      <c r="C420" t="s">
        <v>164</v>
      </c>
      <c r="D420">
        <v>2850.9</v>
      </c>
      <c r="G420">
        <v>2850.3298199999999</v>
      </c>
      <c r="H420" s="521">
        <v>338.33710000000002</v>
      </c>
      <c r="I420">
        <v>0.30125000000000002</v>
      </c>
      <c r="J420">
        <v>338.03585000000004</v>
      </c>
      <c r="K420">
        <v>2857.3098568476471</v>
      </c>
      <c r="L420" s="277">
        <v>100.24488523393573</v>
      </c>
      <c r="M420">
        <v>2817.1530579933392</v>
      </c>
      <c r="N420">
        <v>98.836037788544033</v>
      </c>
      <c r="O420">
        <v>128</v>
      </c>
      <c r="P420">
        <v>41.7</v>
      </c>
      <c r="Q420">
        <v>100</v>
      </c>
      <c r="R420">
        <v>3</v>
      </c>
      <c r="S420" t="s">
        <v>54</v>
      </c>
      <c r="T420" t="s">
        <v>54</v>
      </c>
      <c r="X420" s="208">
        <f t="shared" si="17"/>
        <v>342.54218269397239</v>
      </c>
      <c r="Y420" s="208">
        <f t="shared" si="18"/>
        <v>20.30703434876413</v>
      </c>
      <c r="Z420" s="44"/>
      <c r="AA420" s="52" t="s">
        <v>42</v>
      </c>
    </row>
    <row r="421" spans="1:27" ht="15.5">
      <c r="A421" s="148">
        <v>45371</v>
      </c>
      <c r="B421">
        <v>8</v>
      </c>
      <c r="C421" t="s">
        <v>165</v>
      </c>
      <c r="D421">
        <v>3590.8</v>
      </c>
      <c r="G421">
        <v>3590.0818400000003</v>
      </c>
      <c r="H421" s="521">
        <v>424.2491</v>
      </c>
      <c r="I421">
        <v>0.30125000000000002</v>
      </c>
      <c r="J421">
        <v>423.94785000000002</v>
      </c>
      <c r="K421">
        <v>3584.0404913116754</v>
      </c>
      <c r="L421" s="277">
        <v>99.83172114292735</v>
      </c>
      <c r="M421">
        <v>3533.1340804746046</v>
      </c>
      <c r="N421">
        <v>98.413747595085596</v>
      </c>
      <c r="O421">
        <v>128</v>
      </c>
      <c r="P421">
        <v>41.7</v>
      </c>
      <c r="Q421">
        <v>100</v>
      </c>
      <c r="R421">
        <v>3</v>
      </c>
      <c r="S421" t="s">
        <v>54</v>
      </c>
      <c r="T421" t="s">
        <v>54</v>
      </c>
      <c r="X421" s="208">
        <f t="shared" si="17"/>
        <v>429.71640563420044</v>
      </c>
      <c r="Y421" s="208">
        <f t="shared" si="18"/>
        <v>33.276234104865466</v>
      </c>
      <c r="Z421" s="44"/>
      <c r="AA421" s="347">
        <f>(Y422/$AL$15)*100</f>
        <v>1.9447355022543122</v>
      </c>
    </row>
    <row r="422" spans="1:27" ht="15.5">
      <c r="A422" s="148">
        <v>45371</v>
      </c>
      <c r="B422">
        <v>9</v>
      </c>
      <c r="C422" t="s">
        <v>61</v>
      </c>
      <c r="H422" s="521">
        <v>0.45829999999999999</v>
      </c>
      <c r="I422">
        <v>0.30125000000000002</v>
      </c>
      <c r="J422">
        <v>0.15704999999999997</v>
      </c>
      <c r="K422">
        <v>-0.8109492789058721</v>
      </c>
      <c r="O422">
        <v>128</v>
      </c>
      <c r="P422">
        <v>41.7</v>
      </c>
      <c r="Q422">
        <v>100</v>
      </c>
      <c r="R422">
        <v>3</v>
      </c>
      <c r="S422" t="s">
        <v>54</v>
      </c>
      <c r="T422" t="s">
        <v>54</v>
      </c>
      <c r="X422" s="44"/>
      <c r="Y422" s="347">
        <f>SQRT(SUM(Y416:Y421)/(6-2))</f>
        <v>4.0482741012355188</v>
      </c>
      <c r="Z422" s="52" t="s">
        <v>60</v>
      </c>
      <c r="AA422" s="44"/>
    </row>
    <row r="423" spans="1:27" ht="15.5">
      <c r="A423" s="148">
        <v>45371</v>
      </c>
      <c r="B423">
        <v>10</v>
      </c>
      <c r="C423" t="s">
        <v>63</v>
      </c>
      <c r="H423" s="521">
        <v>0.2379</v>
      </c>
      <c r="I423">
        <v>0.30125000000000002</v>
      </c>
      <c r="J423">
        <v>-6.3350000000000017E-2</v>
      </c>
      <c r="K423">
        <v>-2.6753155122128809</v>
      </c>
      <c r="O423">
        <v>128</v>
      </c>
      <c r="P423">
        <v>41.7</v>
      </c>
      <c r="Q423">
        <v>100</v>
      </c>
      <c r="R423">
        <v>3</v>
      </c>
      <c r="S423" t="s">
        <v>54</v>
      </c>
      <c r="T423" t="s">
        <v>54</v>
      </c>
      <c r="X423" s="44"/>
      <c r="Y423" s="347">
        <f>(Y422/12.01)*100.09</f>
        <v>33.737864678822909</v>
      </c>
      <c r="Z423" s="52" t="s">
        <v>62</v>
      </c>
      <c r="AA423" s="44"/>
    </row>
    <row r="424" spans="1:27">
      <c r="A424" s="148">
        <v>45371</v>
      </c>
      <c r="B424">
        <v>11</v>
      </c>
      <c r="C424" t="s">
        <v>64</v>
      </c>
      <c r="D424">
        <v>940.7</v>
      </c>
      <c r="H424" s="521">
        <v>13.8154</v>
      </c>
      <c r="I424">
        <v>0.30125000000000002</v>
      </c>
      <c r="J424">
        <v>13.514150000000001</v>
      </c>
      <c r="K424">
        <v>112.17691920977404</v>
      </c>
      <c r="L424" s="277">
        <v>11.924834613561606</v>
      </c>
      <c r="M424">
        <v>112.62541827643632</v>
      </c>
      <c r="N424">
        <v>11.972511775957937</v>
      </c>
      <c r="O424">
        <v>128</v>
      </c>
      <c r="P424">
        <v>41.7</v>
      </c>
      <c r="Q424">
        <v>100</v>
      </c>
      <c r="R424">
        <v>3</v>
      </c>
      <c r="S424" t="s">
        <v>54</v>
      </c>
      <c r="T424" t="s">
        <v>54</v>
      </c>
      <c r="AA424" s="44"/>
    </row>
    <row r="425" spans="1:27">
      <c r="A425" s="148">
        <v>45371</v>
      </c>
      <c r="B425">
        <v>12</v>
      </c>
      <c r="C425" t="s">
        <v>64</v>
      </c>
      <c r="D425">
        <v>2083.8000000000002</v>
      </c>
      <c r="H425" s="521">
        <v>31.411999999999999</v>
      </c>
      <c r="I425">
        <v>0.30125000000000002</v>
      </c>
      <c r="J425">
        <v>31.110749999999999</v>
      </c>
      <c r="K425">
        <v>261.02676885138072</v>
      </c>
      <c r="L425" s="277">
        <v>12.526478973576193</v>
      </c>
      <c r="M425">
        <v>259.27351935886759</v>
      </c>
      <c r="N425">
        <v>12.442341844652441</v>
      </c>
      <c r="O425">
        <v>128</v>
      </c>
      <c r="P425">
        <v>41.7</v>
      </c>
      <c r="Q425">
        <v>100</v>
      </c>
      <c r="R425">
        <v>3</v>
      </c>
      <c r="S425" t="s">
        <v>54</v>
      </c>
      <c r="T425" t="s">
        <v>54</v>
      </c>
      <c r="AA425" s="44"/>
    </row>
    <row r="426" spans="1:27">
      <c r="A426" s="148">
        <v>45371</v>
      </c>
      <c r="B426">
        <v>13</v>
      </c>
      <c r="C426" t="s">
        <v>65</v>
      </c>
      <c r="H426" s="521">
        <v>0.27939999999999998</v>
      </c>
      <c r="I426">
        <v>0.30125000000000002</v>
      </c>
      <c r="J426">
        <v>-2.1850000000000036E-2</v>
      </c>
      <c r="K426">
        <v>-2.3242665163769427</v>
      </c>
      <c r="O426">
        <v>128</v>
      </c>
      <c r="P426">
        <v>41.7</v>
      </c>
      <c r="Q426">
        <v>100</v>
      </c>
      <c r="R426">
        <v>3</v>
      </c>
      <c r="S426" t="s">
        <v>54</v>
      </c>
      <c r="T426" t="s">
        <v>54</v>
      </c>
      <c r="AA426" s="44"/>
    </row>
    <row r="427" spans="1:27">
      <c r="A427" s="148">
        <v>45371</v>
      </c>
      <c r="B427">
        <v>14</v>
      </c>
      <c r="C427" t="s">
        <v>66</v>
      </c>
      <c r="H427" s="521">
        <v>0.32040000000000002</v>
      </c>
      <c r="I427">
        <v>0.30125000000000002</v>
      </c>
      <c r="J427">
        <v>1.915E-2</v>
      </c>
      <c r="K427">
        <v>-1.9774470265149307</v>
      </c>
      <c r="O427">
        <v>128</v>
      </c>
      <c r="P427">
        <v>41.7</v>
      </c>
      <c r="Q427">
        <v>100</v>
      </c>
      <c r="R427">
        <v>3</v>
      </c>
      <c r="S427" t="s">
        <v>54</v>
      </c>
      <c r="T427" t="s">
        <v>54</v>
      </c>
      <c r="AA427" s="44"/>
    </row>
    <row r="428" spans="1:27">
      <c r="A428" s="148">
        <v>45371</v>
      </c>
      <c r="B428">
        <v>15</v>
      </c>
      <c r="C428" t="s">
        <v>166</v>
      </c>
      <c r="D428">
        <v>2592.6999999999998</v>
      </c>
      <c r="E428" t="s">
        <v>68</v>
      </c>
      <c r="H428" s="521">
        <v>222.61600000000001</v>
      </c>
      <c r="I428">
        <v>0.30125000000000002</v>
      </c>
      <c r="J428">
        <v>222.31475</v>
      </c>
      <c r="K428">
        <v>1878.4236893288462</v>
      </c>
      <c r="L428" s="277">
        <v>72.45048363979042</v>
      </c>
      <c r="M428">
        <v>1852.7463220233142</v>
      </c>
      <c r="N428">
        <v>71.460111930547853</v>
      </c>
      <c r="O428">
        <v>128</v>
      </c>
      <c r="P428">
        <v>41.7</v>
      </c>
      <c r="Q428">
        <v>100</v>
      </c>
      <c r="R428">
        <v>3</v>
      </c>
      <c r="S428" t="s">
        <v>54</v>
      </c>
      <c r="T428" t="s">
        <v>54</v>
      </c>
      <c r="AA428" s="44"/>
    </row>
    <row r="429" spans="1:27">
      <c r="A429" s="148">
        <v>45371</v>
      </c>
      <c r="B429">
        <v>16</v>
      </c>
      <c r="C429" t="s">
        <v>167</v>
      </c>
      <c r="D429">
        <v>2432.9</v>
      </c>
      <c r="H429" s="521">
        <v>218.1395</v>
      </c>
      <c r="I429">
        <v>0.30125000000000002</v>
      </c>
      <c r="J429">
        <v>217.83824999999999</v>
      </c>
      <c r="K429">
        <v>1840.5569223442778</v>
      </c>
      <c r="L429" s="277">
        <v>75.652797991872973</v>
      </c>
      <c r="M429">
        <v>1815.439670482931</v>
      </c>
      <c r="N429">
        <v>74.620398309956471</v>
      </c>
      <c r="O429">
        <v>128</v>
      </c>
      <c r="P429">
        <v>41.7</v>
      </c>
      <c r="Q429">
        <v>100</v>
      </c>
      <c r="R429">
        <v>3</v>
      </c>
      <c r="S429" t="s">
        <v>54</v>
      </c>
      <c r="T429" t="s">
        <v>54</v>
      </c>
      <c r="AA429" s="44"/>
    </row>
    <row r="430" spans="1:27">
      <c r="A430" s="148">
        <v>45371</v>
      </c>
      <c r="B430">
        <v>17</v>
      </c>
      <c r="C430" t="s">
        <v>168</v>
      </c>
      <c r="D430">
        <v>2034.9</v>
      </c>
      <c r="H430" s="521">
        <v>194.5384</v>
      </c>
      <c r="I430">
        <v>0.30125000000000002</v>
      </c>
      <c r="J430">
        <v>194.23714999999999</v>
      </c>
      <c r="K430">
        <v>1640.9149354617821</v>
      </c>
      <c r="L430" s="277">
        <v>80.63860314815382</v>
      </c>
      <c r="M430">
        <v>1618.7507363447128</v>
      </c>
      <c r="N430">
        <v>79.549399790884692</v>
      </c>
      <c r="O430">
        <v>128</v>
      </c>
      <c r="P430">
        <v>41.7</v>
      </c>
      <c r="Q430">
        <v>100</v>
      </c>
      <c r="R430">
        <v>3</v>
      </c>
      <c r="S430" t="s">
        <v>54</v>
      </c>
      <c r="T430" t="s">
        <v>54</v>
      </c>
      <c r="AA430" s="44"/>
    </row>
    <row r="431" spans="1:27">
      <c r="A431" s="148">
        <v>45371</v>
      </c>
      <c r="B431">
        <v>18</v>
      </c>
      <c r="C431" t="s">
        <v>169</v>
      </c>
      <c r="D431">
        <v>2390.1</v>
      </c>
      <c r="H431" s="521">
        <v>217.03280000000001</v>
      </c>
      <c r="I431">
        <v>0.30125000000000002</v>
      </c>
      <c r="J431">
        <v>216.73155</v>
      </c>
      <c r="K431">
        <v>1831.1953338215878</v>
      </c>
      <c r="L431" s="277">
        <v>76.615845940403659</v>
      </c>
      <c r="M431">
        <v>1806.216556161532</v>
      </c>
      <c r="N431">
        <v>75.570752527573418</v>
      </c>
      <c r="O431">
        <v>128</v>
      </c>
      <c r="P431">
        <v>41.7</v>
      </c>
      <c r="Q431">
        <v>100</v>
      </c>
      <c r="R431">
        <v>3</v>
      </c>
      <c r="S431" t="s">
        <v>54</v>
      </c>
      <c r="T431" t="s">
        <v>54</v>
      </c>
      <c r="AA431" s="44"/>
    </row>
    <row r="432" spans="1:27">
      <c r="A432" s="148">
        <v>45371</v>
      </c>
      <c r="B432">
        <v>19</v>
      </c>
      <c r="C432" t="s">
        <v>74</v>
      </c>
      <c r="H432" s="521">
        <v>0.3221</v>
      </c>
      <c r="I432">
        <v>0.30125000000000002</v>
      </c>
      <c r="J432">
        <v>2.084999999999998E-2</v>
      </c>
      <c r="K432">
        <v>-1.9630667062035789</v>
      </c>
      <c r="O432">
        <v>128</v>
      </c>
      <c r="P432">
        <v>41.7</v>
      </c>
      <c r="Q432">
        <v>100</v>
      </c>
      <c r="R432">
        <v>3</v>
      </c>
      <c r="S432" t="s">
        <v>54</v>
      </c>
      <c r="T432" t="s">
        <v>54</v>
      </c>
      <c r="AA432" s="44"/>
    </row>
    <row r="433" spans="1:27">
      <c r="A433" s="148">
        <v>45371</v>
      </c>
      <c r="B433">
        <v>20</v>
      </c>
      <c r="C433" t="s">
        <v>170</v>
      </c>
      <c r="D433">
        <v>2313.8000000000002</v>
      </c>
      <c r="G433" t="s">
        <v>171</v>
      </c>
      <c r="H433" s="521">
        <v>209.41929999999999</v>
      </c>
      <c r="I433">
        <v>0.30125000000000002</v>
      </c>
      <c r="J433">
        <v>209.11804999999998</v>
      </c>
      <c r="K433">
        <v>1766.7926463566018</v>
      </c>
      <c r="L433" s="277">
        <v>76.358918072288091</v>
      </c>
      <c r="M433">
        <v>1742.7664966278103</v>
      </c>
      <c r="N433">
        <v>75.320533176065794</v>
      </c>
      <c r="O433">
        <v>128</v>
      </c>
      <c r="P433">
        <v>41.7</v>
      </c>
      <c r="Q433">
        <v>100</v>
      </c>
      <c r="R433">
        <v>3</v>
      </c>
      <c r="S433" t="s">
        <v>54</v>
      </c>
      <c r="T433" t="s">
        <v>54</v>
      </c>
      <c r="AA433" s="44"/>
    </row>
    <row r="434" spans="1:27">
      <c r="A434" s="148">
        <v>45371</v>
      </c>
      <c r="B434">
        <v>21</v>
      </c>
      <c r="C434" t="s">
        <v>172</v>
      </c>
      <c r="D434">
        <v>2662</v>
      </c>
      <c r="H434" s="521">
        <v>241.66370000000001</v>
      </c>
      <c r="I434">
        <v>0.30125000000000002</v>
      </c>
      <c r="J434">
        <v>241.36245</v>
      </c>
      <c r="K434">
        <v>2039.5484112079835</v>
      </c>
      <c r="L434" s="277">
        <v>76.617145424792767</v>
      </c>
      <c r="M434">
        <v>2011.4877286011656</v>
      </c>
      <c r="N434">
        <v>75.563025116497585</v>
      </c>
      <c r="O434">
        <v>128</v>
      </c>
      <c r="P434">
        <v>41.7</v>
      </c>
      <c r="Q434">
        <v>100</v>
      </c>
      <c r="R434">
        <v>3</v>
      </c>
      <c r="S434" t="s">
        <v>54</v>
      </c>
      <c r="T434" t="s">
        <v>54</v>
      </c>
      <c r="AA434" s="44"/>
    </row>
    <row r="435" spans="1:27">
      <c r="A435" s="148">
        <v>45371</v>
      </c>
      <c r="B435">
        <v>22</v>
      </c>
      <c r="C435" t="s">
        <v>173</v>
      </c>
      <c r="D435">
        <v>2320.6999999999998</v>
      </c>
      <c r="H435" s="521">
        <v>146.04929999999999</v>
      </c>
      <c r="I435">
        <v>0.30125000000000002</v>
      </c>
      <c r="J435">
        <v>145.74804999999998</v>
      </c>
      <c r="K435">
        <v>1230.7450592210973</v>
      </c>
      <c r="L435" s="277">
        <v>53.033354557723854</v>
      </c>
      <c r="M435">
        <v>1214.6479870524561</v>
      </c>
      <c r="N435">
        <v>52.33972452503366</v>
      </c>
      <c r="O435">
        <v>128</v>
      </c>
      <c r="P435">
        <v>41.7</v>
      </c>
      <c r="Q435">
        <v>100</v>
      </c>
      <c r="R435">
        <v>3</v>
      </c>
      <c r="S435" t="s">
        <v>54</v>
      </c>
      <c r="T435" t="s">
        <v>54</v>
      </c>
      <c r="AA435" s="44"/>
    </row>
    <row r="436" spans="1:27">
      <c r="A436" s="148">
        <v>45371</v>
      </c>
      <c r="B436">
        <v>23</v>
      </c>
      <c r="C436" t="s">
        <v>82</v>
      </c>
      <c r="H436" s="521">
        <v>0.1822</v>
      </c>
      <c r="I436">
        <v>0.30125000000000002</v>
      </c>
      <c r="J436">
        <v>-0.11905000000000002</v>
      </c>
      <c r="K436">
        <v>-3.1464824777083455</v>
      </c>
      <c r="O436">
        <v>128</v>
      </c>
      <c r="P436">
        <v>41.7</v>
      </c>
      <c r="Q436">
        <v>100</v>
      </c>
      <c r="R436">
        <v>3</v>
      </c>
      <c r="S436" t="s">
        <v>54</v>
      </c>
      <c r="T436" t="s">
        <v>54</v>
      </c>
      <c r="AA436" s="44"/>
    </row>
    <row r="437" spans="1:27">
      <c r="A437" s="148">
        <v>45371</v>
      </c>
      <c r="B437">
        <v>24</v>
      </c>
      <c r="C437" t="s">
        <v>174</v>
      </c>
      <c r="D437">
        <v>2099.6999999999998</v>
      </c>
      <c r="G437">
        <v>2099.28006</v>
      </c>
      <c r="H437" s="521">
        <v>247.93170000000001</v>
      </c>
      <c r="I437">
        <v>0.30125000000000002</v>
      </c>
      <c r="J437">
        <v>247.63045</v>
      </c>
      <c r="K437">
        <v>2092.5694980971321</v>
      </c>
      <c r="L437" s="277">
        <v>99.680339844562326</v>
      </c>
      <c r="M437">
        <v>2063.7245412572856</v>
      </c>
      <c r="N437">
        <v>98.306299410917362</v>
      </c>
      <c r="O437">
        <v>128</v>
      </c>
      <c r="P437">
        <v>41.7</v>
      </c>
      <c r="Q437">
        <v>100</v>
      </c>
      <c r="R437">
        <v>3</v>
      </c>
      <c r="S437" t="s">
        <v>54</v>
      </c>
      <c r="T437" t="s">
        <v>54</v>
      </c>
      <c r="AA437" s="44"/>
    </row>
    <row r="438" spans="1:27">
      <c r="A438" s="148">
        <v>45371</v>
      </c>
      <c r="B438">
        <v>25</v>
      </c>
      <c r="C438" t="s">
        <v>84</v>
      </c>
      <c r="H438" s="521">
        <v>0.28849999999999998</v>
      </c>
      <c r="I438">
        <v>0.30125000000000002</v>
      </c>
      <c r="J438">
        <v>-1.2750000000000039E-2</v>
      </c>
      <c r="K438">
        <v>-2.2472895076514718</v>
      </c>
      <c r="O438">
        <v>128</v>
      </c>
      <c r="P438">
        <v>41.7</v>
      </c>
      <c r="Q438">
        <v>100</v>
      </c>
      <c r="R438">
        <v>3</v>
      </c>
      <c r="S438" t="s">
        <v>54</v>
      </c>
      <c r="T438" t="s">
        <v>54</v>
      </c>
      <c r="AA438" s="44"/>
    </row>
    <row r="439" spans="1:27">
      <c r="H439" s="521"/>
      <c r="AA439" s="44"/>
    </row>
    <row r="440" spans="1:27">
      <c r="H440" s="521"/>
      <c r="AA440" s="44"/>
    </row>
    <row r="441" spans="1:27">
      <c r="A441" s="148" t="s">
        <v>175</v>
      </c>
      <c r="H441" s="521"/>
      <c r="AA441" s="44"/>
    </row>
    <row r="442" spans="1:27">
      <c r="A442" s="148" t="s">
        <v>38</v>
      </c>
      <c r="H442" s="521"/>
      <c r="AA442" s="44"/>
    </row>
    <row r="443" spans="1:27">
      <c r="A443" s="148" t="s">
        <v>176</v>
      </c>
      <c r="H443" s="521"/>
      <c r="AA443" s="44"/>
    </row>
    <row r="444" spans="1:27">
      <c r="A444" s="148">
        <v>45373</v>
      </c>
      <c r="B444">
        <v>1</v>
      </c>
      <c r="C444" t="s">
        <v>45</v>
      </c>
      <c r="H444" s="521">
        <v>0.13619999999999999</v>
      </c>
      <c r="AA444" s="44"/>
    </row>
    <row r="445" spans="1:27">
      <c r="A445" s="148">
        <v>45373</v>
      </c>
      <c r="B445">
        <v>2</v>
      </c>
      <c r="C445" t="s">
        <v>49</v>
      </c>
      <c r="H445" s="521">
        <v>0.32590000000000002</v>
      </c>
      <c r="X445" s="348">
        <f>A446</f>
        <v>45373</v>
      </c>
      <c r="Y445" s="44"/>
      <c r="Z445" s="44"/>
      <c r="AA445" s="44"/>
    </row>
    <row r="446" spans="1:27">
      <c r="A446" s="148">
        <v>45373</v>
      </c>
      <c r="B446">
        <v>3</v>
      </c>
      <c r="C446" t="s">
        <v>51</v>
      </c>
      <c r="G446">
        <v>0</v>
      </c>
      <c r="H446" s="521">
        <v>0.36149999999999999</v>
      </c>
      <c r="I446">
        <v>0.37580999999999998</v>
      </c>
      <c r="J446">
        <v>0.37580999999999998</v>
      </c>
      <c r="X446" s="208">
        <f>((J446-INDEX(LINEST($H$446:$H$451,$G$446:$G$451),2))/INDEX(LINEST($H$446:$H$451,$G$446:$G$451),1)/100.09)*12.01</f>
        <v>2.6848429116308536</v>
      </c>
      <c r="Y446" s="208">
        <f>(J446-X446)^2</f>
        <v>5.3316329869944576</v>
      </c>
      <c r="Z446" s="44"/>
      <c r="AA446" s="44"/>
    </row>
    <row r="447" spans="1:27">
      <c r="A447" s="148">
        <v>45373</v>
      </c>
      <c r="B447">
        <v>4</v>
      </c>
      <c r="C447" t="s">
        <v>177</v>
      </c>
      <c r="D447">
        <v>330.5</v>
      </c>
      <c r="G447">
        <v>330.43389999999999</v>
      </c>
      <c r="H447" s="521">
        <v>38.093000000000004</v>
      </c>
      <c r="I447">
        <v>0.37580999999999998</v>
      </c>
      <c r="J447">
        <v>37.717190000000002</v>
      </c>
      <c r="K447">
        <v>341.32545592730634</v>
      </c>
      <c r="L447" s="277">
        <v>103.29613757163123</v>
      </c>
      <c r="M447">
        <v>314.33085321398835</v>
      </c>
      <c r="N447">
        <v>95.126696508435828</v>
      </c>
      <c r="O447">
        <v>128</v>
      </c>
      <c r="P447">
        <v>41.7</v>
      </c>
      <c r="Q447">
        <v>100</v>
      </c>
      <c r="R447">
        <v>3</v>
      </c>
      <c r="S447" t="s">
        <v>54</v>
      </c>
      <c r="T447" t="s">
        <v>54</v>
      </c>
      <c r="X447" s="208">
        <f t="shared" ref="X447:X451" si="19">((J447-INDEX(LINEST($H$446:$H$451,$G$446:$G$451),2))/INDEX(LINEST($H$446:$H$451,$G$446:$G$451),1)/100.09)*12.01</f>
        <v>40.723120901089558</v>
      </c>
      <c r="Y447" s="208">
        <f t="shared" ref="Y447:Y451" si="20">(J447-X447)^2</f>
        <v>9.0356205821250697</v>
      </c>
      <c r="Z447" s="44"/>
      <c r="AA447" s="44"/>
    </row>
    <row r="448" spans="1:27">
      <c r="A448" s="148">
        <v>45373</v>
      </c>
      <c r="B448">
        <v>5</v>
      </c>
      <c r="C448" t="s">
        <v>178</v>
      </c>
      <c r="D448">
        <v>1081.9000000000001</v>
      </c>
      <c r="G448">
        <v>1081.68362</v>
      </c>
      <c r="H448" s="521">
        <v>119.3814</v>
      </c>
      <c r="I448">
        <v>0.37580999999999998</v>
      </c>
      <c r="J448">
        <v>119.00559</v>
      </c>
      <c r="K448">
        <v>1031.7724396800663</v>
      </c>
      <c r="L448" s="277">
        <v>95.385787544796713</v>
      </c>
      <c r="M448">
        <v>991.77930916736057</v>
      </c>
      <c r="N448">
        <v>91.688483659146158</v>
      </c>
      <c r="O448">
        <v>128</v>
      </c>
      <c r="P448">
        <v>41.7</v>
      </c>
      <c r="Q448">
        <v>100</v>
      </c>
      <c r="R448">
        <v>3</v>
      </c>
      <c r="S448" t="s">
        <v>54</v>
      </c>
      <c r="T448" t="s">
        <v>54</v>
      </c>
      <c r="X448" s="208">
        <f t="shared" si="19"/>
        <v>123.52859719892093</v>
      </c>
      <c r="Y448" s="208">
        <f t="shared" si="20"/>
        <v>20.457594121490615</v>
      </c>
      <c r="Z448" s="44"/>
      <c r="AA448" s="44"/>
    </row>
    <row r="449" spans="1:27">
      <c r="A449" s="148">
        <v>45373</v>
      </c>
      <c r="B449">
        <v>6</v>
      </c>
      <c r="C449" t="s">
        <v>179</v>
      </c>
      <c r="D449">
        <v>2076.1999999999998</v>
      </c>
      <c r="G449">
        <v>2075.78476</v>
      </c>
      <c r="H449" s="521">
        <v>242.12790000000001</v>
      </c>
      <c r="I449">
        <v>0.37580999999999998</v>
      </c>
      <c r="J449">
        <v>241.75209000000001</v>
      </c>
      <c r="K449">
        <v>2074.3560148421825</v>
      </c>
      <c r="L449" s="277">
        <v>99.931170842692879</v>
      </c>
      <c r="M449">
        <v>2014.7349448875939</v>
      </c>
      <c r="N449">
        <v>97.058952532611997</v>
      </c>
      <c r="O449">
        <v>128</v>
      </c>
      <c r="P449">
        <v>41.7</v>
      </c>
      <c r="Q449">
        <v>100</v>
      </c>
      <c r="R449">
        <v>3</v>
      </c>
      <c r="S449" t="s">
        <v>54</v>
      </c>
      <c r="T449" t="s">
        <v>54</v>
      </c>
      <c r="X449" s="208">
        <f t="shared" si="19"/>
        <v>248.56590137014041</v>
      </c>
      <c r="Y449" s="208">
        <f t="shared" si="20"/>
        <v>46.428025387854589</v>
      </c>
      <c r="Z449" s="44"/>
      <c r="AA449" s="44"/>
    </row>
    <row r="450" spans="1:27" ht="15.5">
      <c r="A450" s="148">
        <v>45373</v>
      </c>
      <c r="B450">
        <v>7</v>
      </c>
      <c r="C450" t="s">
        <v>180</v>
      </c>
      <c r="D450">
        <v>2957.7</v>
      </c>
      <c r="G450">
        <v>2957.1084599999999</v>
      </c>
      <c r="H450" s="521">
        <v>347.15899999999999</v>
      </c>
      <c r="I450">
        <v>0.37580999999999998</v>
      </c>
      <c r="J450">
        <v>346.78318999999999</v>
      </c>
      <c r="K450">
        <v>2966.4686187959383</v>
      </c>
      <c r="L450" s="277">
        <v>100.31653079089085</v>
      </c>
      <c r="M450">
        <v>2890.0524135803498</v>
      </c>
      <c r="N450">
        <v>97.732377850636908</v>
      </c>
      <c r="O450">
        <v>128</v>
      </c>
      <c r="P450">
        <v>41.7</v>
      </c>
      <c r="Q450">
        <v>100</v>
      </c>
      <c r="R450">
        <v>3</v>
      </c>
      <c r="S450" t="s">
        <v>54</v>
      </c>
      <c r="T450" t="s">
        <v>54</v>
      </c>
      <c r="X450" s="208">
        <f t="shared" si="19"/>
        <v>355.55718501682503</v>
      </c>
      <c r="Y450" s="208">
        <f t="shared" si="20"/>
        <v>76.982988555270637</v>
      </c>
      <c r="Z450" s="44"/>
      <c r="AA450" s="52" t="s">
        <v>42</v>
      </c>
    </row>
    <row r="451" spans="1:27" ht="15.5">
      <c r="A451" s="148">
        <v>45373</v>
      </c>
      <c r="B451">
        <v>8</v>
      </c>
      <c r="C451" t="s">
        <v>181</v>
      </c>
      <c r="D451">
        <v>3704.3</v>
      </c>
      <c r="G451">
        <v>3703.5591400000003</v>
      </c>
      <c r="H451" s="521">
        <v>434.75510000000003</v>
      </c>
      <c r="I451">
        <v>0.37580999999999998</v>
      </c>
      <c r="J451">
        <v>434.37929000000003</v>
      </c>
      <c r="K451">
        <v>3710.491911584395</v>
      </c>
      <c r="L451" s="277">
        <v>100.18719213929967</v>
      </c>
      <c r="M451">
        <v>3620.0685375603666</v>
      </c>
      <c r="N451">
        <v>97.745665742504286</v>
      </c>
      <c r="O451">
        <v>128</v>
      </c>
      <c r="P451">
        <v>41.7</v>
      </c>
      <c r="Q451">
        <v>100</v>
      </c>
      <c r="R451">
        <v>3</v>
      </c>
      <c r="S451" t="s">
        <v>54</v>
      </c>
      <c r="T451" t="s">
        <v>54</v>
      </c>
      <c r="X451" s="208">
        <f t="shared" si="19"/>
        <v>444.78808121274562</v>
      </c>
      <c r="Y451" s="208">
        <f t="shared" si="20"/>
        <v>108.34293451052997</v>
      </c>
      <c r="Z451" s="44"/>
      <c r="AA451" s="347">
        <f>(Y452/$AL$15)*100</f>
        <v>3.9216916001719913</v>
      </c>
    </row>
    <row r="452" spans="1:27" ht="15.5">
      <c r="A452" s="148">
        <v>45373</v>
      </c>
      <c r="B452">
        <v>9</v>
      </c>
      <c r="C452" t="s">
        <v>61</v>
      </c>
      <c r="H452" s="521">
        <v>0.63360000000000005</v>
      </c>
      <c r="I452">
        <v>0.37580999999999998</v>
      </c>
      <c r="J452">
        <v>0.25779000000000007</v>
      </c>
      <c r="K452">
        <v>23.15300151575266</v>
      </c>
      <c r="O452">
        <v>128</v>
      </c>
      <c r="P452">
        <v>41.7</v>
      </c>
      <c r="Q452">
        <v>100</v>
      </c>
      <c r="R452">
        <v>3</v>
      </c>
      <c r="S452" t="s">
        <v>54</v>
      </c>
      <c r="T452" t="s">
        <v>54</v>
      </c>
      <c r="X452" s="44"/>
      <c r="Y452" s="347">
        <f>SQRT(SUM(Y446:Y451)/(6-2))</f>
        <v>8.1636204612945065</v>
      </c>
      <c r="Z452" s="52" t="s">
        <v>60</v>
      </c>
      <c r="AA452" s="44"/>
    </row>
    <row r="453" spans="1:27" ht="15.5">
      <c r="A453" s="148">
        <v>45373</v>
      </c>
      <c r="B453">
        <v>10</v>
      </c>
      <c r="C453" t="s">
        <v>63</v>
      </c>
      <c r="H453" s="521">
        <v>0.4098</v>
      </c>
      <c r="I453">
        <v>0.37580999999999998</v>
      </c>
      <c r="J453">
        <v>3.399000000000002E-2</v>
      </c>
      <c r="K453">
        <v>21.252090254565733</v>
      </c>
      <c r="O453">
        <v>128</v>
      </c>
      <c r="P453">
        <v>41.7</v>
      </c>
      <c r="Q453">
        <v>100</v>
      </c>
      <c r="R453">
        <v>3</v>
      </c>
      <c r="S453" t="s">
        <v>54</v>
      </c>
      <c r="T453" t="s">
        <v>54</v>
      </c>
      <c r="X453" s="44"/>
      <c r="Y453" s="347">
        <f>(Y452/12.01)*100.09</f>
        <v>68.034702079181272</v>
      </c>
      <c r="Z453" s="52" t="s">
        <v>62</v>
      </c>
      <c r="AA453" s="44"/>
    </row>
    <row r="454" spans="1:27">
      <c r="A454" s="148">
        <v>45373</v>
      </c>
      <c r="B454">
        <v>11</v>
      </c>
      <c r="C454" t="s">
        <v>64</v>
      </c>
      <c r="D454">
        <v>956.7</v>
      </c>
      <c r="H454" s="521">
        <v>14.074400000000001</v>
      </c>
      <c r="I454">
        <v>0.37580999999999998</v>
      </c>
      <c r="J454">
        <v>13.698590000000001</v>
      </c>
      <c r="K454">
        <v>137.31639775954758</v>
      </c>
      <c r="L454" s="277">
        <v>14.353130318756932</v>
      </c>
      <c r="M454">
        <v>114.16252065778519</v>
      </c>
      <c r="N454">
        <v>11.932948746502058</v>
      </c>
      <c r="O454">
        <v>128</v>
      </c>
      <c r="P454">
        <v>41.7</v>
      </c>
      <c r="Q454">
        <v>100</v>
      </c>
      <c r="R454">
        <v>3</v>
      </c>
      <c r="S454" t="s">
        <v>54</v>
      </c>
      <c r="T454" t="s">
        <v>54</v>
      </c>
      <c r="AA454" s="44"/>
    </row>
    <row r="455" spans="1:27">
      <c r="A455" s="148">
        <v>45373</v>
      </c>
      <c r="B455">
        <v>12</v>
      </c>
      <c r="C455" t="s">
        <v>64</v>
      </c>
      <c r="D455">
        <v>1931.9</v>
      </c>
      <c r="H455" s="521">
        <v>27.179099999999998</v>
      </c>
      <c r="I455">
        <v>0.37580999999999998</v>
      </c>
      <c r="J455">
        <v>26.803289999999997</v>
      </c>
      <c r="K455">
        <v>248.62502959366893</v>
      </c>
      <c r="L455" s="277">
        <v>12.869456472574612</v>
      </c>
      <c r="M455">
        <v>223.37562831806829</v>
      </c>
      <c r="N455">
        <v>11.562483995966058</v>
      </c>
      <c r="O455">
        <v>128</v>
      </c>
      <c r="P455">
        <v>41.7</v>
      </c>
      <c r="Q455">
        <v>100</v>
      </c>
      <c r="R455">
        <v>3</v>
      </c>
      <c r="S455" t="s">
        <v>54</v>
      </c>
      <c r="T455" t="s">
        <v>54</v>
      </c>
      <c r="AA455" s="44"/>
    </row>
    <row r="456" spans="1:27">
      <c r="A456" s="148">
        <v>45373</v>
      </c>
      <c r="B456">
        <v>13</v>
      </c>
      <c r="C456" t="s">
        <v>65</v>
      </c>
      <c r="H456" s="521">
        <v>0.26819999999999999</v>
      </c>
      <c r="I456">
        <v>0.37580999999999998</v>
      </c>
      <c r="J456">
        <v>-0.10760999999999998</v>
      </c>
      <c r="K456">
        <v>20.049368920409922</v>
      </c>
      <c r="O456">
        <v>128</v>
      </c>
      <c r="P456">
        <v>41.7</v>
      </c>
      <c r="Q456">
        <v>100</v>
      </c>
      <c r="R456">
        <v>3</v>
      </c>
      <c r="S456" t="s">
        <v>54</v>
      </c>
      <c r="T456" t="s">
        <v>54</v>
      </c>
      <c r="AA456" s="44"/>
    </row>
    <row r="457" spans="1:27">
      <c r="A457" s="148">
        <v>45373</v>
      </c>
      <c r="B457">
        <v>14</v>
      </c>
      <c r="C457" t="s">
        <v>66</v>
      </c>
      <c r="H457" s="521">
        <v>0.27829999999999999</v>
      </c>
      <c r="I457">
        <v>0.37580999999999998</v>
      </c>
      <c r="J457">
        <v>-9.7509999999999986E-2</v>
      </c>
      <c r="K457">
        <v>20.135156247210588</v>
      </c>
      <c r="O457">
        <v>128</v>
      </c>
      <c r="P457">
        <v>41.7</v>
      </c>
      <c r="Q457">
        <v>100</v>
      </c>
      <c r="R457">
        <v>3</v>
      </c>
      <c r="S457" t="s">
        <v>54</v>
      </c>
      <c r="T457" t="s">
        <v>54</v>
      </c>
      <c r="AA457" s="44"/>
    </row>
    <row r="458" spans="1:27">
      <c r="A458" s="148">
        <v>45373</v>
      </c>
      <c r="B458">
        <v>15</v>
      </c>
      <c r="C458" t="s">
        <v>182</v>
      </c>
      <c r="D458">
        <v>2224.4</v>
      </c>
      <c r="E458" t="s">
        <v>68</v>
      </c>
      <c r="H458" s="521">
        <v>182.39670000000001</v>
      </c>
      <c r="I458">
        <v>0.37580999999999998</v>
      </c>
      <c r="J458">
        <v>182.02089000000001</v>
      </c>
      <c r="K458">
        <v>1567.0114629020179</v>
      </c>
      <c r="L458" s="277">
        <v>70.446478281874576</v>
      </c>
      <c r="M458">
        <v>1516.9417885179018</v>
      </c>
      <c r="N458">
        <v>68.195548845437045</v>
      </c>
      <c r="O458">
        <v>128</v>
      </c>
      <c r="P458">
        <v>41.7</v>
      </c>
      <c r="Q458">
        <v>100</v>
      </c>
      <c r="R458">
        <v>3</v>
      </c>
      <c r="S458" t="s">
        <v>54</v>
      </c>
      <c r="T458" t="s">
        <v>54</v>
      </c>
      <c r="AA458" s="44"/>
    </row>
    <row r="459" spans="1:27">
      <c r="A459" s="148">
        <v>45373</v>
      </c>
      <c r="B459">
        <v>16</v>
      </c>
      <c r="C459" t="s">
        <v>183</v>
      </c>
      <c r="D459">
        <v>2174.1</v>
      </c>
      <c r="H459" s="521">
        <v>179.60849999999999</v>
      </c>
      <c r="I459">
        <v>0.37580999999999998</v>
      </c>
      <c r="J459">
        <v>179.23268999999999</v>
      </c>
      <c r="K459">
        <v>1543.3290644281958</v>
      </c>
      <c r="L459" s="277">
        <v>70.987032078938213</v>
      </c>
      <c r="M459">
        <v>1493.7052408076604</v>
      </c>
      <c r="N459">
        <v>68.704532487358478</v>
      </c>
      <c r="O459">
        <v>128</v>
      </c>
      <c r="P459">
        <v>41.7</v>
      </c>
      <c r="Q459">
        <v>100</v>
      </c>
      <c r="R459">
        <v>3</v>
      </c>
      <c r="S459" t="s">
        <v>54</v>
      </c>
      <c r="T459" t="s">
        <v>54</v>
      </c>
      <c r="AA459" s="44"/>
    </row>
    <row r="460" spans="1:27">
      <c r="A460" s="148">
        <v>45373</v>
      </c>
      <c r="B460">
        <v>17</v>
      </c>
      <c r="C460" t="s">
        <v>184</v>
      </c>
      <c r="D460">
        <v>2266.6</v>
      </c>
      <c r="H460" s="521">
        <v>170.67760000000001</v>
      </c>
      <c r="I460">
        <v>0.37580999999999998</v>
      </c>
      <c r="J460">
        <v>170.30179000000001</v>
      </c>
      <c r="K460">
        <v>1467.4718330495793</v>
      </c>
      <c r="L460" s="277">
        <v>64.74330861420539</v>
      </c>
      <c r="M460">
        <v>1419.276116661116</v>
      </c>
      <c r="N460">
        <v>62.616964469298331</v>
      </c>
      <c r="O460">
        <v>128</v>
      </c>
      <c r="P460">
        <v>41.7</v>
      </c>
      <c r="Q460">
        <v>100</v>
      </c>
      <c r="R460">
        <v>3</v>
      </c>
      <c r="S460" t="s">
        <v>54</v>
      </c>
      <c r="T460" t="s">
        <v>54</v>
      </c>
      <c r="AA460" s="44"/>
    </row>
    <row r="461" spans="1:27">
      <c r="A461" s="148">
        <v>45373</v>
      </c>
      <c r="B461">
        <v>18</v>
      </c>
      <c r="C461" t="s">
        <v>74</v>
      </c>
      <c r="H461" s="521">
        <v>0.51149999999999995</v>
      </c>
      <c r="I461">
        <v>0.37580999999999998</v>
      </c>
      <c r="J461">
        <v>0.13568999999999998</v>
      </c>
      <c r="K461">
        <v>22.115909178885261</v>
      </c>
      <c r="O461">
        <v>128</v>
      </c>
      <c r="P461">
        <v>41.7</v>
      </c>
      <c r="Q461">
        <v>100</v>
      </c>
      <c r="R461">
        <v>3</v>
      </c>
      <c r="S461" t="s">
        <v>54</v>
      </c>
      <c r="T461" t="s">
        <v>54</v>
      </c>
      <c r="AA461" s="44"/>
    </row>
    <row r="462" spans="1:27">
      <c r="A462" s="148">
        <v>45373</v>
      </c>
      <c r="B462">
        <v>19</v>
      </c>
      <c r="C462" t="s">
        <v>185</v>
      </c>
      <c r="D462">
        <v>2198.4</v>
      </c>
      <c r="H462" s="521">
        <v>179.40309999999999</v>
      </c>
      <c r="I462">
        <v>0.37580999999999998</v>
      </c>
      <c r="J462">
        <v>179.02728999999999</v>
      </c>
      <c r="K462">
        <v>1541.5844389900913</v>
      </c>
      <c r="L462" s="277">
        <v>70.123018513013619</v>
      </c>
      <c r="M462">
        <v>1491.9934601248958</v>
      </c>
      <c r="N462">
        <v>67.867242545710326</v>
      </c>
      <c r="O462">
        <v>128</v>
      </c>
      <c r="P462">
        <v>41.7</v>
      </c>
      <c r="Q462">
        <v>100</v>
      </c>
      <c r="R462">
        <v>3</v>
      </c>
      <c r="S462" t="s">
        <v>54</v>
      </c>
      <c r="T462" t="s">
        <v>54</v>
      </c>
      <c r="AA462" s="44"/>
    </row>
    <row r="463" spans="1:27">
      <c r="A463" s="148">
        <v>45373</v>
      </c>
      <c r="B463">
        <v>20</v>
      </c>
      <c r="C463" t="s">
        <v>186</v>
      </c>
      <c r="D463">
        <v>2328</v>
      </c>
      <c r="H463" s="521">
        <v>188.0163</v>
      </c>
      <c r="I463">
        <v>0.37580999999999998</v>
      </c>
      <c r="J463">
        <v>187.64049</v>
      </c>
      <c r="K463">
        <v>1614.7431917821166</v>
      </c>
      <c r="L463" s="277">
        <v>69.361820952840063</v>
      </c>
      <c r="M463">
        <v>1563.7749079184016</v>
      </c>
      <c r="N463">
        <v>67.172461680343716</v>
      </c>
      <c r="O463">
        <v>128</v>
      </c>
      <c r="P463">
        <v>41.7</v>
      </c>
      <c r="Q463">
        <v>100</v>
      </c>
      <c r="R463">
        <v>3</v>
      </c>
      <c r="S463" t="s">
        <v>54</v>
      </c>
      <c r="T463" t="s">
        <v>54</v>
      </c>
      <c r="AA463" s="44"/>
    </row>
    <row r="464" spans="1:27">
      <c r="A464" s="148">
        <v>45373</v>
      </c>
      <c r="B464">
        <v>21</v>
      </c>
      <c r="C464" t="s">
        <v>187</v>
      </c>
      <c r="D464">
        <v>2284.9</v>
      </c>
      <c r="H464" s="521">
        <v>142.2473</v>
      </c>
      <c r="I464">
        <v>0.37580999999999998</v>
      </c>
      <c r="J464">
        <v>141.87148999999999</v>
      </c>
      <c r="K464">
        <v>1225.9907006593971</v>
      </c>
      <c r="L464" s="277">
        <v>53.656208178012044</v>
      </c>
      <c r="M464">
        <v>1182.3411685345545</v>
      </c>
      <c r="N464">
        <v>51.745860586220601</v>
      </c>
      <c r="O464">
        <v>128</v>
      </c>
      <c r="P464">
        <v>41.7</v>
      </c>
      <c r="Q464">
        <v>100</v>
      </c>
      <c r="R464">
        <v>3</v>
      </c>
      <c r="S464" t="s">
        <v>54</v>
      </c>
      <c r="T464" t="s">
        <v>54</v>
      </c>
      <c r="AA464" s="44"/>
    </row>
    <row r="465" spans="1:27">
      <c r="A465" s="148">
        <v>45373</v>
      </c>
      <c r="B465">
        <v>22</v>
      </c>
      <c r="C465" t="s">
        <v>188</v>
      </c>
      <c r="H465" s="521">
        <v>0.4708</v>
      </c>
      <c r="I465">
        <v>0.37580999999999998</v>
      </c>
      <c r="J465">
        <v>9.4990000000000019E-2</v>
      </c>
      <c r="K465">
        <v>21.770211733262794</v>
      </c>
      <c r="AA465" s="44"/>
    </row>
    <row r="466" spans="1:27">
      <c r="A466" s="148">
        <v>45373</v>
      </c>
      <c r="B466">
        <v>23</v>
      </c>
      <c r="C466" t="s">
        <v>189</v>
      </c>
      <c r="D466">
        <v>2130.5</v>
      </c>
      <c r="G466">
        <v>2130.0738999999999</v>
      </c>
      <c r="H466" s="521">
        <v>251.73779999999999</v>
      </c>
      <c r="I466">
        <v>0.37580999999999998</v>
      </c>
      <c r="J466">
        <v>251.36198999999999</v>
      </c>
      <c r="K466">
        <v>2155.9805328443281</v>
      </c>
      <c r="L466" s="277">
        <v>101.21623164549965</v>
      </c>
      <c r="M466">
        <v>2094.8227792756038</v>
      </c>
      <c r="N466">
        <v>98.345075223709557</v>
      </c>
      <c r="O466">
        <v>128</v>
      </c>
      <c r="P466">
        <v>41.7</v>
      </c>
      <c r="Q466">
        <v>100</v>
      </c>
      <c r="R466">
        <v>3</v>
      </c>
      <c r="S466" t="s">
        <v>54</v>
      </c>
      <c r="T466" t="s">
        <v>54</v>
      </c>
      <c r="AA466" s="44"/>
    </row>
    <row r="467" spans="1:27">
      <c r="A467" s="148">
        <v>45373</v>
      </c>
      <c r="B467">
        <v>24</v>
      </c>
      <c r="C467" t="s">
        <v>84</v>
      </c>
      <c r="H467" s="521">
        <v>0.36230000000000001</v>
      </c>
      <c r="I467">
        <v>0.37580999999999998</v>
      </c>
      <c r="J467">
        <v>-1.3509999999999966E-2</v>
      </c>
      <c r="K467">
        <v>20.848635004760638</v>
      </c>
      <c r="O467">
        <v>128</v>
      </c>
      <c r="P467">
        <v>41.7</v>
      </c>
      <c r="Q467">
        <v>100</v>
      </c>
      <c r="R467">
        <v>3</v>
      </c>
      <c r="S467" t="s">
        <v>54</v>
      </c>
      <c r="T467" t="s">
        <v>54</v>
      </c>
      <c r="AA467" s="44"/>
    </row>
    <row r="468" spans="1:27">
      <c r="H468" s="521"/>
      <c r="AA468" s="44"/>
    </row>
    <row r="469" spans="1:27">
      <c r="H469" s="521"/>
      <c r="AA469" s="44"/>
    </row>
    <row r="470" spans="1:27">
      <c r="A470" s="148" t="s">
        <v>159</v>
      </c>
      <c r="H470" s="521"/>
      <c r="AA470" s="44"/>
    </row>
    <row r="471" spans="1:27">
      <c r="A471" s="148" t="s">
        <v>38</v>
      </c>
      <c r="H471" s="521"/>
      <c r="AA471" s="44"/>
    </row>
    <row r="472" spans="1:27">
      <c r="A472" s="148" t="s">
        <v>198</v>
      </c>
      <c r="H472" s="521"/>
      <c r="AA472" s="44"/>
    </row>
    <row r="473" spans="1:27">
      <c r="A473" s="148">
        <v>45405</v>
      </c>
      <c r="B473">
        <v>1</v>
      </c>
      <c r="C473" t="s">
        <v>45</v>
      </c>
      <c r="H473" s="521">
        <v>0.3785</v>
      </c>
      <c r="AA473" s="44"/>
    </row>
    <row r="474" spans="1:27">
      <c r="A474" s="148">
        <v>45405</v>
      </c>
      <c r="B474">
        <v>2</v>
      </c>
      <c r="C474" t="s">
        <v>49</v>
      </c>
      <c r="H474" s="521">
        <v>0.37409999999999999</v>
      </c>
      <c r="X474" s="348">
        <f>A475</f>
        <v>45405</v>
      </c>
      <c r="Y474" s="44"/>
      <c r="Z474" s="44"/>
      <c r="AA474" s="44"/>
    </row>
    <row r="475" spans="1:27">
      <c r="A475" s="148">
        <v>45405</v>
      </c>
      <c r="B475">
        <v>3</v>
      </c>
      <c r="C475" t="s">
        <v>51</v>
      </c>
      <c r="G475">
        <v>0</v>
      </c>
      <c r="H475" s="521">
        <v>0.32650000000000001</v>
      </c>
      <c r="I475">
        <v>0.36978</v>
      </c>
      <c r="J475">
        <v>0.36978</v>
      </c>
      <c r="X475" s="208">
        <f>((J475-INDEX(LINEST($H$475:$H$480,$G$475:$G$480),2))/INDEX(LINEST($H$475:$H$480,$G$475:$G$480),1)/100.09)*12.01</f>
        <v>-3.0667272893011193E-4</v>
      </c>
      <c r="Y475" s="208">
        <f>(J475-X475)^2</f>
        <v>0.1369641453315702</v>
      </c>
      <c r="Z475" s="44"/>
      <c r="AA475" s="44"/>
    </row>
    <row r="476" spans="1:27">
      <c r="A476" s="148">
        <v>45405</v>
      </c>
      <c r="B476">
        <v>4</v>
      </c>
      <c r="C476" t="s">
        <v>199</v>
      </c>
      <c r="D476">
        <v>283.39999999999998</v>
      </c>
      <c r="G476">
        <v>283.34332000000001</v>
      </c>
      <c r="H476" s="521">
        <v>32.826300000000003</v>
      </c>
      <c r="I476">
        <v>0.36978</v>
      </c>
      <c r="J476">
        <v>32.456520000000005</v>
      </c>
      <c r="K476">
        <v>276.21595346016852</v>
      </c>
      <c r="L476" s="277">
        <v>97.484547530595918</v>
      </c>
      <c r="M476">
        <v>270.48901638634476</v>
      </c>
      <c r="N476">
        <v>95.463346863566358</v>
      </c>
      <c r="O476">
        <v>128</v>
      </c>
      <c r="P476">
        <v>41.7</v>
      </c>
      <c r="Q476">
        <v>100</v>
      </c>
      <c r="R476">
        <v>3</v>
      </c>
      <c r="S476" t="s">
        <v>54</v>
      </c>
      <c r="T476" t="s">
        <v>54</v>
      </c>
      <c r="X476" s="208">
        <f t="shared" ref="X476:X480" si="21">((J476-INDEX(LINEST($H$475:$H$480,$G$475:$G$480),2))/INDEX(LINEST($H$475:$H$480,$G$475:$G$480),1)/100.09)*12.01</f>
        <v>32.93699440546812</v>
      </c>
      <c r="Y476" s="208">
        <f t="shared" ref="Y476:Y480" si="22">(J476-X476)^2</f>
        <v>0.23085565430993873</v>
      </c>
      <c r="Z476" s="44"/>
      <c r="AA476" s="44"/>
    </row>
    <row r="477" spans="1:27">
      <c r="A477" s="148">
        <v>45405</v>
      </c>
      <c r="B477">
        <v>5</v>
      </c>
      <c r="C477" t="s">
        <v>200</v>
      </c>
      <c r="D477">
        <v>1230.9000000000001</v>
      </c>
      <c r="G477">
        <v>1230.6538200000002</v>
      </c>
      <c r="H477" s="521">
        <v>144.64869999999999</v>
      </c>
      <c r="I477">
        <v>0.36978</v>
      </c>
      <c r="J477">
        <v>144.27892</v>
      </c>
      <c r="K477">
        <v>1233.4182397140723</v>
      </c>
      <c r="L477" s="277">
        <v>100.22463016561977</v>
      </c>
      <c r="M477">
        <v>1202.4044215487095</v>
      </c>
      <c r="N477">
        <v>97.704521125909253</v>
      </c>
      <c r="O477">
        <v>128</v>
      </c>
      <c r="P477">
        <v>41.7</v>
      </c>
      <c r="Q477">
        <v>100</v>
      </c>
      <c r="R477">
        <v>3</v>
      </c>
      <c r="S477" t="s">
        <v>54</v>
      </c>
      <c r="T477" t="s">
        <v>54</v>
      </c>
      <c r="X477" s="208">
        <f t="shared" si="21"/>
        <v>147.72360270804361</v>
      </c>
      <c r="Y477" s="208">
        <f t="shared" si="22"/>
        <v>11.865838959094694</v>
      </c>
      <c r="Z477" s="44"/>
      <c r="AA477" s="44"/>
    </row>
    <row r="478" spans="1:27">
      <c r="A478" s="148">
        <v>45405</v>
      </c>
      <c r="B478">
        <v>6</v>
      </c>
      <c r="C478" t="s">
        <v>201</v>
      </c>
      <c r="D478">
        <v>2206.5</v>
      </c>
      <c r="G478">
        <v>2206.0587</v>
      </c>
      <c r="H478" s="521">
        <v>259.11439999999999</v>
      </c>
      <c r="I478">
        <v>0.36978</v>
      </c>
      <c r="J478">
        <v>258.74462</v>
      </c>
      <c r="K478">
        <v>2213.247234062731</v>
      </c>
      <c r="L478" s="277">
        <v>100.32585416075877</v>
      </c>
      <c r="M478">
        <v>2156.348793988343</v>
      </c>
      <c r="N478">
        <v>97.746664401465978</v>
      </c>
      <c r="O478">
        <v>128</v>
      </c>
      <c r="P478">
        <v>41.7</v>
      </c>
      <c r="Q478">
        <v>100</v>
      </c>
      <c r="R478">
        <v>3</v>
      </c>
      <c r="S478" t="s">
        <v>54</v>
      </c>
      <c r="T478" t="s">
        <v>54</v>
      </c>
      <c r="X478" s="208">
        <f t="shared" si="21"/>
        <v>265.22358008270305</v>
      </c>
      <c r="Y478" s="208">
        <f t="shared" si="22"/>
        <v>41.976923753259562</v>
      </c>
      <c r="Z478" s="44"/>
      <c r="AA478" s="44"/>
    </row>
    <row r="479" spans="1:27" ht="15.5">
      <c r="A479" s="148">
        <v>45405</v>
      </c>
      <c r="B479">
        <v>7</v>
      </c>
      <c r="C479" t="s">
        <v>202</v>
      </c>
      <c r="D479">
        <v>2978.6</v>
      </c>
      <c r="G479">
        <v>2978.0042800000001</v>
      </c>
      <c r="H479" s="521">
        <v>349.28980000000001</v>
      </c>
      <c r="I479">
        <v>0.36978</v>
      </c>
      <c r="J479">
        <v>348.92002000000002</v>
      </c>
      <c r="K479">
        <v>2985.1507081775808</v>
      </c>
      <c r="L479" s="277">
        <v>100.23997373763281</v>
      </c>
      <c r="M479">
        <v>2907.8605163863449</v>
      </c>
      <c r="N479">
        <v>97.644605009981532</v>
      </c>
      <c r="O479">
        <v>128</v>
      </c>
      <c r="P479">
        <v>41.7</v>
      </c>
      <c r="Q479">
        <v>100</v>
      </c>
      <c r="R479">
        <v>3</v>
      </c>
      <c r="S479" t="s">
        <v>54</v>
      </c>
      <c r="T479" t="s">
        <v>54</v>
      </c>
      <c r="X479" s="208">
        <f t="shared" si="21"/>
        <v>357.78936581372</v>
      </c>
      <c r="Y479" s="208">
        <f t="shared" si="22"/>
        <v>78.665295163352027</v>
      </c>
      <c r="Z479" s="44"/>
      <c r="AA479" s="52" t="s">
        <v>42</v>
      </c>
    </row>
    <row r="480" spans="1:27" ht="15.5">
      <c r="A480" s="148">
        <v>45405</v>
      </c>
      <c r="B480">
        <v>8</v>
      </c>
      <c r="C480" t="s">
        <v>203</v>
      </c>
      <c r="D480">
        <v>3343.3</v>
      </c>
      <c r="G480">
        <v>3342.6313400000004</v>
      </c>
      <c r="H480" s="521">
        <v>389.70510000000002</v>
      </c>
      <c r="I480">
        <v>0.36978</v>
      </c>
      <c r="J480">
        <v>389.33532000000002</v>
      </c>
      <c r="K480">
        <v>3331.1065950091761</v>
      </c>
      <c r="L480" s="277">
        <v>99.655219382020618</v>
      </c>
      <c r="M480">
        <v>3244.6771173022485</v>
      </c>
      <c r="N480">
        <v>97.069547529050809</v>
      </c>
      <c r="O480">
        <v>128</v>
      </c>
      <c r="P480">
        <v>41.7</v>
      </c>
      <c r="Q480">
        <v>100</v>
      </c>
      <c r="R480">
        <v>3</v>
      </c>
      <c r="S480" t="s">
        <v>54</v>
      </c>
      <c r="T480" t="s">
        <v>54</v>
      </c>
      <c r="X480" s="208">
        <f t="shared" si="21"/>
        <v>399.27600185919107</v>
      </c>
      <c r="Y480" s="208">
        <f t="shared" si="22"/>
        <v>98.817155825649934</v>
      </c>
      <c r="Z480" s="44"/>
      <c r="AA480" s="347">
        <f>(Y481/$AL$15)*100</f>
        <v>3.656092076464331</v>
      </c>
    </row>
    <row r="481" spans="1:27" ht="15.5">
      <c r="A481" s="148">
        <v>45405</v>
      </c>
      <c r="B481">
        <v>9</v>
      </c>
      <c r="C481" t="s">
        <v>61</v>
      </c>
      <c r="H481" s="521">
        <v>0.54849999999999999</v>
      </c>
      <c r="I481">
        <v>0.36978</v>
      </c>
      <c r="J481">
        <v>0.17871999999999999</v>
      </c>
      <c r="K481">
        <v>-8.2748367428289421E-2</v>
      </c>
      <c r="O481">
        <v>128</v>
      </c>
      <c r="P481">
        <v>41.7</v>
      </c>
      <c r="Q481">
        <v>100</v>
      </c>
      <c r="R481">
        <v>3</v>
      </c>
      <c r="S481" t="s">
        <v>54</v>
      </c>
      <c r="T481" t="s">
        <v>54</v>
      </c>
      <c r="X481" s="44"/>
      <c r="Y481" s="347">
        <f>SQRT(SUM(Y475:Y480)/(6-2))</f>
        <v>7.6107331036667834</v>
      </c>
      <c r="Z481" s="52" t="s">
        <v>60</v>
      </c>
      <c r="AA481" s="44"/>
    </row>
    <row r="482" spans="1:27" ht="15.5">
      <c r="A482" s="148">
        <v>45405</v>
      </c>
      <c r="B482">
        <v>10</v>
      </c>
      <c r="C482" t="s">
        <v>63</v>
      </c>
      <c r="H482" s="521">
        <v>0.41039999999999999</v>
      </c>
      <c r="I482">
        <v>0.36978</v>
      </c>
      <c r="J482">
        <v>4.0619999999999989E-2</v>
      </c>
      <c r="K482">
        <v>-1.2648875070967647</v>
      </c>
      <c r="O482">
        <v>128</v>
      </c>
      <c r="P482">
        <v>41.7</v>
      </c>
      <c r="Q482">
        <v>100</v>
      </c>
      <c r="R482">
        <v>3</v>
      </c>
      <c r="S482" t="s">
        <v>54</v>
      </c>
      <c r="T482" t="s">
        <v>54</v>
      </c>
      <c r="X482" s="44"/>
      <c r="Y482" s="347">
        <f>(Y481/12.01)*100.09</f>
        <v>63.427000528393698</v>
      </c>
      <c r="Z482" s="52" t="s">
        <v>62</v>
      </c>
      <c r="AA482" s="44"/>
    </row>
    <row r="483" spans="1:27">
      <c r="A483" s="148">
        <v>45405</v>
      </c>
      <c r="B483">
        <v>11</v>
      </c>
      <c r="C483" t="s">
        <v>64</v>
      </c>
      <c r="D483">
        <v>1057</v>
      </c>
      <c r="H483" s="521">
        <v>16.0059</v>
      </c>
      <c r="I483">
        <v>0.36978</v>
      </c>
      <c r="J483">
        <v>15.63612</v>
      </c>
      <c r="K483">
        <v>132.23294705264044</v>
      </c>
      <c r="L483" s="277">
        <v>12.510212587761632</v>
      </c>
      <c r="M483">
        <v>130.30967950041634</v>
      </c>
      <c r="N483">
        <v>12.3282572848076</v>
      </c>
      <c r="O483">
        <v>128</v>
      </c>
      <c r="P483">
        <v>41.7</v>
      </c>
      <c r="Q483">
        <v>100</v>
      </c>
      <c r="R483">
        <v>3</v>
      </c>
      <c r="S483" t="s">
        <v>54</v>
      </c>
      <c r="T483" t="s">
        <v>54</v>
      </c>
      <c r="AA483" s="44"/>
    </row>
    <row r="484" spans="1:27">
      <c r="A484" s="148">
        <v>45405</v>
      </c>
      <c r="B484">
        <v>12</v>
      </c>
      <c r="C484" t="s">
        <v>64</v>
      </c>
      <c r="D484">
        <v>2045.1</v>
      </c>
      <c r="H484" s="521">
        <v>31.680800000000001</v>
      </c>
      <c r="I484">
        <v>0.36978</v>
      </c>
      <c r="J484">
        <v>31.311020000000003</v>
      </c>
      <c r="K484">
        <v>266.41044741751654</v>
      </c>
      <c r="L484" s="277">
        <v>13.026768735881694</v>
      </c>
      <c r="M484">
        <v>260.94254719400504</v>
      </c>
      <c r="N484">
        <v>12.759402825974528</v>
      </c>
      <c r="O484">
        <v>128</v>
      </c>
      <c r="P484">
        <v>41.7</v>
      </c>
      <c r="Q484">
        <v>100</v>
      </c>
      <c r="R484">
        <v>3</v>
      </c>
      <c r="S484" t="s">
        <v>54</v>
      </c>
      <c r="T484" t="s">
        <v>54</v>
      </c>
      <c r="AA484" s="44"/>
    </row>
    <row r="485" spans="1:27">
      <c r="A485" s="148">
        <v>45405</v>
      </c>
      <c r="B485">
        <v>13</v>
      </c>
      <c r="C485" t="s">
        <v>65</v>
      </c>
      <c r="H485" s="521">
        <v>0.55549999999999999</v>
      </c>
      <c r="I485">
        <v>0.36978</v>
      </c>
      <c r="J485">
        <v>0.18572</v>
      </c>
      <c r="K485">
        <v>-2.282820828506469E-2</v>
      </c>
      <c r="O485">
        <v>128</v>
      </c>
      <c r="P485">
        <v>41.7</v>
      </c>
      <c r="Q485">
        <v>100</v>
      </c>
      <c r="R485">
        <v>3</v>
      </c>
      <c r="S485" t="s">
        <v>54</v>
      </c>
      <c r="T485" t="s">
        <v>54</v>
      </c>
      <c r="AA485" s="44"/>
    </row>
    <row r="486" spans="1:27">
      <c r="A486" s="148">
        <v>45405</v>
      </c>
      <c r="B486">
        <v>14</v>
      </c>
      <c r="C486" t="s">
        <v>66</v>
      </c>
      <c r="H486" s="521">
        <v>0.27989999999999998</v>
      </c>
      <c r="I486">
        <v>0.36978</v>
      </c>
      <c r="J486">
        <v>-8.9880000000000015E-2</v>
      </c>
      <c r="K486">
        <v>-2.3819704739811676</v>
      </c>
      <c r="O486">
        <v>128</v>
      </c>
      <c r="P486">
        <v>41.7</v>
      </c>
      <c r="Q486">
        <v>100</v>
      </c>
      <c r="R486">
        <v>3</v>
      </c>
      <c r="S486" t="s">
        <v>54</v>
      </c>
      <c r="T486" t="s">
        <v>54</v>
      </c>
      <c r="AA486" s="44"/>
    </row>
    <row r="487" spans="1:27">
      <c r="A487" s="148">
        <v>45405</v>
      </c>
      <c r="B487">
        <v>15</v>
      </c>
      <c r="C487" t="s">
        <v>168</v>
      </c>
      <c r="D487">
        <v>3068.3</v>
      </c>
      <c r="E487" t="s">
        <v>68</v>
      </c>
      <c r="H487" s="521">
        <v>259.4803</v>
      </c>
      <c r="I487">
        <v>0.36978</v>
      </c>
      <c r="J487">
        <v>259.11052000000001</v>
      </c>
      <c r="K487">
        <v>2216.3793463813749</v>
      </c>
      <c r="L487" s="277">
        <v>72.234766691046332</v>
      </c>
      <c r="M487">
        <v>2159.3981637635306</v>
      </c>
      <c r="N487">
        <v>70.377673753007542</v>
      </c>
      <c r="O487">
        <v>128</v>
      </c>
      <c r="P487">
        <v>41.7</v>
      </c>
      <c r="Q487">
        <v>100</v>
      </c>
      <c r="R487">
        <v>3</v>
      </c>
      <c r="S487" t="s">
        <v>54</v>
      </c>
      <c r="T487" t="s">
        <v>54</v>
      </c>
      <c r="AA487" s="44"/>
    </row>
    <row r="488" spans="1:27">
      <c r="A488" s="148">
        <v>45405</v>
      </c>
      <c r="B488">
        <v>16</v>
      </c>
      <c r="C488" t="s">
        <v>204</v>
      </c>
      <c r="D488">
        <v>2188.3000000000002</v>
      </c>
      <c r="H488" s="521">
        <v>192.51769999999999</v>
      </c>
      <c r="I488">
        <v>0.36978</v>
      </c>
      <c r="J488">
        <v>192.14792</v>
      </c>
      <c r="K488">
        <v>1643.1779680036468</v>
      </c>
      <c r="L488" s="277">
        <v>75.089245898809438</v>
      </c>
      <c r="M488">
        <v>1601.3393266278104</v>
      </c>
      <c r="N488">
        <v>73.177321511118691</v>
      </c>
      <c r="O488">
        <v>128</v>
      </c>
      <c r="P488">
        <v>41.7</v>
      </c>
      <c r="Q488">
        <v>100</v>
      </c>
      <c r="R488">
        <v>3</v>
      </c>
      <c r="S488" t="s">
        <v>54</v>
      </c>
      <c r="T488" t="s">
        <v>54</v>
      </c>
      <c r="AA488" s="44"/>
    </row>
    <row r="489" spans="1:27">
      <c r="A489" s="148">
        <v>45405</v>
      </c>
      <c r="B489">
        <v>17</v>
      </c>
      <c r="C489" t="s">
        <v>205</v>
      </c>
      <c r="D489">
        <v>2313.1999999999998</v>
      </c>
      <c r="H489" s="521">
        <v>190.86689999999999</v>
      </c>
      <c r="I489">
        <v>0.36978</v>
      </c>
      <c r="J489">
        <v>190.49712</v>
      </c>
      <c r="K489">
        <v>1629.0470824731276</v>
      </c>
      <c r="L489" s="277">
        <v>70.423961718533974</v>
      </c>
      <c r="M489">
        <v>1587.5817436136554</v>
      </c>
      <c r="N489">
        <v>68.631408594745608</v>
      </c>
      <c r="O489">
        <v>128</v>
      </c>
      <c r="P489">
        <v>41.7</v>
      </c>
      <c r="Q489">
        <v>100</v>
      </c>
      <c r="R489">
        <v>3</v>
      </c>
      <c r="S489" t="s">
        <v>54</v>
      </c>
      <c r="T489" t="s">
        <v>54</v>
      </c>
      <c r="AA489" s="44"/>
    </row>
    <row r="490" spans="1:27">
      <c r="A490" s="148">
        <v>45405</v>
      </c>
      <c r="B490">
        <v>18</v>
      </c>
      <c r="C490" t="s">
        <v>173</v>
      </c>
      <c r="D490">
        <v>2133.6999999999998</v>
      </c>
      <c r="H490" s="521">
        <v>131.4357</v>
      </c>
      <c r="I490">
        <v>0.36978</v>
      </c>
      <c r="J490">
        <v>131.06592000000001</v>
      </c>
      <c r="K490">
        <v>1120.3146593198685</v>
      </c>
      <c r="L490" s="277">
        <v>52.505725234094228</v>
      </c>
      <c r="M490">
        <v>1092.2887537718568</v>
      </c>
      <c r="N490">
        <v>51.192236667378587</v>
      </c>
      <c r="O490">
        <v>128</v>
      </c>
      <c r="P490">
        <v>41.7</v>
      </c>
      <c r="Q490">
        <v>100</v>
      </c>
      <c r="R490">
        <v>3</v>
      </c>
      <c r="S490" t="s">
        <v>54</v>
      </c>
      <c r="T490" t="s">
        <v>54</v>
      </c>
      <c r="AA490" s="44"/>
    </row>
    <row r="491" spans="1:27">
      <c r="A491" s="148">
        <v>45405</v>
      </c>
      <c r="B491">
        <v>19</v>
      </c>
      <c r="C491" t="s">
        <v>150</v>
      </c>
      <c r="D491">
        <v>2862.9</v>
      </c>
      <c r="H491" s="521">
        <v>246.87569999999999</v>
      </c>
      <c r="I491">
        <v>0.36978</v>
      </c>
      <c r="J491">
        <v>246.50592</v>
      </c>
      <c r="K491">
        <v>2108.4836838189908</v>
      </c>
      <c r="L491" s="277">
        <v>73.648527151454488</v>
      </c>
      <c r="M491">
        <v>2054.3528337052458</v>
      </c>
      <c r="N491">
        <v>71.757757298726673</v>
      </c>
      <c r="O491">
        <v>128</v>
      </c>
      <c r="P491">
        <v>41.7</v>
      </c>
      <c r="Q491">
        <v>100</v>
      </c>
      <c r="R491">
        <v>3</v>
      </c>
      <c r="S491" t="s">
        <v>54</v>
      </c>
      <c r="T491" t="s">
        <v>54</v>
      </c>
      <c r="AA491" s="44"/>
    </row>
    <row r="492" spans="1:27">
      <c r="A492" s="148">
        <v>45405</v>
      </c>
      <c r="B492">
        <v>20</v>
      </c>
      <c r="C492" t="s">
        <v>74</v>
      </c>
      <c r="H492" s="521">
        <v>0.40770000000000001</v>
      </c>
      <c r="I492">
        <v>0.36978</v>
      </c>
      <c r="J492">
        <v>3.7920000000000009E-2</v>
      </c>
      <c r="K492">
        <v>-1.2879995684805798</v>
      </c>
      <c r="L492" s="277" t="e">
        <v>#DIV/0!</v>
      </c>
      <c r="O492">
        <v>128</v>
      </c>
      <c r="P492">
        <v>41.7</v>
      </c>
      <c r="Q492">
        <v>100</v>
      </c>
      <c r="R492">
        <v>3</v>
      </c>
      <c r="S492" t="s">
        <v>54</v>
      </c>
      <c r="T492" t="s">
        <v>54</v>
      </c>
      <c r="AA492" s="44"/>
    </row>
    <row r="493" spans="1:27">
      <c r="A493" s="148">
        <v>45405</v>
      </c>
      <c r="B493">
        <v>21</v>
      </c>
      <c r="C493" t="s">
        <v>170</v>
      </c>
      <c r="D493">
        <v>2711.3</v>
      </c>
      <c r="H493" s="521">
        <v>207.52860000000001</v>
      </c>
      <c r="I493">
        <v>0.36978</v>
      </c>
      <c r="J493">
        <v>207.15882000000002</v>
      </c>
      <c r="K493">
        <v>1771.6716132726515</v>
      </c>
      <c r="L493" s="277">
        <v>65.343990457442985</v>
      </c>
      <c r="M493">
        <v>1726.4384924063281</v>
      </c>
      <c r="N493">
        <v>63.675671906698931</v>
      </c>
      <c r="O493">
        <v>128</v>
      </c>
      <c r="P493">
        <v>41.7</v>
      </c>
      <c r="Q493">
        <v>100</v>
      </c>
      <c r="R493">
        <v>3</v>
      </c>
      <c r="S493" t="s">
        <v>54</v>
      </c>
      <c r="T493" t="s">
        <v>54</v>
      </c>
      <c r="AA493" s="44"/>
    </row>
    <row r="494" spans="1:27">
      <c r="A494" s="148">
        <v>45405</v>
      </c>
      <c r="B494">
        <v>22</v>
      </c>
      <c r="C494" t="s">
        <v>206</v>
      </c>
      <c r="D494">
        <v>2388.6999999999998</v>
      </c>
      <c r="H494" s="521">
        <v>213.1532</v>
      </c>
      <c r="I494">
        <v>0.36978</v>
      </c>
      <c r="J494">
        <v>212.78342000000001</v>
      </c>
      <c r="K494">
        <v>1819.8183171465059</v>
      </c>
      <c r="L494" s="277">
        <v>76.184465070812834</v>
      </c>
      <c r="M494">
        <v>1773.3132812489594</v>
      </c>
      <c r="N494">
        <v>74.237588698830294</v>
      </c>
      <c r="O494">
        <v>128</v>
      </c>
      <c r="P494">
        <v>41.7</v>
      </c>
      <c r="Q494">
        <v>100</v>
      </c>
      <c r="R494">
        <v>3</v>
      </c>
      <c r="S494" t="s">
        <v>54</v>
      </c>
      <c r="T494" t="s">
        <v>54</v>
      </c>
      <c r="AA494" s="44"/>
    </row>
    <row r="495" spans="1:27">
      <c r="A495" s="148">
        <v>45405</v>
      </c>
      <c r="B495">
        <v>23</v>
      </c>
      <c r="C495" t="s">
        <v>102</v>
      </c>
      <c r="D495">
        <v>2298.5</v>
      </c>
      <c r="H495" s="521">
        <v>182.82859999999999</v>
      </c>
      <c r="I495">
        <v>0.36978</v>
      </c>
      <c r="J495">
        <v>182.45882</v>
      </c>
      <c r="K495">
        <v>1560.2390517244157</v>
      </c>
      <c r="L495" s="277">
        <v>67.880750564473175</v>
      </c>
      <c r="M495">
        <v>1520.5914482764363</v>
      </c>
      <c r="N495">
        <v>66.155816762081187</v>
      </c>
      <c r="O495">
        <v>128</v>
      </c>
      <c r="P495">
        <v>41.7</v>
      </c>
      <c r="Q495">
        <v>100</v>
      </c>
      <c r="R495">
        <v>3</v>
      </c>
      <c r="S495" t="s">
        <v>54</v>
      </c>
      <c r="T495" t="s">
        <v>54</v>
      </c>
      <c r="AA495" s="44"/>
    </row>
    <row r="496" spans="1:27">
      <c r="A496" s="148">
        <v>45405</v>
      </c>
      <c r="B496">
        <v>24</v>
      </c>
      <c r="C496" t="s">
        <v>72</v>
      </c>
      <c r="D496">
        <v>2560.6</v>
      </c>
      <c r="H496" s="521">
        <v>223.27420000000001</v>
      </c>
      <c r="I496">
        <v>0.36978</v>
      </c>
      <c r="J496">
        <v>222.90442000000002</v>
      </c>
      <c r="K496">
        <v>1906.4543072448741</v>
      </c>
      <c r="L496" s="277">
        <v>74.453421356122561</v>
      </c>
      <c r="M496">
        <v>1857.6605660116572</v>
      </c>
      <c r="N496">
        <v>72.547862454567579</v>
      </c>
      <c r="O496">
        <v>128</v>
      </c>
      <c r="P496">
        <v>41.7</v>
      </c>
      <c r="Q496">
        <v>100</v>
      </c>
      <c r="R496">
        <v>3</v>
      </c>
      <c r="S496" t="s">
        <v>54</v>
      </c>
      <c r="T496" t="s">
        <v>54</v>
      </c>
      <c r="AA496" s="44"/>
    </row>
    <row r="497" spans="1:27">
      <c r="A497" s="148">
        <v>45405</v>
      </c>
      <c r="B497">
        <v>25</v>
      </c>
      <c r="C497" t="s">
        <v>108</v>
      </c>
      <c r="D497">
        <v>2758.6</v>
      </c>
      <c r="H497" s="521">
        <v>236.8185</v>
      </c>
      <c r="I497">
        <v>0.36978</v>
      </c>
      <c r="J497">
        <v>236.44872000000001</v>
      </c>
      <c r="K497">
        <v>2022.3938231710995</v>
      </c>
      <c r="L497" s="277">
        <v>73.312325932396845</v>
      </c>
      <c r="M497">
        <v>1970.5372510241468</v>
      </c>
      <c r="N497">
        <v>71.432511093458515</v>
      </c>
      <c r="O497">
        <v>128</v>
      </c>
      <c r="P497">
        <v>41.7</v>
      </c>
      <c r="Q497">
        <v>100</v>
      </c>
      <c r="R497">
        <v>3</v>
      </c>
      <c r="S497" t="s">
        <v>54</v>
      </c>
      <c r="T497" t="s">
        <v>54</v>
      </c>
      <c r="AA497" s="44"/>
    </row>
    <row r="498" spans="1:27">
      <c r="A498" s="148">
        <v>45405</v>
      </c>
      <c r="B498">
        <v>26</v>
      </c>
      <c r="C498" t="s">
        <v>188</v>
      </c>
      <c r="D498" t="s">
        <v>3235</v>
      </c>
      <c r="H498" s="521">
        <v>0.41670000000000001</v>
      </c>
      <c r="I498">
        <v>0.36978</v>
      </c>
      <c r="J498">
        <v>4.6920000000000017E-2</v>
      </c>
      <c r="K498">
        <v>-1.2109593638678624</v>
      </c>
      <c r="M498">
        <v>0.3910260449625314</v>
      </c>
      <c r="N498" t="e">
        <v>#VALUE!</v>
      </c>
      <c r="O498">
        <v>128</v>
      </c>
      <c r="P498">
        <v>41.7</v>
      </c>
      <c r="Q498">
        <v>100</v>
      </c>
      <c r="R498">
        <v>3</v>
      </c>
      <c r="S498" t="s">
        <v>54</v>
      </c>
      <c r="T498" t="s">
        <v>54</v>
      </c>
      <c r="AA498" s="44"/>
    </row>
    <row r="499" spans="1:27">
      <c r="A499" s="148">
        <v>45405</v>
      </c>
      <c r="B499">
        <v>27</v>
      </c>
      <c r="C499" t="s">
        <v>207</v>
      </c>
      <c r="D499">
        <v>2019.1</v>
      </c>
      <c r="G499">
        <v>2018.6961799999999</v>
      </c>
      <c r="H499" s="521">
        <v>233.20869999999999</v>
      </c>
      <c r="I499">
        <v>0.36978</v>
      </c>
      <c r="J499">
        <v>232.83892</v>
      </c>
      <c r="K499">
        <v>1991.4938531032119</v>
      </c>
      <c r="L499" s="277">
        <v>98.652480389753947</v>
      </c>
      <c r="M499">
        <v>1940.4535805828475</v>
      </c>
      <c r="N499">
        <v>96.124102269953653</v>
      </c>
      <c r="O499">
        <v>128</v>
      </c>
      <c r="P499">
        <v>41.7</v>
      </c>
      <c r="Q499">
        <v>100</v>
      </c>
      <c r="R499">
        <v>3</v>
      </c>
      <c r="S499" t="s">
        <v>54</v>
      </c>
      <c r="T499" t="s">
        <v>54</v>
      </c>
      <c r="AA499" s="44"/>
    </row>
    <row r="500" spans="1:27">
      <c r="A500" s="148">
        <v>45405</v>
      </c>
      <c r="B500">
        <v>28</v>
      </c>
      <c r="C500" t="s">
        <v>84</v>
      </c>
      <c r="H500" s="521">
        <v>0</v>
      </c>
      <c r="I500">
        <v>0.36978</v>
      </c>
      <c r="J500">
        <v>-0.36978</v>
      </c>
      <c r="K500">
        <v>-4.7779208374366799</v>
      </c>
      <c r="O500">
        <v>128</v>
      </c>
      <c r="P500">
        <v>41.7</v>
      </c>
      <c r="Q500">
        <v>100</v>
      </c>
      <c r="R500">
        <v>3</v>
      </c>
      <c r="S500" t="s">
        <v>54</v>
      </c>
      <c r="T500" t="s">
        <v>54</v>
      </c>
      <c r="AA500" s="44"/>
    </row>
    <row r="501" spans="1:27">
      <c r="H501" s="521"/>
      <c r="AA501" s="44"/>
    </row>
    <row r="502" spans="1:27">
      <c r="H502" s="521"/>
      <c r="AA502" s="44"/>
    </row>
    <row r="503" spans="1:27">
      <c r="A503" s="148" t="s">
        <v>85</v>
      </c>
      <c r="H503" s="521"/>
      <c r="AA503" s="44"/>
    </row>
    <row r="504" spans="1:27">
      <c r="A504" s="148" t="s">
        <v>38</v>
      </c>
      <c r="H504" s="521"/>
      <c r="AA504" s="44"/>
    </row>
    <row r="505" spans="1:27">
      <c r="A505" s="148" t="s">
        <v>208</v>
      </c>
      <c r="H505" s="521"/>
      <c r="AA505" s="44"/>
    </row>
    <row r="506" spans="1:27">
      <c r="A506" s="148">
        <v>45475</v>
      </c>
      <c r="B506">
        <v>1</v>
      </c>
      <c r="C506" t="s">
        <v>45</v>
      </c>
      <c r="H506" s="521">
        <v>0.2361</v>
      </c>
      <c r="AA506" s="44"/>
    </row>
    <row r="507" spans="1:27">
      <c r="A507" s="148">
        <v>45475</v>
      </c>
      <c r="B507">
        <v>2</v>
      </c>
      <c r="C507" t="s">
        <v>49</v>
      </c>
      <c r="H507" s="521">
        <v>0.31609999999999999</v>
      </c>
      <c r="X507" s="348">
        <f>A508</f>
        <v>45475</v>
      </c>
      <c r="Y507" s="44"/>
      <c r="Z507" s="44"/>
      <c r="AA507" s="44"/>
    </row>
    <row r="508" spans="1:27">
      <c r="A508" s="148">
        <v>45475</v>
      </c>
      <c r="B508">
        <v>3</v>
      </c>
      <c r="C508" t="s">
        <v>51</v>
      </c>
      <c r="G508">
        <v>0</v>
      </c>
      <c r="H508" s="521">
        <v>0.3579</v>
      </c>
      <c r="I508">
        <v>0.34411000000000003</v>
      </c>
      <c r="J508">
        <v>0.34411000000000003</v>
      </c>
      <c r="X508" s="208">
        <f>((J508-INDEX(LINEST($H$508:$H$513,$G$508:$G$513),2))/INDEX(LINEST($H$508:$H$513,$G$508:$G$513),1)/100.09)*12.01</f>
        <v>0.81466042293643015</v>
      </c>
      <c r="Y508" s="208">
        <f>(J508-X508)^2</f>
        <v>0.22141770052565327</v>
      </c>
      <c r="Z508" s="44"/>
      <c r="AA508" s="44"/>
    </row>
    <row r="509" spans="1:27">
      <c r="A509" s="148">
        <v>45475</v>
      </c>
      <c r="B509">
        <v>4</v>
      </c>
      <c r="C509" t="s">
        <v>209</v>
      </c>
      <c r="D509">
        <v>279.8</v>
      </c>
      <c r="G509">
        <v>279.74404000000004</v>
      </c>
      <c r="H509" s="521">
        <v>32.514699999999998</v>
      </c>
      <c r="I509">
        <v>0.34411000000000003</v>
      </c>
      <c r="J509">
        <v>32.170589999999997</v>
      </c>
      <c r="K509">
        <v>279.03623161591844</v>
      </c>
      <c r="L509" s="277">
        <v>99.746979994969109</v>
      </c>
      <c r="M509">
        <v>268.10610766860947</v>
      </c>
      <c r="N509">
        <v>95.839792572027434</v>
      </c>
      <c r="O509">
        <v>128</v>
      </c>
      <c r="P509">
        <v>41.7</v>
      </c>
      <c r="Q509">
        <v>100</v>
      </c>
      <c r="R509">
        <v>3</v>
      </c>
      <c r="S509" t="s">
        <v>54</v>
      </c>
      <c r="T509" t="s">
        <v>54</v>
      </c>
      <c r="X509" s="208">
        <f t="shared" ref="X509:X513" si="23">((J509-INDEX(LINEST($H$508:$H$513,$G$508:$G$513),2))/INDEX(LINEST($H$508:$H$513,$G$508:$G$513),1)/100.09)*12.01</f>
        <v>33.26010976518392</v>
      </c>
      <c r="Y509" s="208">
        <f t="shared" ref="Y509:Y513" si="24">(J509-X509)^2</f>
        <v>1.1870533187264298</v>
      </c>
      <c r="Z509" s="44"/>
      <c r="AA509" s="44"/>
    </row>
    <row r="510" spans="1:27">
      <c r="A510" s="148">
        <v>45475</v>
      </c>
      <c r="B510">
        <v>5</v>
      </c>
      <c r="C510" t="s">
        <v>210</v>
      </c>
      <c r="D510">
        <v>1010.6</v>
      </c>
      <c r="G510">
        <v>1010.3978800000001</v>
      </c>
      <c r="H510" s="521">
        <v>118.6644</v>
      </c>
      <c r="I510">
        <v>0.34411000000000003</v>
      </c>
      <c r="J510">
        <v>118.32029</v>
      </c>
      <c r="K510">
        <v>1011.2793590934746</v>
      </c>
      <c r="L510" s="277">
        <v>100.08724079008108</v>
      </c>
      <c r="M510">
        <v>986.06809542880933</v>
      </c>
      <c r="N510">
        <v>97.592059024194427</v>
      </c>
      <c r="O510">
        <v>128</v>
      </c>
      <c r="P510">
        <v>41.7</v>
      </c>
      <c r="Q510">
        <v>100</v>
      </c>
      <c r="R510">
        <v>3</v>
      </c>
      <c r="S510" t="s">
        <v>54</v>
      </c>
      <c r="T510" t="s">
        <v>54</v>
      </c>
      <c r="X510" s="208">
        <f t="shared" si="23"/>
        <v>121.08527067521287</v>
      </c>
      <c r="Y510" s="208">
        <f t="shared" si="24"/>
        <v>7.6451181343006089</v>
      </c>
      <c r="Z510" s="44"/>
      <c r="AA510" s="44"/>
    </row>
    <row r="511" spans="1:27">
      <c r="A511" s="148">
        <v>45475</v>
      </c>
      <c r="B511">
        <v>6</v>
      </c>
      <c r="C511" t="s">
        <v>211</v>
      </c>
      <c r="D511">
        <v>2155.8000000000002</v>
      </c>
      <c r="G511">
        <v>2155.3688400000001</v>
      </c>
      <c r="H511" s="521">
        <v>251.45849999999999</v>
      </c>
      <c r="I511">
        <v>0.34411000000000003</v>
      </c>
      <c r="J511">
        <v>251.11438999999999</v>
      </c>
      <c r="K511">
        <v>2139.9840103524725</v>
      </c>
      <c r="L511" s="277">
        <v>99.286208960526338</v>
      </c>
      <c r="M511">
        <v>2092.7593085012491</v>
      </c>
      <c r="N511">
        <v>97.095182488638429</v>
      </c>
      <c r="O511">
        <v>128</v>
      </c>
      <c r="P511">
        <v>41.7</v>
      </c>
      <c r="Q511">
        <v>100</v>
      </c>
      <c r="R511">
        <v>3</v>
      </c>
      <c r="S511" t="s">
        <v>54</v>
      </c>
      <c r="T511" t="s">
        <v>54</v>
      </c>
      <c r="X511" s="208">
        <f t="shared" si="23"/>
        <v>256.46198354133395</v>
      </c>
      <c r="Y511" s="208">
        <f t="shared" si="24"/>
        <v>28.596756683316727</v>
      </c>
      <c r="Z511" s="44"/>
      <c r="AA511" s="44"/>
    </row>
    <row r="512" spans="1:27" ht="15.5">
      <c r="A512" s="148">
        <v>45475</v>
      </c>
      <c r="B512">
        <v>7</v>
      </c>
      <c r="C512" t="s">
        <v>212</v>
      </c>
      <c r="D512">
        <v>3050.5</v>
      </c>
      <c r="G512">
        <v>3049.8899000000001</v>
      </c>
      <c r="H512" s="521">
        <v>356.4314</v>
      </c>
      <c r="I512">
        <v>0.34411000000000003</v>
      </c>
      <c r="J512">
        <v>356.08729</v>
      </c>
      <c r="K512">
        <v>3032.2179310322749</v>
      </c>
      <c r="L512" s="277">
        <v>99.420570264922503</v>
      </c>
      <c r="M512">
        <v>2967.5917448875934</v>
      </c>
      <c r="N512">
        <v>97.30160242465125</v>
      </c>
      <c r="O512">
        <v>128</v>
      </c>
      <c r="P512">
        <v>41.7</v>
      </c>
      <c r="Q512">
        <v>100</v>
      </c>
      <c r="R512">
        <v>3</v>
      </c>
      <c r="S512" t="s">
        <v>54</v>
      </c>
      <c r="T512" t="s">
        <v>54</v>
      </c>
      <c r="X512" s="208">
        <f t="shared" si="23"/>
        <v>363.47642275229322</v>
      </c>
      <c r="Y512" s="208">
        <f t="shared" si="24"/>
        <v>54.599282831012403</v>
      </c>
      <c r="Z512" s="44"/>
      <c r="AA512" s="52" t="s">
        <v>42</v>
      </c>
    </row>
    <row r="513" spans="1:27" ht="15.5">
      <c r="A513" s="148">
        <v>45475</v>
      </c>
      <c r="B513">
        <v>8</v>
      </c>
      <c r="C513" t="s">
        <v>213</v>
      </c>
      <c r="D513">
        <v>3545.9</v>
      </c>
      <c r="G513">
        <v>3545.1908200000003</v>
      </c>
      <c r="H513" s="521">
        <v>419.6497</v>
      </c>
      <c r="I513">
        <v>0.34411000000000003</v>
      </c>
      <c r="J513">
        <v>419.30559</v>
      </c>
      <c r="K513">
        <v>3569.5519636036524</v>
      </c>
      <c r="L513" s="277">
        <v>100.68716029236622</v>
      </c>
      <c r="M513">
        <v>3494.4460035886759</v>
      </c>
      <c r="N513">
        <v>98.56862947616105</v>
      </c>
      <c r="O513">
        <v>128</v>
      </c>
      <c r="P513">
        <v>41.7</v>
      </c>
      <c r="Q513">
        <v>100</v>
      </c>
      <c r="R513">
        <v>3</v>
      </c>
      <c r="S513" t="s">
        <v>54</v>
      </c>
      <c r="T513" t="s">
        <v>54</v>
      </c>
      <c r="X513" s="208">
        <f t="shared" si="23"/>
        <v>427.92420806040786</v>
      </c>
      <c r="Y513" s="208">
        <f t="shared" si="24"/>
        <v>74.28057727118869</v>
      </c>
      <c r="Z513" s="44"/>
      <c r="AA513" s="347">
        <f>(Y514/$AL$15)*100</f>
        <v>3.0996106637510872</v>
      </c>
    </row>
    <row r="514" spans="1:27" ht="15.5">
      <c r="A514" s="148">
        <v>45475</v>
      </c>
      <c r="B514">
        <v>9</v>
      </c>
      <c r="C514" t="s">
        <v>61</v>
      </c>
      <c r="H514" s="521">
        <v>0.45839999999999997</v>
      </c>
      <c r="I514">
        <v>0.34411000000000003</v>
      </c>
      <c r="J514">
        <v>0.11428999999999995</v>
      </c>
      <c r="K514">
        <v>6.568592525372785</v>
      </c>
      <c r="O514">
        <v>128</v>
      </c>
      <c r="P514">
        <v>41.7</v>
      </c>
      <c r="Q514">
        <v>100</v>
      </c>
      <c r="R514">
        <v>3</v>
      </c>
      <c r="S514" t="s">
        <v>54</v>
      </c>
      <c r="T514" t="s">
        <v>54</v>
      </c>
      <c r="X514" s="44"/>
      <c r="Y514" s="347">
        <f>SQRT(SUM(Y508:Y513)/(6-2))</f>
        <v>6.4523291519239496</v>
      </c>
      <c r="Z514" s="52" t="s">
        <v>60</v>
      </c>
      <c r="AA514" s="44"/>
    </row>
    <row r="515" spans="1:27" ht="15.5">
      <c r="A515" s="148">
        <v>45475</v>
      </c>
      <c r="B515">
        <v>10</v>
      </c>
      <c r="C515" t="s">
        <v>63</v>
      </c>
      <c r="H515" s="521">
        <v>0.4642</v>
      </c>
      <c r="I515">
        <v>0.34411000000000003</v>
      </c>
      <c r="J515">
        <v>0.12008999999999997</v>
      </c>
      <c r="K515">
        <v>6.6178905512436801</v>
      </c>
      <c r="O515">
        <v>128</v>
      </c>
      <c r="P515">
        <v>41.7</v>
      </c>
      <c r="Q515">
        <v>100</v>
      </c>
      <c r="R515">
        <v>3</v>
      </c>
      <c r="S515" t="s">
        <v>54</v>
      </c>
      <c r="T515" t="s">
        <v>54</v>
      </c>
      <c r="X515" s="44"/>
      <c r="Y515" s="347">
        <f>(Y514/12.01)*100.09</f>
        <v>53.772991241970708</v>
      </c>
      <c r="Z515" s="52" t="s">
        <v>62</v>
      </c>
      <c r="AA515" s="44"/>
    </row>
    <row r="516" spans="1:27">
      <c r="A516" s="148">
        <v>45475</v>
      </c>
      <c r="B516">
        <v>11</v>
      </c>
      <c r="C516" t="s">
        <v>64</v>
      </c>
      <c r="D516">
        <v>1112.5</v>
      </c>
      <c r="H516" s="521">
        <v>21.322399999999998</v>
      </c>
      <c r="I516">
        <v>0.34411000000000003</v>
      </c>
      <c r="J516">
        <v>20.978289999999998</v>
      </c>
      <c r="K516">
        <v>183.90549110646742</v>
      </c>
      <c r="L516" s="277">
        <v>16.5308306612555</v>
      </c>
      <c r="M516">
        <v>174.83072823480433</v>
      </c>
      <c r="N516">
        <v>15.715121639083536</v>
      </c>
      <c r="O516">
        <v>128</v>
      </c>
      <c r="P516">
        <v>41.7</v>
      </c>
      <c r="Q516">
        <v>100</v>
      </c>
      <c r="R516">
        <v>3</v>
      </c>
      <c r="S516" t="s">
        <v>54</v>
      </c>
      <c r="T516" t="s">
        <v>54</v>
      </c>
      <c r="AA516" s="44"/>
    </row>
    <row r="517" spans="1:27">
      <c r="A517" s="148">
        <v>45475</v>
      </c>
      <c r="B517">
        <v>12</v>
      </c>
      <c r="C517" t="s">
        <v>64</v>
      </c>
      <c r="D517">
        <v>2097.9</v>
      </c>
      <c r="H517" s="521">
        <v>34.641100000000002</v>
      </c>
      <c r="I517">
        <v>0.34411000000000003</v>
      </c>
      <c r="J517">
        <v>34.296990000000001</v>
      </c>
      <c r="K517">
        <v>297.10990785934445</v>
      </c>
      <c r="L517" s="277">
        <v>14.162253103548522</v>
      </c>
      <c r="M517">
        <v>285.82728801831809</v>
      </c>
      <c r="N517">
        <v>13.624447686654181</v>
      </c>
      <c r="O517">
        <v>128</v>
      </c>
      <c r="P517">
        <v>41.7</v>
      </c>
      <c r="Q517">
        <v>100</v>
      </c>
      <c r="R517">
        <v>3</v>
      </c>
      <c r="S517" t="s">
        <v>54</v>
      </c>
      <c r="T517" t="s">
        <v>54</v>
      </c>
      <c r="AA517" s="44"/>
    </row>
    <row r="518" spans="1:27">
      <c r="A518" s="148">
        <v>45475</v>
      </c>
      <c r="B518">
        <v>13</v>
      </c>
      <c r="C518" t="s">
        <v>214</v>
      </c>
      <c r="D518">
        <v>1292.0999999999999</v>
      </c>
      <c r="H518" s="521">
        <v>124.8366</v>
      </c>
      <c r="I518">
        <v>0.34411000000000003</v>
      </c>
      <c r="J518">
        <v>124.49249</v>
      </c>
      <c r="K518">
        <v>1063.7409582797395</v>
      </c>
      <c r="L518" s="277">
        <v>82.326519486087733</v>
      </c>
      <c r="M518">
        <v>1037.5065215736886</v>
      </c>
      <c r="N518">
        <v>80.29614747880882</v>
      </c>
      <c r="O518">
        <v>128</v>
      </c>
      <c r="P518">
        <v>41.7</v>
      </c>
      <c r="Q518">
        <v>100</v>
      </c>
      <c r="R518">
        <v>3</v>
      </c>
      <c r="S518" t="s">
        <v>54</v>
      </c>
      <c r="T518" t="s">
        <v>54</v>
      </c>
      <c r="AA518" s="44"/>
    </row>
    <row r="519" spans="1:27">
      <c r="A519" s="148">
        <v>45475</v>
      </c>
      <c r="B519">
        <v>14</v>
      </c>
      <c r="C519" t="s">
        <v>214</v>
      </c>
      <c r="D519">
        <v>2004.5</v>
      </c>
      <c r="H519" s="521">
        <v>196.11529999999999</v>
      </c>
      <c r="I519">
        <v>0.34411000000000003</v>
      </c>
      <c r="J519">
        <v>195.77118999999999</v>
      </c>
      <c r="K519">
        <v>1669.5856473562478</v>
      </c>
      <c r="L519" s="277">
        <v>83.291875647605281</v>
      </c>
      <c r="M519">
        <v>1631.5352545462113</v>
      </c>
      <c r="N519">
        <v>81.393627066411142</v>
      </c>
      <c r="O519">
        <v>128</v>
      </c>
      <c r="P519">
        <v>41.7</v>
      </c>
      <c r="Q519">
        <v>100</v>
      </c>
      <c r="R519">
        <v>3</v>
      </c>
      <c r="S519" t="s">
        <v>54</v>
      </c>
      <c r="T519" t="s">
        <v>54</v>
      </c>
      <c r="AA519" s="44"/>
    </row>
    <row r="520" spans="1:27">
      <c r="A520" s="148">
        <v>45475</v>
      </c>
      <c r="B520">
        <v>15</v>
      </c>
      <c r="C520" t="s">
        <v>215</v>
      </c>
      <c r="H520" s="521">
        <v>0.36370000000000002</v>
      </c>
      <c r="I520">
        <v>0.34411000000000003</v>
      </c>
      <c r="J520">
        <v>1.9589999999999996E-2</v>
      </c>
      <c r="K520">
        <v>5.7636747581359336</v>
      </c>
      <c r="M520">
        <v>0.16326087427144045</v>
      </c>
      <c r="N520" t="e">
        <v>#DIV/0!</v>
      </c>
      <c r="O520">
        <v>128</v>
      </c>
      <c r="P520">
        <v>41.7</v>
      </c>
      <c r="Q520">
        <v>100</v>
      </c>
      <c r="R520">
        <v>3</v>
      </c>
      <c r="S520" t="s">
        <v>54</v>
      </c>
      <c r="T520" t="s">
        <v>54</v>
      </c>
      <c r="AA520" s="44"/>
    </row>
    <row r="521" spans="1:27">
      <c r="A521" s="148">
        <v>45475</v>
      </c>
      <c r="B521">
        <v>16</v>
      </c>
      <c r="C521" t="s">
        <v>216</v>
      </c>
      <c r="H521" s="521">
        <v>0.28199999999999997</v>
      </c>
      <c r="I521">
        <v>0.34411000000000003</v>
      </c>
      <c r="J521">
        <v>-6.2110000000000054E-2</v>
      </c>
      <c r="K521">
        <v>5.0692525661269494</v>
      </c>
      <c r="M521">
        <v>-0.51761781015820196</v>
      </c>
      <c r="N521" t="e">
        <v>#DIV/0!</v>
      </c>
      <c r="O521">
        <v>128</v>
      </c>
      <c r="P521">
        <v>41.7</v>
      </c>
      <c r="Q521">
        <v>100</v>
      </c>
      <c r="R521">
        <v>3</v>
      </c>
      <c r="S521" t="s">
        <v>54</v>
      </c>
      <c r="T521" t="s">
        <v>54</v>
      </c>
      <c r="AA521" s="44"/>
    </row>
    <row r="522" spans="1:27">
      <c r="A522" s="148">
        <v>45475</v>
      </c>
      <c r="B522">
        <v>17</v>
      </c>
      <c r="C522" t="s">
        <v>217</v>
      </c>
      <c r="D522">
        <v>3111.9</v>
      </c>
      <c r="H522" s="521">
        <v>245.0538</v>
      </c>
      <c r="I522">
        <v>0.34411000000000003</v>
      </c>
      <c r="J522">
        <v>244.70968999999999</v>
      </c>
      <c r="K522">
        <v>2085.5462403015554</v>
      </c>
      <c r="L522" s="277">
        <v>67.018420910104922</v>
      </c>
      <c r="M522">
        <v>2039.3832532972524</v>
      </c>
      <c r="N522">
        <v>65.534986770052143</v>
      </c>
      <c r="O522">
        <v>128</v>
      </c>
      <c r="P522">
        <v>41.7</v>
      </c>
      <c r="Q522">
        <v>100</v>
      </c>
      <c r="R522">
        <v>3</v>
      </c>
      <c r="S522" t="s">
        <v>54</v>
      </c>
      <c r="T522" t="s">
        <v>54</v>
      </c>
      <c r="AA522" s="44"/>
    </row>
    <row r="523" spans="1:27">
      <c r="A523" s="148">
        <v>45475</v>
      </c>
      <c r="B523">
        <v>18</v>
      </c>
      <c r="C523" t="s">
        <v>218</v>
      </c>
      <c r="D523">
        <v>2761.6</v>
      </c>
      <c r="H523" s="521">
        <v>259.5154</v>
      </c>
      <c r="I523">
        <v>0.34411000000000003</v>
      </c>
      <c r="J523">
        <v>259.17129</v>
      </c>
      <c r="K523">
        <v>2208.4649180488886</v>
      </c>
      <c r="L523" s="277">
        <v>79.970485155304488</v>
      </c>
      <c r="M523">
        <v>2159.9046141631975</v>
      </c>
      <c r="N523">
        <v>78.212073224333622</v>
      </c>
      <c r="O523">
        <v>128</v>
      </c>
      <c r="P523">
        <v>41.7</v>
      </c>
      <c r="Q523">
        <v>100</v>
      </c>
      <c r="R523">
        <v>3</v>
      </c>
      <c r="S523" t="s">
        <v>54</v>
      </c>
      <c r="T523" t="s">
        <v>54</v>
      </c>
      <c r="AA523" s="44"/>
    </row>
    <row r="524" spans="1:27">
      <c r="A524" s="148">
        <v>45475</v>
      </c>
      <c r="B524">
        <v>19</v>
      </c>
      <c r="C524" t="s">
        <v>219</v>
      </c>
      <c r="D524">
        <v>2454.1999999999998</v>
      </c>
      <c r="H524" s="521">
        <v>223.43010000000001</v>
      </c>
      <c r="I524">
        <v>0.34411000000000003</v>
      </c>
      <c r="J524">
        <v>223.08599000000001</v>
      </c>
      <c r="K524">
        <v>1901.752150297337</v>
      </c>
      <c r="L524" s="277">
        <v>77.489697265803002</v>
      </c>
      <c r="M524">
        <v>1859.1737501332227</v>
      </c>
      <c r="N524">
        <v>75.754777529672523</v>
      </c>
      <c r="O524">
        <v>128</v>
      </c>
      <c r="P524">
        <v>41.7</v>
      </c>
      <c r="Q524">
        <v>100</v>
      </c>
      <c r="R524">
        <v>3</v>
      </c>
      <c r="S524" t="s">
        <v>54</v>
      </c>
      <c r="T524" t="s">
        <v>54</v>
      </c>
      <c r="AA524" s="44"/>
    </row>
    <row r="525" spans="1:27">
      <c r="A525" s="148">
        <v>45475</v>
      </c>
      <c r="B525">
        <v>20</v>
      </c>
      <c r="C525" t="s">
        <v>220</v>
      </c>
      <c r="D525">
        <v>2467.9</v>
      </c>
      <c r="H525" s="521">
        <v>217.23769999999999</v>
      </c>
      <c r="I525">
        <v>0.34411000000000003</v>
      </c>
      <c r="J525">
        <v>216.89358999999999</v>
      </c>
      <c r="K525">
        <v>1849.1188579864872</v>
      </c>
      <c r="L525" s="277">
        <v>74.926814619169619</v>
      </c>
      <c r="M525">
        <v>1807.5669794421315</v>
      </c>
      <c r="N525">
        <v>73.243120849391445</v>
      </c>
      <c r="O525">
        <v>128</v>
      </c>
      <c r="P525">
        <v>41.7</v>
      </c>
      <c r="Q525">
        <v>100</v>
      </c>
      <c r="R525">
        <v>3</v>
      </c>
      <c r="S525" t="s">
        <v>54</v>
      </c>
      <c r="T525" t="s">
        <v>54</v>
      </c>
      <c r="AA525" s="44"/>
    </row>
    <row r="526" spans="1:27">
      <c r="A526" s="148">
        <v>45475</v>
      </c>
      <c r="B526">
        <v>21</v>
      </c>
      <c r="C526" t="s">
        <v>74</v>
      </c>
      <c r="H526" s="521">
        <v>0.40789999999999998</v>
      </c>
      <c r="I526">
        <v>0.34411000000000003</v>
      </c>
      <c r="J526">
        <v>6.3789999999999958E-2</v>
      </c>
      <c r="K526">
        <v>6.1393597139106841</v>
      </c>
      <c r="M526">
        <v>0.53161874271440435</v>
      </c>
      <c r="N526" t="e">
        <v>#DIV/0!</v>
      </c>
      <c r="O526">
        <v>128</v>
      </c>
      <c r="P526">
        <v>41.7</v>
      </c>
      <c r="Q526">
        <v>100</v>
      </c>
      <c r="R526">
        <v>3</v>
      </c>
      <c r="S526" t="s">
        <v>54</v>
      </c>
      <c r="T526" t="s">
        <v>54</v>
      </c>
      <c r="AA526" s="44"/>
    </row>
    <row r="527" spans="1:27">
      <c r="A527" s="148">
        <v>45475</v>
      </c>
      <c r="B527">
        <v>22</v>
      </c>
      <c r="C527" t="s">
        <v>221</v>
      </c>
      <c r="D527">
        <v>2111</v>
      </c>
      <c r="H527" s="521">
        <v>197.1097</v>
      </c>
      <c r="I527">
        <v>0.34411000000000003</v>
      </c>
      <c r="J527">
        <v>196.76559</v>
      </c>
      <c r="K527">
        <v>1678.0377088952166</v>
      </c>
      <c r="L527" s="277">
        <v>79.490180430848724</v>
      </c>
      <c r="M527">
        <v>1639.8224731973357</v>
      </c>
      <c r="N527">
        <v>77.6798897772305</v>
      </c>
      <c r="O527">
        <v>128</v>
      </c>
      <c r="P527">
        <v>41.7</v>
      </c>
      <c r="Q527">
        <v>100</v>
      </c>
      <c r="R527">
        <v>3</v>
      </c>
      <c r="S527" t="s">
        <v>54</v>
      </c>
      <c r="T527" t="s">
        <v>54</v>
      </c>
      <c r="AA527" s="44"/>
    </row>
    <row r="528" spans="1:27">
      <c r="A528" s="148">
        <v>45475</v>
      </c>
      <c r="B528">
        <v>23</v>
      </c>
      <c r="C528" t="s">
        <v>222</v>
      </c>
      <c r="D528">
        <v>2014.6</v>
      </c>
      <c r="H528" s="521">
        <v>178.98779999999999</v>
      </c>
      <c r="I528">
        <v>0.34411000000000003</v>
      </c>
      <c r="J528">
        <v>178.64368999999999</v>
      </c>
      <c r="K528">
        <v>1524.0077269935323</v>
      </c>
      <c r="L528" s="277">
        <v>75.648154819494309</v>
      </c>
      <c r="M528">
        <v>1488.7965805245628</v>
      </c>
      <c r="N528">
        <v>73.900356424330525</v>
      </c>
      <c r="O528">
        <v>128</v>
      </c>
      <c r="P528">
        <v>41.7</v>
      </c>
      <c r="Q528">
        <v>100</v>
      </c>
      <c r="R528">
        <v>3</v>
      </c>
      <c r="S528" t="s">
        <v>54</v>
      </c>
      <c r="T528" t="s">
        <v>54</v>
      </c>
      <c r="AA528" s="44"/>
    </row>
    <row r="529" spans="1:27">
      <c r="A529" s="148">
        <v>45475</v>
      </c>
      <c r="B529">
        <v>24</v>
      </c>
      <c r="C529" t="s">
        <v>223</v>
      </c>
      <c r="D529">
        <v>2705.1</v>
      </c>
      <c r="H529" s="521">
        <v>212.4384</v>
      </c>
      <c r="I529">
        <v>0.34411000000000003</v>
      </c>
      <c r="J529">
        <v>212.09429</v>
      </c>
      <c r="K529">
        <v>1808.3264415102483</v>
      </c>
      <c r="L529" s="277">
        <v>66.848783464945782</v>
      </c>
      <c r="M529">
        <v>1767.5701487177353</v>
      </c>
      <c r="N529">
        <v>65.342137027013237</v>
      </c>
      <c r="O529">
        <v>128</v>
      </c>
      <c r="P529">
        <v>41.7</v>
      </c>
      <c r="Q529">
        <v>100</v>
      </c>
      <c r="R529">
        <v>3</v>
      </c>
      <c r="S529" t="s">
        <v>54</v>
      </c>
      <c r="T529" t="s">
        <v>54</v>
      </c>
      <c r="AA529" s="44"/>
    </row>
    <row r="530" spans="1:27">
      <c r="A530" s="148">
        <v>45475</v>
      </c>
      <c r="B530">
        <v>25</v>
      </c>
      <c r="C530" t="s">
        <v>224</v>
      </c>
      <c r="D530">
        <v>2458.8000000000002</v>
      </c>
      <c r="H530" s="521">
        <v>222.34630000000001</v>
      </c>
      <c r="I530">
        <v>0.34411000000000003</v>
      </c>
      <c r="J530">
        <v>222.00219000000001</v>
      </c>
      <c r="K530">
        <v>1892.5402191871863</v>
      </c>
      <c r="L530" s="277">
        <v>76.970075613599562</v>
      </c>
      <c r="M530">
        <v>1850.1414818567862</v>
      </c>
      <c r="N530">
        <v>75.245708551195136</v>
      </c>
      <c r="O530">
        <v>128</v>
      </c>
      <c r="P530">
        <v>41.7</v>
      </c>
      <c r="Q530">
        <v>100</v>
      </c>
      <c r="R530">
        <v>3</v>
      </c>
      <c r="S530" t="s">
        <v>54</v>
      </c>
      <c r="T530" t="s">
        <v>54</v>
      </c>
      <c r="AA530" s="44"/>
    </row>
    <row r="531" spans="1:27">
      <c r="A531" s="148">
        <v>45475</v>
      </c>
      <c r="B531">
        <v>28</v>
      </c>
      <c r="C531" t="s">
        <v>82</v>
      </c>
      <c r="H531" s="521">
        <v>0.27239999999999998</v>
      </c>
      <c r="I531">
        <v>0.34411000000000003</v>
      </c>
      <c r="J531">
        <v>-7.1710000000000051E-2</v>
      </c>
      <c r="K531">
        <v>4.9876558336509857</v>
      </c>
      <c r="M531">
        <v>-0.59762313905079145</v>
      </c>
      <c r="N531" t="e">
        <v>#DIV/0!</v>
      </c>
      <c r="O531">
        <v>128</v>
      </c>
      <c r="P531">
        <v>41.7</v>
      </c>
      <c r="Q531">
        <v>100</v>
      </c>
      <c r="R531">
        <v>3</v>
      </c>
      <c r="S531" t="s">
        <v>54</v>
      </c>
      <c r="T531" t="s">
        <v>54</v>
      </c>
      <c r="AA531" s="44"/>
    </row>
    <row r="532" spans="1:27">
      <c r="A532" s="148">
        <v>45475</v>
      </c>
      <c r="B532">
        <v>29</v>
      </c>
      <c r="C532" t="s">
        <v>225</v>
      </c>
      <c r="D532">
        <v>2065.6999999999998</v>
      </c>
      <c r="G532">
        <v>2065.2868599999997</v>
      </c>
      <c r="H532" s="521">
        <v>240.44</v>
      </c>
      <c r="I532">
        <v>0.34411000000000003</v>
      </c>
      <c r="J532">
        <v>240.09589</v>
      </c>
      <c r="K532">
        <v>2046.3305106872222</v>
      </c>
      <c r="L532" s="277">
        <v>99.08214448656409</v>
      </c>
      <c r="M532">
        <v>2000.9323588759366</v>
      </c>
      <c r="N532">
        <v>96.864615330199783</v>
      </c>
      <c r="O532">
        <v>128</v>
      </c>
      <c r="P532">
        <v>41.7</v>
      </c>
      <c r="Q532">
        <v>100</v>
      </c>
      <c r="R532">
        <v>3</v>
      </c>
      <c r="S532" t="s">
        <v>54</v>
      </c>
      <c r="T532" t="s">
        <v>54</v>
      </c>
      <c r="AA532" s="44"/>
    </row>
    <row r="533" spans="1:27">
      <c r="A533" s="148">
        <v>45475</v>
      </c>
      <c r="B533">
        <v>30</v>
      </c>
      <c r="C533" t="s">
        <v>84</v>
      </c>
      <c r="H533" s="521">
        <v>0.28239999999999998</v>
      </c>
      <c r="I533">
        <v>0.34411000000000003</v>
      </c>
      <c r="J533">
        <v>-6.1710000000000043E-2</v>
      </c>
      <c r="K533">
        <v>5.0726524299801152</v>
      </c>
      <c r="M533">
        <v>-0.51428425478767736</v>
      </c>
      <c r="N533" t="e">
        <v>#DIV/0!</v>
      </c>
      <c r="O533">
        <v>128</v>
      </c>
      <c r="P533">
        <v>41.7</v>
      </c>
      <c r="Q533">
        <v>100</v>
      </c>
      <c r="R533">
        <v>3</v>
      </c>
      <c r="S533" t="s">
        <v>54</v>
      </c>
      <c r="T533" t="s">
        <v>54</v>
      </c>
      <c r="AA533" s="44"/>
    </row>
    <row r="534" spans="1:27">
      <c r="H534" s="521"/>
      <c r="AA534" s="44"/>
    </row>
    <row r="535" spans="1:27">
      <c r="H535" s="521"/>
      <c r="AA535" s="44"/>
    </row>
    <row r="536" spans="1:27">
      <c r="A536" s="148" t="s">
        <v>226</v>
      </c>
      <c r="H536" s="521"/>
      <c r="AA536" s="44"/>
    </row>
    <row r="537" spans="1:27">
      <c r="A537" s="148" t="s">
        <v>38</v>
      </c>
      <c r="H537" s="521"/>
      <c r="AA537" s="44"/>
    </row>
    <row r="538" spans="1:27">
      <c r="A538" s="148" t="s">
        <v>227</v>
      </c>
      <c r="H538" s="521"/>
      <c r="AA538" s="44"/>
    </row>
    <row r="539" spans="1:27">
      <c r="A539" s="148">
        <v>45476</v>
      </c>
      <c r="B539">
        <v>1</v>
      </c>
      <c r="C539" t="s">
        <v>45</v>
      </c>
      <c r="H539" s="521">
        <v>0.3281</v>
      </c>
      <c r="AA539" s="44"/>
    </row>
    <row r="540" spans="1:27">
      <c r="A540" s="148">
        <v>45476</v>
      </c>
      <c r="B540">
        <v>2</v>
      </c>
      <c r="C540" t="s">
        <v>49</v>
      </c>
      <c r="H540" s="521">
        <v>0.28420000000000001</v>
      </c>
      <c r="AA540" s="44"/>
    </row>
    <row r="541" spans="1:27">
      <c r="A541" s="148">
        <v>45476</v>
      </c>
      <c r="B541">
        <v>3</v>
      </c>
      <c r="C541" t="s">
        <v>51</v>
      </c>
      <c r="G541">
        <v>0</v>
      </c>
      <c r="H541" s="521">
        <v>0.3266</v>
      </c>
      <c r="I541">
        <v>0.44518999999999992</v>
      </c>
      <c r="J541">
        <v>0.44518999999999992</v>
      </c>
      <c r="X541" s="348">
        <f>A542</f>
        <v>45476</v>
      </c>
      <c r="Y541" s="44"/>
      <c r="Z541" s="44"/>
      <c r="AA541" s="44"/>
    </row>
    <row r="542" spans="1:27">
      <c r="A542" s="148">
        <v>45476</v>
      </c>
      <c r="B542">
        <v>4</v>
      </c>
      <c r="C542" t="s">
        <v>228</v>
      </c>
      <c r="D542">
        <v>262.10000000000002</v>
      </c>
      <c r="G542">
        <v>262.04758000000004</v>
      </c>
      <c r="H542" s="521">
        <v>29.631599999999999</v>
      </c>
      <c r="I542">
        <v>0.44518999999999992</v>
      </c>
      <c r="J542">
        <v>29.186409999999999</v>
      </c>
      <c r="K542">
        <v>253.44949477855388</v>
      </c>
      <c r="L542" s="277">
        <v>96.718883944111923</v>
      </c>
      <c r="M542">
        <v>243.23628450457954</v>
      </c>
      <c r="N542">
        <v>92.821419875191935</v>
      </c>
      <c r="O542">
        <v>128</v>
      </c>
      <c r="P542">
        <v>41.7</v>
      </c>
      <c r="Q542">
        <v>100</v>
      </c>
      <c r="R542">
        <v>3</v>
      </c>
      <c r="S542" t="s">
        <v>54</v>
      </c>
      <c r="T542" t="s">
        <v>54</v>
      </c>
      <c r="X542" s="208">
        <f>((J541-INDEX(LINEST($H$541:$H$546,$G$541:$G$546),2))/INDEX(LINEST($H$541:$H$546,$G$541:$G$546),1)/100.09)*12.01</f>
        <v>0.96114194372167416</v>
      </c>
      <c r="Y542" s="208">
        <f>(J541-X542)^2</f>
        <v>0.26620640823017366</v>
      </c>
      <c r="Z542" s="44"/>
      <c r="AA542" s="44"/>
    </row>
    <row r="543" spans="1:27">
      <c r="A543" s="148">
        <v>45476</v>
      </c>
      <c r="B543">
        <v>5</v>
      </c>
      <c r="C543" t="s">
        <v>229</v>
      </c>
      <c r="D543">
        <v>1152.7</v>
      </c>
      <c r="G543">
        <v>1152.46946</v>
      </c>
      <c r="H543" s="521">
        <v>135.9563</v>
      </c>
      <c r="I543">
        <v>0.44518999999999992</v>
      </c>
      <c r="J543">
        <v>135.51111</v>
      </c>
      <c r="K543">
        <v>1155.2031793237131</v>
      </c>
      <c r="L543" s="277">
        <v>100.23720535932581</v>
      </c>
      <c r="M543">
        <v>1129.3344712656119</v>
      </c>
      <c r="N543">
        <v>97.992572511692586</v>
      </c>
      <c r="O543">
        <v>128</v>
      </c>
      <c r="P543">
        <v>41.7</v>
      </c>
      <c r="Q543">
        <v>100</v>
      </c>
      <c r="R543">
        <v>3</v>
      </c>
      <c r="S543" t="s">
        <v>54</v>
      </c>
      <c r="T543" t="s">
        <v>54</v>
      </c>
      <c r="X543" s="208">
        <f t="shared" ref="X543:X547" si="25">((J542-INDEX(LINEST($H$541:$H$546,$G$541:$G$546),2))/INDEX(LINEST($H$541:$H$546,$G$541:$G$546),1)/100.09)*12.01</f>
        <v>30.187235570640102</v>
      </c>
      <c r="Y543" s="208">
        <f t="shared" ref="Y543:Y547" si="26">(J542-X543)^2</f>
        <v>1.0016518228470879</v>
      </c>
      <c r="Z543" s="44"/>
      <c r="AA543" s="44"/>
    </row>
    <row r="544" spans="1:27">
      <c r="A544" s="148">
        <v>45476</v>
      </c>
      <c r="B544">
        <v>6</v>
      </c>
      <c r="C544" t="s">
        <v>230</v>
      </c>
      <c r="D544">
        <v>2123.9</v>
      </c>
      <c r="G544">
        <v>2123.4752200000003</v>
      </c>
      <c r="H544" s="521">
        <v>249.3151</v>
      </c>
      <c r="I544">
        <v>0.44518999999999992</v>
      </c>
      <c r="J544">
        <v>248.86991</v>
      </c>
      <c r="K544">
        <v>2116.6139858025253</v>
      </c>
      <c r="L544" s="277">
        <v>99.67688654273654</v>
      </c>
      <c r="M544">
        <v>2074.054062606162</v>
      </c>
      <c r="N544">
        <v>97.67262848521311</v>
      </c>
      <c r="O544">
        <v>128</v>
      </c>
      <c r="P544">
        <v>41.7</v>
      </c>
      <c r="Q544">
        <v>100</v>
      </c>
      <c r="R544">
        <v>3</v>
      </c>
      <c r="S544" t="s">
        <v>54</v>
      </c>
      <c r="T544" t="s">
        <v>54</v>
      </c>
      <c r="X544" s="208">
        <f t="shared" si="25"/>
        <v>138.30566746232788</v>
      </c>
      <c r="Y544" s="208">
        <f t="shared" si="26"/>
        <v>7.8095514102524017</v>
      </c>
      <c r="Z544" s="44"/>
      <c r="AA544" s="44"/>
    </row>
    <row r="545" spans="1:27">
      <c r="A545" s="148">
        <v>45476</v>
      </c>
      <c r="B545">
        <v>7</v>
      </c>
      <c r="C545" t="s">
        <v>231</v>
      </c>
      <c r="D545">
        <v>2994.9</v>
      </c>
      <c r="G545">
        <v>2994.3010200000003</v>
      </c>
      <c r="H545" s="521">
        <v>351.94749999999999</v>
      </c>
      <c r="I545">
        <v>0.44518999999999992</v>
      </c>
      <c r="J545">
        <v>351.50230999999997</v>
      </c>
      <c r="K545">
        <v>2987.0527912138041</v>
      </c>
      <c r="L545" s="277">
        <v>99.757932527899413</v>
      </c>
      <c r="M545">
        <v>2929.3810331307245</v>
      </c>
      <c r="N545">
        <v>97.83188175017635</v>
      </c>
      <c r="O545">
        <v>128</v>
      </c>
      <c r="P545">
        <v>41.7</v>
      </c>
      <c r="Q545">
        <v>100</v>
      </c>
      <c r="R545">
        <v>3</v>
      </c>
      <c r="S545" t="s">
        <v>54</v>
      </c>
      <c r="T545" t="s">
        <v>54</v>
      </c>
      <c r="X545" s="208">
        <f t="shared" si="25"/>
        <v>253.57686688375537</v>
      </c>
      <c r="Y545" s="208">
        <f t="shared" si="26"/>
        <v>22.15544310553204</v>
      </c>
      <c r="Z545" s="44"/>
      <c r="AA545" s="44"/>
    </row>
    <row r="546" spans="1:27" ht="15.5">
      <c r="A546" s="148">
        <v>45476</v>
      </c>
      <c r="B546">
        <v>8</v>
      </c>
      <c r="C546" t="s">
        <v>232</v>
      </c>
      <c r="D546">
        <v>3441.1</v>
      </c>
      <c r="G546">
        <v>3440.4117799999999</v>
      </c>
      <c r="H546" s="521">
        <v>406.61489999999998</v>
      </c>
      <c r="I546">
        <v>0.44518999999999992</v>
      </c>
      <c r="J546">
        <v>406.16970999999995</v>
      </c>
      <c r="K546">
        <v>3450.6941593484335</v>
      </c>
      <c r="L546" s="277">
        <v>100.29887060055449</v>
      </c>
      <c r="M546">
        <v>3384.9730452872604</v>
      </c>
      <c r="N546">
        <v>98.388601764619594</v>
      </c>
      <c r="O546">
        <v>128</v>
      </c>
      <c r="P546">
        <v>41.7</v>
      </c>
      <c r="Q546">
        <v>100</v>
      </c>
      <c r="R546">
        <v>3</v>
      </c>
      <c r="S546" t="s">
        <v>54</v>
      </c>
      <c r="T546" t="s">
        <v>54</v>
      </c>
      <c r="X546" s="208">
        <f t="shared" si="25"/>
        <v>357.94070848669861</v>
      </c>
      <c r="Y546" s="208">
        <f t="shared" si="26"/>
        <v>41.452975073523405</v>
      </c>
      <c r="Z546" s="44"/>
      <c r="AA546" s="52" t="s">
        <v>42</v>
      </c>
    </row>
    <row r="547" spans="1:27" ht="15.5">
      <c r="A547" s="148">
        <v>45476</v>
      </c>
      <c r="B547">
        <v>9</v>
      </c>
      <c r="C547" t="s">
        <v>61</v>
      </c>
      <c r="H547" s="521">
        <v>0.4602</v>
      </c>
      <c r="I547">
        <v>0.44518999999999992</v>
      </c>
      <c r="J547">
        <v>1.5010000000000079E-2</v>
      </c>
      <c r="K547">
        <v>6.0430366992867395</v>
      </c>
      <c r="O547">
        <v>128</v>
      </c>
      <c r="P547">
        <v>41.7</v>
      </c>
      <c r="Q547">
        <v>100</v>
      </c>
      <c r="R547">
        <v>3</v>
      </c>
      <c r="S547" t="s">
        <v>54</v>
      </c>
      <c r="T547" t="s">
        <v>54</v>
      </c>
      <c r="X547" s="208">
        <f t="shared" si="25"/>
        <v>413.53036511018917</v>
      </c>
      <c r="Y547" s="208">
        <f t="shared" si="26"/>
        <v>54.179243651154586</v>
      </c>
      <c r="Z547" s="44"/>
      <c r="AA547" s="347">
        <f>(Y548/$AL$15)*100</f>
        <v>2.7054011545153984</v>
      </c>
    </row>
    <row r="548" spans="1:27" ht="15.5">
      <c r="A548" s="148">
        <v>45476</v>
      </c>
      <c r="B548">
        <v>10</v>
      </c>
      <c r="C548" t="s">
        <v>63</v>
      </c>
      <c r="H548" s="521">
        <v>0.43269999999999997</v>
      </c>
      <c r="I548">
        <v>0.44518999999999992</v>
      </c>
      <c r="J548">
        <v>-1.2489999999999946E-2</v>
      </c>
      <c r="K548">
        <v>5.8098056031727427</v>
      </c>
      <c r="O548">
        <v>128</v>
      </c>
      <c r="P548">
        <v>41.7</v>
      </c>
      <c r="Q548">
        <v>100</v>
      </c>
      <c r="R548">
        <v>3</v>
      </c>
      <c r="S548" t="s">
        <v>54</v>
      </c>
      <c r="T548" t="s">
        <v>54</v>
      </c>
      <c r="X548" s="44"/>
      <c r="Y548" s="347">
        <f>SQRT(SUM(Y542:Y547)/(6-2))</f>
        <v>5.6317197966416019</v>
      </c>
      <c r="Z548" s="52" t="s">
        <v>60</v>
      </c>
      <c r="AA548" s="44"/>
    </row>
    <row r="549" spans="1:27" ht="15.5">
      <c r="A549" s="148">
        <v>45476</v>
      </c>
      <c r="B549">
        <v>11</v>
      </c>
      <c r="C549" t="s">
        <v>214</v>
      </c>
      <c r="D549">
        <v>1060.2</v>
      </c>
      <c r="H549" s="521">
        <v>103.9324</v>
      </c>
      <c r="I549">
        <v>0.44518999999999992</v>
      </c>
      <c r="J549">
        <v>103.48721</v>
      </c>
      <c r="K549">
        <v>883.60429572934868</v>
      </c>
      <c r="L549" s="277">
        <v>83.343170696976856</v>
      </c>
      <c r="M549">
        <v>862.45086169025819</v>
      </c>
      <c r="N549">
        <v>81.347940170746853</v>
      </c>
      <c r="O549">
        <v>128</v>
      </c>
      <c r="P549">
        <v>41.7</v>
      </c>
      <c r="Q549">
        <v>100</v>
      </c>
      <c r="R549">
        <v>3</v>
      </c>
      <c r="S549" t="s">
        <v>54</v>
      </c>
      <c r="T549" t="s">
        <v>54</v>
      </c>
      <c r="X549" s="44"/>
      <c r="Y549" s="347">
        <f>(Y548/12.01)*100.09</f>
        <v>46.934124433460276</v>
      </c>
      <c r="Z549" s="52" t="s">
        <v>62</v>
      </c>
      <c r="AA549" s="44"/>
    </row>
    <row r="550" spans="1:27">
      <c r="A550" s="148">
        <v>45476</v>
      </c>
      <c r="B550">
        <v>12</v>
      </c>
      <c r="C550" t="s">
        <v>214</v>
      </c>
      <c r="D550">
        <v>2195.3000000000002</v>
      </c>
      <c r="H550" s="521">
        <v>213.45249999999999</v>
      </c>
      <c r="I550">
        <v>0.44518999999999992</v>
      </c>
      <c r="J550">
        <v>213.00730999999999</v>
      </c>
      <c r="K550">
        <v>1812.4585855298774</v>
      </c>
      <c r="L550" s="277">
        <v>82.560861182065196</v>
      </c>
      <c r="M550">
        <v>1775.1791555287259</v>
      </c>
      <c r="N550">
        <v>80.862713776191214</v>
      </c>
      <c r="O550">
        <v>128</v>
      </c>
      <c r="P550">
        <v>41.7</v>
      </c>
      <c r="Q550">
        <v>100</v>
      </c>
      <c r="R550">
        <v>3</v>
      </c>
      <c r="S550" t="s">
        <v>54</v>
      </c>
      <c r="T550" t="s">
        <v>54</v>
      </c>
      <c r="AA550" s="44"/>
    </row>
    <row r="551" spans="1:27">
      <c r="A551" s="148">
        <v>45476</v>
      </c>
      <c r="B551">
        <v>13</v>
      </c>
      <c r="C551" t="s">
        <v>64</v>
      </c>
      <c r="D551">
        <v>993.4</v>
      </c>
      <c r="H551" s="521">
        <v>15.8315</v>
      </c>
      <c r="I551">
        <v>0.44518999999999992</v>
      </c>
      <c r="J551">
        <v>15.38631</v>
      </c>
      <c r="K551">
        <v>136.40904207008964</v>
      </c>
      <c r="L551" s="277">
        <v>13.731532320323097</v>
      </c>
      <c r="M551">
        <v>128.22779083263947</v>
      </c>
      <c r="N551">
        <v>12.907971696460587</v>
      </c>
      <c r="O551">
        <v>128</v>
      </c>
      <c r="P551">
        <v>41.7</v>
      </c>
      <c r="Q551">
        <v>100</v>
      </c>
      <c r="R551">
        <v>3</v>
      </c>
      <c r="S551" t="s">
        <v>54</v>
      </c>
      <c r="T551" t="s">
        <v>54</v>
      </c>
      <c r="AA551" s="44"/>
    </row>
    <row r="552" spans="1:27">
      <c r="A552" s="148">
        <v>45476</v>
      </c>
      <c r="B552">
        <v>14</v>
      </c>
      <c r="C552" t="s">
        <v>64</v>
      </c>
      <c r="D552">
        <v>1989.8</v>
      </c>
      <c r="H552" s="521">
        <v>31.883400000000002</v>
      </c>
      <c r="I552">
        <v>0.44518999999999992</v>
      </c>
      <c r="J552">
        <v>31.438210000000002</v>
      </c>
      <c r="K552">
        <v>272.5473050414447</v>
      </c>
      <c r="L552" s="277">
        <v>13.697221079578084</v>
      </c>
      <c r="M552">
        <v>262.00253446294755</v>
      </c>
      <c r="N552">
        <v>13.167279850384338</v>
      </c>
      <c r="O552">
        <v>128</v>
      </c>
      <c r="P552">
        <v>41.7</v>
      </c>
      <c r="Q552">
        <v>100</v>
      </c>
      <c r="R552">
        <v>3</v>
      </c>
      <c r="S552" t="s">
        <v>54</v>
      </c>
      <c r="T552" t="s">
        <v>54</v>
      </c>
      <c r="AA552" s="44"/>
    </row>
    <row r="553" spans="1:27">
      <c r="A553" s="148">
        <v>45476</v>
      </c>
      <c r="B553">
        <v>15</v>
      </c>
      <c r="C553" t="s">
        <v>215</v>
      </c>
      <c r="H553" s="521">
        <v>0.51870000000000005</v>
      </c>
      <c r="I553">
        <v>0.44518999999999992</v>
      </c>
      <c r="J553">
        <v>7.3510000000000131E-2</v>
      </c>
      <c r="K553">
        <v>6.5391828492019703</v>
      </c>
      <c r="M553">
        <v>0.61262413821815265</v>
      </c>
      <c r="N553" t="e">
        <v>#DIV/0!</v>
      </c>
      <c r="O553">
        <v>128</v>
      </c>
      <c r="P553">
        <v>41.7</v>
      </c>
      <c r="Q553">
        <v>100</v>
      </c>
      <c r="R553">
        <v>3</v>
      </c>
      <c r="S553" t="s">
        <v>54</v>
      </c>
      <c r="T553" t="s">
        <v>54</v>
      </c>
      <c r="AA553" s="44"/>
    </row>
    <row r="554" spans="1:27">
      <c r="A554" s="148">
        <v>45476</v>
      </c>
      <c r="B554">
        <v>16</v>
      </c>
      <c r="C554" t="s">
        <v>216</v>
      </c>
      <c r="H554" s="521">
        <v>0.2757</v>
      </c>
      <c r="I554">
        <v>0.44518999999999992</v>
      </c>
      <c r="J554">
        <v>-0.16948999999999992</v>
      </c>
      <c r="K554">
        <v>4.4782680726310158</v>
      </c>
      <c r="M554">
        <v>-1.4125107493755196</v>
      </c>
      <c r="N554" t="e">
        <v>#DIV/0!</v>
      </c>
      <c r="O554">
        <v>128</v>
      </c>
      <c r="P554">
        <v>41.7</v>
      </c>
      <c r="Q554">
        <v>100</v>
      </c>
      <c r="R554">
        <v>3</v>
      </c>
      <c r="S554" t="s">
        <v>54</v>
      </c>
      <c r="T554" t="s">
        <v>54</v>
      </c>
      <c r="AA554" s="44"/>
    </row>
    <row r="555" spans="1:27">
      <c r="A555" s="148">
        <v>45476</v>
      </c>
      <c r="B555">
        <v>17</v>
      </c>
      <c r="C555" t="s">
        <v>233</v>
      </c>
      <c r="D555">
        <v>2062.6999999999998</v>
      </c>
      <c r="H555" s="521">
        <v>183.1634</v>
      </c>
      <c r="I555">
        <v>0.44518999999999992</v>
      </c>
      <c r="J555">
        <v>182.71821</v>
      </c>
      <c r="K555">
        <v>1555.5727675914607</v>
      </c>
      <c r="L555" s="277">
        <v>75.414397032601002</v>
      </c>
      <c r="M555">
        <v>1522.7531755953373</v>
      </c>
      <c r="N555">
        <v>73.823298375689021</v>
      </c>
      <c r="O555">
        <v>128</v>
      </c>
      <c r="P555">
        <v>41.7</v>
      </c>
      <c r="Q555">
        <v>100</v>
      </c>
      <c r="R555">
        <v>3</v>
      </c>
      <c r="S555" t="s">
        <v>54</v>
      </c>
      <c r="T555" t="s">
        <v>54</v>
      </c>
      <c r="AA555" s="44"/>
    </row>
    <row r="556" spans="1:27">
      <c r="A556" s="148">
        <v>45476</v>
      </c>
      <c r="B556">
        <v>18</v>
      </c>
      <c r="C556" t="s">
        <v>234</v>
      </c>
      <c r="D556">
        <v>3021.4</v>
      </c>
      <c r="H556" s="521">
        <v>264.02839999999998</v>
      </c>
      <c r="I556">
        <v>0.44518999999999992</v>
      </c>
      <c r="J556">
        <v>263.58320999999995</v>
      </c>
      <c r="K556">
        <v>2241.3994071281277</v>
      </c>
      <c r="L556" s="277">
        <v>74.184133419213865</v>
      </c>
      <c r="M556">
        <v>2196.6730631890086</v>
      </c>
      <c r="N556">
        <v>72.703814893394082</v>
      </c>
      <c r="O556">
        <v>128</v>
      </c>
      <c r="P556">
        <v>41.7</v>
      </c>
      <c r="Q556">
        <v>100</v>
      </c>
      <c r="R556">
        <v>3</v>
      </c>
      <c r="S556" t="s">
        <v>54</v>
      </c>
      <c r="T556" t="s">
        <v>54</v>
      </c>
      <c r="AA556" s="44"/>
    </row>
    <row r="557" spans="1:27">
      <c r="A557" s="148">
        <v>45476</v>
      </c>
      <c r="B557">
        <v>19</v>
      </c>
      <c r="C557" t="s">
        <v>235</v>
      </c>
      <c r="D557">
        <v>2106.6</v>
      </c>
      <c r="H557" s="521">
        <v>178.91399999999999</v>
      </c>
      <c r="I557">
        <v>0.44518999999999992</v>
      </c>
      <c r="J557">
        <v>178.46880999999999</v>
      </c>
      <c r="K557">
        <v>1519.5330505068491</v>
      </c>
      <c r="L557" s="277">
        <v>72.132016068871607</v>
      </c>
      <c r="M557">
        <v>1487.3391501165695</v>
      </c>
      <c r="N557">
        <v>70.603776232629329</v>
      </c>
      <c r="O557">
        <v>128</v>
      </c>
      <c r="P557">
        <v>41.7</v>
      </c>
      <c r="Q557">
        <v>100</v>
      </c>
      <c r="R557">
        <v>3</v>
      </c>
      <c r="S557" t="s">
        <v>54</v>
      </c>
      <c r="T557" t="s">
        <v>54</v>
      </c>
      <c r="AA557" s="44"/>
    </row>
    <row r="558" spans="1:27">
      <c r="A558" s="148">
        <v>45476</v>
      </c>
      <c r="B558">
        <v>20</v>
      </c>
      <c r="C558" t="s">
        <v>236</v>
      </c>
      <c r="D558">
        <v>2510.6</v>
      </c>
      <c r="H558" s="521">
        <v>215.43109999999999</v>
      </c>
      <c r="I558">
        <v>0.44518999999999992</v>
      </c>
      <c r="J558">
        <v>214.98590999999999</v>
      </c>
      <c r="K558">
        <v>1829.2393508670102</v>
      </c>
      <c r="L558" s="277">
        <v>72.860644900303129</v>
      </c>
      <c r="M558">
        <v>1791.6685871690256</v>
      </c>
      <c r="N558">
        <v>71.364159450690096</v>
      </c>
      <c r="O558">
        <v>128</v>
      </c>
      <c r="P558">
        <v>41.7</v>
      </c>
      <c r="Q558">
        <v>100</v>
      </c>
      <c r="R558">
        <v>3</v>
      </c>
      <c r="S558" t="s">
        <v>54</v>
      </c>
      <c r="T558" t="s">
        <v>54</v>
      </c>
      <c r="AA558" s="44"/>
    </row>
    <row r="559" spans="1:27">
      <c r="A559" s="148">
        <v>45476</v>
      </c>
      <c r="B559">
        <v>21</v>
      </c>
      <c r="C559" t="s">
        <v>74</v>
      </c>
      <c r="H559" s="521">
        <v>0.28949999999999998</v>
      </c>
      <c r="I559">
        <v>0.44518999999999992</v>
      </c>
      <c r="J559">
        <v>-0.15568999999999994</v>
      </c>
      <c r="K559">
        <v>4.595307677226403</v>
      </c>
      <c r="M559">
        <v>-1.2975030890924226</v>
      </c>
      <c r="N559" t="e">
        <v>#DIV/0!</v>
      </c>
      <c r="O559">
        <v>128</v>
      </c>
      <c r="P559">
        <v>41.7</v>
      </c>
      <c r="Q559">
        <v>100</v>
      </c>
      <c r="R559">
        <v>3</v>
      </c>
      <c r="S559" t="s">
        <v>54</v>
      </c>
      <c r="T559" t="s">
        <v>54</v>
      </c>
      <c r="AA559" s="44"/>
    </row>
    <row r="560" spans="1:27">
      <c r="A560" s="148">
        <v>45476</v>
      </c>
      <c r="B560">
        <v>22</v>
      </c>
      <c r="C560" t="s">
        <v>237</v>
      </c>
      <c r="D560">
        <v>2980.2</v>
      </c>
      <c r="H560" s="521">
        <v>260.60300000000001</v>
      </c>
      <c r="I560">
        <v>0.44518999999999992</v>
      </c>
      <c r="J560">
        <v>260.15780999999998</v>
      </c>
      <c r="K560">
        <v>2212.3481417961684</v>
      </c>
      <c r="L560" s="277">
        <v>74.234888322802789</v>
      </c>
      <c r="M560">
        <v>2168.1261617735222</v>
      </c>
      <c r="N560">
        <v>72.751028849524275</v>
      </c>
      <c r="O560">
        <v>128</v>
      </c>
      <c r="P560">
        <v>41.7</v>
      </c>
      <c r="Q560">
        <v>100</v>
      </c>
      <c r="R560">
        <v>3</v>
      </c>
      <c r="S560" t="s">
        <v>54</v>
      </c>
      <c r="T560" t="s">
        <v>54</v>
      </c>
      <c r="AA560" s="44"/>
    </row>
    <row r="561" spans="1:27">
      <c r="A561" s="148">
        <v>45476</v>
      </c>
      <c r="B561">
        <v>23</v>
      </c>
      <c r="C561" t="s">
        <v>238</v>
      </c>
      <c r="D561">
        <v>2635.4</v>
      </c>
      <c r="H561" s="521">
        <v>239.1722</v>
      </c>
      <c r="I561">
        <v>0.44518999999999992</v>
      </c>
      <c r="J561">
        <v>238.72701000000001</v>
      </c>
      <c r="K561">
        <v>2030.5907245379926</v>
      </c>
      <c r="L561" s="277">
        <v>77.050570104651754</v>
      </c>
      <c r="M561">
        <v>1989.5242656869277</v>
      </c>
      <c r="N561">
        <v>75.492307265953087</v>
      </c>
      <c r="O561">
        <v>128</v>
      </c>
      <c r="P561">
        <v>41.7</v>
      </c>
      <c r="Q561">
        <v>100</v>
      </c>
      <c r="R561">
        <v>3</v>
      </c>
      <c r="S561" t="s">
        <v>54</v>
      </c>
      <c r="T561" t="s">
        <v>54</v>
      </c>
      <c r="AA561" s="44"/>
    </row>
    <row r="562" spans="1:27">
      <c r="A562" s="148">
        <v>45476</v>
      </c>
      <c r="B562">
        <v>24</v>
      </c>
      <c r="C562" t="s">
        <v>239</v>
      </c>
      <c r="D562">
        <v>2910.4</v>
      </c>
      <c r="H562" s="521">
        <v>260.19740000000002</v>
      </c>
      <c r="I562">
        <v>0.44518999999999992</v>
      </c>
      <c r="J562">
        <v>259.75220999999999</v>
      </c>
      <c r="K562">
        <v>2208.9081951567564</v>
      </c>
      <c r="L562" s="277">
        <v>75.89706552902544</v>
      </c>
      <c r="M562">
        <v>2164.7459366278104</v>
      </c>
      <c r="N562">
        <v>74.379670719757087</v>
      </c>
      <c r="O562">
        <v>128</v>
      </c>
      <c r="P562">
        <v>41.7</v>
      </c>
      <c r="Q562">
        <v>100</v>
      </c>
      <c r="R562">
        <v>3</v>
      </c>
      <c r="S562" t="s">
        <v>54</v>
      </c>
      <c r="T562" t="s">
        <v>54</v>
      </c>
      <c r="AA562" s="44"/>
    </row>
    <row r="563" spans="1:27">
      <c r="A563" s="148">
        <v>45476</v>
      </c>
      <c r="B563">
        <v>28</v>
      </c>
      <c r="C563" t="s">
        <v>82</v>
      </c>
      <c r="H563" s="521">
        <v>0.51429999999999998</v>
      </c>
      <c r="I563">
        <v>0.44518999999999992</v>
      </c>
      <c r="J563">
        <v>6.911000000000006E-2</v>
      </c>
      <c r="K563">
        <v>6.5018658738237285</v>
      </c>
      <c r="M563">
        <v>0.57595502914238184</v>
      </c>
      <c r="N563" t="e">
        <v>#DIV/0!</v>
      </c>
      <c r="O563">
        <v>128</v>
      </c>
      <c r="P563">
        <v>41.7</v>
      </c>
      <c r="Q563">
        <v>100</v>
      </c>
      <c r="R563">
        <v>3</v>
      </c>
      <c r="S563" t="s">
        <v>54</v>
      </c>
      <c r="T563" t="s">
        <v>54</v>
      </c>
      <c r="AA563" s="44"/>
    </row>
    <row r="564" spans="1:27">
      <c r="A564" s="148">
        <v>45476</v>
      </c>
      <c r="B564">
        <v>29</v>
      </c>
      <c r="C564" t="s">
        <v>240</v>
      </c>
      <c r="D564">
        <v>2056.1999999999998</v>
      </c>
      <c r="G564">
        <v>2055.7887599999999</v>
      </c>
      <c r="H564" s="521">
        <v>242.22489999999999</v>
      </c>
      <c r="I564">
        <v>0.44518999999999992</v>
      </c>
      <c r="J564">
        <v>241.77970999999999</v>
      </c>
      <c r="K564">
        <v>2056.4810724327995</v>
      </c>
      <c r="L564" s="277">
        <v>100.03367624370121</v>
      </c>
      <c r="M564">
        <v>2014.9651268859284</v>
      </c>
      <c r="N564">
        <v>97.994607863336668</v>
      </c>
      <c r="O564">
        <v>128</v>
      </c>
      <c r="P564">
        <v>41.7</v>
      </c>
      <c r="Q564">
        <v>100</v>
      </c>
      <c r="R564">
        <v>3</v>
      </c>
      <c r="S564" t="s">
        <v>54</v>
      </c>
      <c r="T564" t="s">
        <v>54</v>
      </c>
      <c r="AA564" s="44"/>
    </row>
    <row r="565" spans="1:27">
      <c r="A565" s="148">
        <v>45476</v>
      </c>
      <c r="B565">
        <v>30</v>
      </c>
      <c r="C565" t="s">
        <v>84</v>
      </c>
      <c r="H565" s="521">
        <v>1.0219</v>
      </c>
      <c r="I565">
        <v>0.44518999999999992</v>
      </c>
      <c r="J565">
        <v>0.57671000000000006</v>
      </c>
      <c r="K565">
        <v>10.806887851549721</v>
      </c>
      <c r="M565">
        <v>4.8062367943380524</v>
      </c>
      <c r="N565" t="e">
        <v>#DIV/0!</v>
      </c>
      <c r="O565">
        <v>128</v>
      </c>
      <c r="P565">
        <v>41.7</v>
      </c>
      <c r="Q565">
        <v>100</v>
      </c>
      <c r="R565">
        <v>3</v>
      </c>
      <c r="S565" t="s">
        <v>54</v>
      </c>
      <c r="T565" t="s">
        <v>54</v>
      </c>
      <c r="AA565" s="44"/>
    </row>
    <row r="566" spans="1:27">
      <c r="H566" s="521"/>
      <c r="AA566" s="44"/>
    </row>
    <row r="567" spans="1:27">
      <c r="H567" s="521"/>
      <c r="AA567" s="44"/>
    </row>
  </sheetData>
  <mergeCells count="4">
    <mergeCell ref="K3:L3"/>
    <mergeCell ref="M3:N3"/>
    <mergeCell ref="AK4:AK6"/>
    <mergeCell ref="X6:Y6"/>
  </mergeCells>
  <printOptions headings="1"/>
  <pageMargins left="0.70866141732282995" right="0.70866141732282995" top="0.74803149606299002" bottom="0.74803149606299002" header="0.31496062992126" footer="0.31496062992126"/>
  <pageSetup paperSize="9" scale="14" fitToHeight="0"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PIC data</vt:lpstr>
      <vt:lpstr>cup photo labels</vt:lpstr>
      <vt:lpstr>notes</vt:lpstr>
      <vt:lpstr>prep brines</vt:lpstr>
      <vt:lpstr>Schedule</vt:lpstr>
      <vt:lpstr>sample processing comments</vt:lpstr>
      <vt:lpstr>mass filt</vt:lpstr>
      <vt:lpstr>pH_Sal</vt:lpstr>
      <vt:lpstr>PIC data_CWE_QC</vt:lpstr>
      <vt:lpstr>CHN data</vt:lpstr>
      <vt:lpstr>BSi data</vt:lpstr>
      <vt:lpstr>Main</vt:lpstr>
      <vt:lpstr>report_47_flagged</vt:lpstr>
      <vt:lpstr>netCDF_format</vt:lpstr>
      <vt:lpstr>depths</vt:lpstr>
      <vt:lpstr>quick look plots</vt:lpstr>
      <vt:lpstr>'cup photo labels'!Print_Area</vt:lpstr>
    </vt:vector>
  </TitlesOfParts>
  <Manager/>
  <Company>University of Tasmania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Cathryn Wynn-Edwards</dc:creator>
  <cp:keywords/>
  <dc:description/>
  <cp:lastModifiedBy>Cathryn Wynn-Edwards</cp:lastModifiedBy>
  <cp:revision/>
  <dcterms:created xsi:type="dcterms:W3CDTF">2018-04-15T23:35:50Z</dcterms:created>
  <dcterms:modified xsi:type="dcterms:W3CDTF">2024-10-22T02:47:45Z</dcterms:modified>
  <cp:category/>
  <cp:contentStatus/>
</cp:coreProperties>
</file>