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10.xml" ContentType="application/vnd.ms-office.chartstyle+xml"/>
  <Override PartName="/xl/charts/colors10.xml" ContentType="application/vnd.ms-office.chartcolorstyle+xml"/>
  <Override PartName="/xl/charts/chart18.xml" ContentType="application/vnd.openxmlformats-officedocument.drawingml.chart+xml"/>
  <Override PartName="/xl/charts/style11.xml" ContentType="application/vnd.ms-office.chartstyle+xml"/>
  <Override PartName="/xl/charts/colors11.xml" ContentType="application/vnd.ms-office.chartcolorstyle+xml"/>
  <Override PartName="/xl/charts/chart19.xml" ContentType="application/vnd.openxmlformats-officedocument.drawingml.chart+xml"/>
  <Override PartName="/xl/charts/style12.xml" ContentType="application/vnd.ms-office.chartstyle+xml"/>
  <Override PartName="/xl/charts/colors12.xml" ContentType="application/vnd.ms-office.chartcolorstyle+xml"/>
  <Override PartName="/xl/charts/chart20.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autoCompressPictures="0"/>
  <mc:AlternateContent xmlns:mc="http://schemas.openxmlformats.org/markup-compatibility/2006">
    <mc:Choice Requires="x15">
      <x15ac:absPath xmlns:x15ac="http://schemas.microsoft.com/office/spreadsheetml/2010/11/ac" url="C:\Users\jan079\GitHub\saz-data-processing\raw_data\"/>
    </mc:Choice>
  </mc:AlternateContent>
  <xr:revisionPtr revIDLastSave="0" documentId="13_ncr:1_{15F2CD35-FE45-434C-9BA9-50AEAA87D121}" xr6:coauthVersionLast="47" xr6:coauthVersionMax="47" xr10:uidLastSave="{00000000-0000-0000-0000-000000000000}"/>
  <bookViews>
    <workbookView xWindow="-120" yWindow="-120" windowWidth="38640" windowHeight="21120" firstSheet="8" activeTab="14" xr2:uid="{00000000-000D-0000-FFFF-FFFF00000000}"/>
  </bookViews>
  <sheets>
    <sheet name="cup photo labels" sheetId="5" r:id="rId1"/>
    <sheet name="notes" sheetId="2" r:id="rId2"/>
    <sheet name="prep brines" sheetId="1" r:id="rId3"/>
    <sheet name="Schedule" sheetId="6" r:id="rId4"/>
    <sheet name="brine FSW info" sheetId="7" r:id="rId5"/>
    <sheet name="sample processing comments" sheetId="9" r:id="rId6"/>
    <sheet name="pH_Sal" sheetId="13" r:id="rId7"/>
    <sheet name="mass filt" sheetId="12" r:id="rId8"/>
    <sheet name="BSi data" sheetId="17" r:id="rId9"/>
    <sheet name="CHN data" sheetId="14" r:id="rId10"/>
    <sheet name="CSIRO CHN data  - DO NOT USE" sheetId="15" r:id="rId11"/>
    <sheet name="PIC data" sheetId="16" r:id="rId12"/>
    <sheet name="main" sheetId="11" r:id="rId13"/>
    <sheet name="report_47_flagged" sheetId="19" r:id="rId14"/>
    <sheet name="netCDF_format" sheetId="20" r:id="rId15"/>
    <sheet name="depths" sheetId="21" r:id="rId16"/>
    <sheet name="plots" sheetId="18" r:id="rId17"/>
  </sheets>
  <externalReferences>
    <externalReference r:id="rId18"/>
    <externalReference r:id="rId19"/>
    <externalReference r:id="rId20"/>
  </externalReferences>
  <definedNames>
    <definedName name="_xlnm.Print_Area" localSheetId="9">'CHN data'!$C$3:$I$79</definedName>
    <definedName name="_xlnm.Print_Area" localSheetId="0">'cup photo labels'!$A$1:$M$42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7" i="11" l="1"/>
  <c r="I7" i="11"/>
  <c r="AL27" i="16"/>
  <c r="AL26" i="16"/>
  <c r="AL25" i="16"/>
  <c r="AN7" i="16"/>
  <c r="AL20" i="16"/>
  <c r="AL9" i="16"/>
  <c r="AL8" i="16"/>
  <c r="AL7" i="16"/>
  <c r="AL15" i="16"/>
  <c r="AL22" i="16"/>
  <c r="AL21" i="16"/>
  <c r="AA14" i="16"/>
  <c r="X10" i="16"/>
  <c r="X9" i="16"/>
  <c r="H113" i="17"/>
  <c r="G113" i="17"/>
  <c r="Y9" i="16" l="1"/>
  <c r="J40" i="11"/>
  <c r="I42" i="11"/>
  <c r="I40" i="11"/>
  <c r="J42" i="11"/>
  <c r="AK75" i="20"/>
  <c r="AH75" i="20"/>
  <c r="AE75" i="20"/>
  <c r="AB75" i="20"/>
  <c r="Y75" i="20"/>
  <c r="V75" i="20"/>
  <c r="S75" i="20"/>
  <c r="P75" i="20"/>
  <c r="I75" i="20"/>
  <c r="H75" i="20"/>
  <c r="C75" i="20"/>
  <c r="B75" i="20"/>
  <c r="AK74" i="20"/>
  <c r="AH74" i="20"/>
  <c r="AE74" i="20"/>
  <c r="AB74" i="20"/>
  <c r="Y74" i="20"/>
  <c r="V74" i="20"/>
  <c r="S74" i="20"/>
  <c r="P74" i="20"/>
  <c r="I74" i="20"/>
  <c r="H74" i="20"/>
  <c r="C74" i="20"/>
  <c r="B74" i="20"/>
  <c r="AK73" i="20"/>
  <c r="AH73" i="20"/>
  <c r="AE73" i="20"/>
  <c r="AB73" i="20"/>
  <c r="Y73" i="20"/>
  <c r="V73" i="20"/>
  <c r="S73" i="20"/>
  <c r="P73" i="20"/>
  <c r="I73" i="20"/>
  <c r="H73" i="20"/>
  <c r="C73" i="20"/>
  <c r="B73" i="20"/>
  <c r="AK72" i="20"/>
  <c r="AH72" i="20"/>
  <c r="AE72" i="20"/>
  <c r="AB72" i="20"/>
  <c r="Y72" i="20"/>
  <c r="V72" i="20"/>
  <c r="S72" i="20"/>
  <c r="P72" i="20"/>
  <c r="I72" i="20"/>
  <c r="H72" i="20"/>
  <c r="C72" i="20"/>
  <c r="B72" i="20"/>
  <c r="AK71" i="20"/>
  <c r="AH71" i="20"/>
  <c r="AE71" i="20"/>
  <c r="AB71" i="20"/>
  <c r="Y71" i="20"/>
  <c r="V71" i="20"/>
  <c r="S71" i="20"/>
  <c r="P71" i="20"/>
  <c r="I71" i="20"/>
  <c r="H71" i="20"/>
  <c r="C71" i="20"/>
  <c r="B71" i="20"/>
  <c r="AK70" i="20"/>
  <c r="AH70" i="20"/>
  <c r="AE70" i="20"/>
  <c r="AB70" i="20"/>
  <c r="Y70" i="20"/>
  <c r="V70" i="20"/>
  <c r="S70" i="20"/>
  <c r="P70" i="20"/>
  <c r="I70" i="20"/>
  <c r="H70" i="20"/>
  <c r="C70" i="20"/>
  <c r="B70" i="20"/>
  <c r="AK69" i="20"/>
  <c r="AH69" i="20"/>
  <c r="AE69" i="20"/>
  <c r="AB69" i="20"/>
  <c r="Y69" i="20"/>
  <c r="V69" i="20"/>
  <c r="S69" i="20"/>
  <c r="P69" i="20"/>
  <c r="I69" i="20"/>
  <c r="H69" i="20"/>
  <c r="C69" i="20"/>
  <c r="B69" i="20"/>
  <c r="AK68" i="20"/>
  <c r="AH68" i="20"/>
  <c r="AE68" i="20"/>
  <c r="AB68" i="20"/>
  <c r="Y68" i="20"/>
  <c r="V68" i="20"/>
  <c r="S68" i="20"/>
  <c r="P68" i="20"/>
  <c r="I68" i="20"/>
  <c r="H68" i="20"/>
  <c r="C68" i="20"/>
  <c r="B68" i="20"/>
  <c r="AK67" i="20"/>
  <c r="AH67" i="20"/>
  <c r="AE67" i="20"/>
  <c r="AB67" i="20"/>
  <c r="Y67" i="20"/>
  <c r="V67" i="20"/>
  <c r="S67" i="20"/>
  <c r="P67" i="20"/>
  <c r="I67" i="20"/>
  <c r="H67" i="20"/>
  <c r="C67" i="20"/>
  <c r="B67" i="20"/>
  <c r="AK66" i="20"/>
  <c r="AH66" i="20"/>
  <c r="AE66" i="20"/>
  <c r="AB66" i="20"/>
  <c r="Y66" i="20"/>
  <c r="V66" i="20"/>
  <c r="S66" i="20"/>
  <c r="P66" i="20"/>
  <c r="I66" i="20"/>
  <c r="H66" i="20"/>
  <c r="C66" i="20"/>
  <c r="B66" i="20"/>
  <c r="AK65" i="20"/>
  <c r="AH65" i="20"/>
  <c r="AE65" i="20"/>
  <c r="AB65" i="20"/>
  <c r="Y65" i="20"/>
  <c r="V65" i="20"/>
  <c r="S65" i="20"/>
  <c r="P65" i="20"/>
  <c r="I65" i="20"/>
  <c r="H65" i="20"/>
  <c r="C65" i="20"/>
  <c r="B65" i="20"/>
  <c r="AK64" i="20"/>
  <c r="AH64" i="20"/>
  <c r="AE64" i="20"/>
  <c r="AB64" i="20"/>
  <c r="Y64" i="20"/>
  <c r="V64" i="20"/>
  <c r="S64" i="20"/>
  <c r="P64" i="20"/>
  <c r="I64" i="20"/>
  <c r="H64" i="20"/>
  <c r="C64" i="20"/>
  <c r="B64" i="20"/>
  <c r="AK63" i="20"/>
  <c r="AH63" i="20"/>
  <c r="AE63" i="20"/>
  <c r="AB63" i="20"/>
  <c r="Y63" i="20"/>
  <c r="V63" i="20"/>
  <c r="S63" i="20"/>
  <c r="P63" i="20"/>
  <c r="I63" i="20"/>
  <c r="H63" i="20"/>
  <c r="C63" i="20"/>
  <c r="B63" i="20"/>
  <c r="AK62" i="20"/>
  <c r="AH62" i="20"/>
  <c r="AE62" i="20"/>
  <c r="AB62" i="20"/>
  <c r="Y62" i="20"/>
  <c r="V62" i="20"/>
  <c r="S62" i="20"/>
  <c r="P62" i="20"/>
  <c r="I62" i="20"/>
  <c r="H62" i="20"/>
  <c r="C62" i="20"/>
  <c r="B62" i="20"/>
  <c r="AK61" i="20"/>
  <c r="AH61" i="20"/>
  <c r="AE61" i="20"/>
  <c r="AB61" i="20"/>
  <c r="Y61" i="20"/>
  <c r="V61" i="20"/>
  <c r="S61" i="20"/>
  <c r="P61" i="20"/>
  <c r="I61" i="20"/>
  <c r="H61" i="20"/>
  <c r="C61" i="20"/>
  <c r="B61" i="20"/>
  <c r="AK60" i="20"/>
  <c r="AH60" i="20"/>
  <c r="AE60" i="20"/>
  <c r="AB60" i="20"/>
  <c r="Y60" i="20"/>
  <c r="V60" i="20"/>
  <c r="S60" i="20"/>
  <c r="P60" i="20"/>
  <c r="I60" i="20"/>
  <c r="H60" i="20"/>
  <c r="C60" i="20"/>
  <c r="B60" i="20"/>
  <c r="AK59" i="20"/>
  <c r="AH59" i="20"/>
  <c r="AE59" i="20"/>
  <c r="AB59" i="20"/>
  <c r="Y59" i="20"/>
  <c r="V59" i="20"/>
  <c r="S59" i="20"/>
  <c r="P59" i="20"/>
  <c r="I59" i="20"/>
  <c r="H59" i="20"/>
  <c r="C59" i="20"/>
  <c r="B59" i="20"/>
  <c r="AK58" i="20"/>
  <c r="AH58" i="20"/>
  <c r="AE58" i="20"/>
  <c r="AB58" i="20"/>
  <c r="Y58" i="20"/>
  <c r="V58" i="20"/>
  <c r="S58" i="20"/>
  <c r="P58" i="20"/>
  <c r="I58" i="20"/>
  <c r="H58" i="20"/>
  <c r="C58" i="20"/>
  <c r="B58" i="20"/>
  <c r="AK57" i="20"/>
  <c r="AH57" i="20"/>
  <c r="AE57" i="20"/>
  <c r="AB57" i="20"/>
  <c r="Y57" i="20"/>
  <c r="V57" i="20"/>
  <c r="S57" i="20"/>
  <c r="P57" i="20"/>
  <c r="I57" i="20"/>
  <c r="H57" i="20"/>
  <c r="C57" i="20"/>
  <c r="B57" i="20"/>
  <c r="AK56" i="20"/>
  <c r="AH56" i="20"/>
  <c r="AE56" i="20"/>
  <c r="AB56" i="20"/>
  <c r="Y56" i="20"/>
  <c r="V56" i="20"/>
  <c r="S56" i="20"/>
  <c r="P56" i="20"/>
  <c r="I56" i="20"/>
  <c r="H56" i="20"/>
  <c r="C56" i="20"/>
  <c r="B56" i="20"/>
  <c r="AK55" i="20"/>
  <c r="AH55" i="20"/>
  <c r="AE55" i="20"/>
  <c r="AB55" i="20"/>
  <c r="Y55" i="20"/>
  <c r="V55" i="20"/>
  <c r="S55" i="20"/>
  <c r="P55" i="20"/>
  <c r="I55" i="20"/>
  <c r="H55" i="20"/>
  <c r="C55" i="20"/>
  <c r="B55" i="20"/>
  <c r="AK54" i="20"/>
  <c r="AH54" i="20"/>
  <c r="AE54" i="20"/>
  <c r="AB54" i="20"/>
  <c r="Y54" i="20"/>
  <c r="V54" i="20"/>
  <c r="S54" i="20"/>
  <c r="P54" i="20"/>
  <c r="I54" i="20"/>
  <c r="H54" i="20"/>
  <c r="C54" i="20"/>
  <c r="B54" i="20"/>
  <c r="AK53" i="20"/>
  <c r="AH53" i="20"/>
  <c r="AE53" i="20"/>
  <c r="AB53" i="20"/>
  <c r="Y53" i="20"/>
  <c r="V53" i="20"/>
  <c r="S53" i="20"/>
  <c r="P53" i="20"/>
  <c r="I53" i="20"/>
  <c r="H53" i="20"/>
  <c r="C53" i="20"/>
  <c r="B53" i="20"/>
  <c r="AK52" i="20"/>
  <c r="AH52" i="20"/>
  <c r="AE52" i="20"/>
  <c r="AB52" i="20"/>
  <c r="Y52" i="20"/>
  <c r="V52" i="20"/>
  <c r="S52" i="20"/>
  <c r="P52" i="20"/>
  <c r="I52" i="20"/>
  <c r="H52" i="20"/>
  <c r="C52" i="20"/>
  <c r="B52" i="20"/>
  <c r="AK51" i="20"/>
  <c r="AH51" i="20"/>
  <c r="AE51" i="20"/>
  <c r="AB51" i="20"/>
  <c r="Y51" i="20"/>
  <c r="V51" i="20"/>
  <c r="S51" i="20"/>
  <c r="P51" i="20"/>
  <c r="I51" i="20"/>
  <c r="H51" i="20"/>
  <c r="C51" i="20"/>
  <c r="B51" i="20"/>
  <c r="AK50" i="20"/>
  <c r="AH50" i="20"/>
  <c r="AE50" i="20"/>
  <c r="AB50" i="20"/>
  <c r="Y50" i="20"/>
  <c r="V50" i="20"/>
  <c r="S50" i="20"/>
  <c r="P50" i="20"/>
  <c r="I50" i="20"/>
  <c r="H50" i="20"/>
  <c r="C50" i="20"/>
  <c r="B50" i="20"/>
  <c r="AK49" i="20"/>
  <c r="AH49" i="20"/>
  <c r="AE49" i="20"/>
  <c r="AB49" i="20"/>
  <c r="Y49" i="20"/>
  <c r="V49" i="20"/>
  <c r="S49" i="20"/>
  <c r="P49" i="20"/>
  <c r="I49" i="20"/>
  <c r="H49" i="20"/>
  <c r="C49" i="20"/>
  <c r="B49" i="20"/>
  <c r="AK48" i="20"/>
  <c r="AH48" i="20"/>
  <c r="AE48" i="20"/>
  <c r="AB48" i="20"/>
  <c r="Y48" i="20"/>
  <c r="V48" i="20"/>
  <c r="S48" i="20"/>
  <c r="P48" i="20"/>
  <c r="I48" i="20"/>
  <c r="H48" i="20"/>
  <c r="C48" i="20"/>
  <c r="B48" i="20"/>
  <c r="AK47" i="20"/>
  <c r="AH47" i="20"/>
  <c r="AE47" i="20"/>
  <c r="AB47" i="20"/>
  <c r="Y47" i="20"/>
  <c r="V47" i="20"/>
  <c r="S47" i="20"/>
  <c r="P47" i="20"/>
  <c r="I47" i="20"/>
  <c r="H47" i="20"/>
  <c r="C47" i="20"/>
  <c r="B47" i="20"/>
  <c r="AK46" i="20"/>
  <c r="AH46" i="20"/>
  <c r="AE46" i="20"/>
  <c r="AB46" i="20"/>
  <c r="Y46" i="20"/>
  <c r="V46" i="20"/>
  <c r="S46" i="20"/>
  <c r="P46" i="20"/>
  <c r="I46" i="20"/>
  <c r="H46" i="20"/>
  <c r="C46" i="20"/>
  <c r="B46" i="20"/>
  <c r="AK45" i="20"/>
  <c r="AH45" i="20"/>
  <c r="AE45" i="20"/>
  <c r="AB45" i="20"/>
  <c r="Y45" i="20"/>
  <c r="V45" i="20"/>
  <c r="S45" i="20"/>
  <c r="P45" i="20"/>
  <c r="I45" i="20"/>
  <c r="H45" i="20"/>
  <c r="C45" i="20"/>
  <c r="B45" i="20"/>
  <c r="AK44" i="20"/>
  <c r="AH44" i="20"/>
  <c r="AE44" i="20"/>
  <c r="AB44" i="20"/>
  <c r="Y44" i="20"/>
  <c r="V44" i="20"/>
  <c r="S44" i="20"/>
  <c r="P44" i="20"/>
  <c r="I44" i="20"/>
  <c r="H44" i="20"/>
  <c r="C44" i="20"/>
  <c r="B44" i="20"/>
  <c r="AK43" i="20"/>
  <c r="AH43" i="20"/>
  <c r="AE43" i="20"/>
  <c r="AB43" i="20"/>
  <c r="Y43" i="20"/>
  <c r="V43" i="20"/>
  <c r="S43" i="20"/>
  <c r="P43" i="20"/>
  <c r="I43" i="20"/>
  <c r="H43" i="20"/>
  <c r="C43" i="20"/>
  <c r="B43" i="20"/>
  <c r="AK42" i="20"/>
  <c r="AH42" i="20"/>
  <c r="AE42" i="20"/>
  <c r="AB42" i="20"/>
  <c r="Y42" i="20"/>
  <c r="V42" i="20"/>
  <c r="S42" i="20"/>
  <c r="P42" i="20"/>
  <c r="I42" i="20"/>
  <c r="H42" i="20"/>
  <c r="C42" i="20"/>
  <c r="B42" i="20"/>
  <c r="AK41" i="20"/>
  <c r="AH41" i="20"/>
  <c r="AE41" i="20"/>
  <c r="AB41" i="20"/>
  <c r="Y41" i="20"/>
  <c r="V41" i="20"/>
  <c r="S41" i="20"/>
  <c r="P41" i="20"/>
  <c r="I41" i="20"/>
  <c r="H41" i="20"/>
  <c r="C41" i="20"/>
  <c r="B41" i="20"/>
  <c r="AK40" i="20"/>
  <c r="AH40" i="20"/>
  <c r="AE40" i="20"/>
  <c r="AB40" i="20"/>
  <c r="Y40" i="20"/>
  <c r="V40" i="20"/>
  <c r="S40" i="20"/>
  <c r="P40" i="20"/>
  <c r="I40" i="20"/>
  <c r="H40" i="20"/>
  <c r="C40" i="20"/>
  <c r="B40" i="20"/>
  <c r="AK39" i="20"/>
  <c r="AH39" i="20"/>
  <c r="AE39" i="20"/>
  <c r="AB39" i="20"/>
  <c r="Y39" i="20"/>
  <c r="V39" i="20"/>
  <c r="S39" i="20"/>
  <c r="P39" i="20"/>
  <c r="I39" i="20"/>
  <c r="H39" i="20"/>
  <c r="C39" i="20"/>
  <c r="B39" i="20"/>
  <c r="AK38" i="20"/>
  <c r="AH38" i="20"/>
  <c r="AE38" i="20"/>
  <c r="AB38" i="20"/>
  <c r="Y38" i="20"/>
  <c r="V38" i="20"/>
  <c r="S38" i="20"/>
  <c r="P38" i="20"/>
  <c r="I38" i="20"/>
  <c r="H38" i="20"/>
  <c r="C38" i="20"/>
  <c r="B38" i="20"/>
  <c r="AK37" i="20"/>
  <c r="AH37" i="20"/>
  <c r="AE37" i="20"/>
  <c r="AB37" i="20"/>
  <c r="Y37" i="20"/>
  <c r="V37" i="20"/>
  <c r="S37" i="20"/>
  <c r="P37" i="20"/>
  <c r="I37" i="20"/>
  <c r="H37" i="20"/>
  <c r="C37" i="20"/>
  <c r="B37" i="20"/>
  <c r="AK36" i="20"/>
  <c r="AH36" i="20"/>
  <c r="AE36" i="20"/>
  <c r="AB36" i="20"/>
  <c r="Y36" i="20"/>
  <c r="V36" i="20"/>
  <c r="S36" i="20"/>
  <c r="P36" i="20"/>
  <c r="I36" i="20"/>
  <c r="H36" i="20"/>
  <c r="C36" i="20"/>
  <c r="B36" i="20"/>
  <c r="AK35" i="20"/>
  <c r="AH35" i="20"/>
  <c r="AE35" i="20"/>
  <c r="AB35" i="20"/>
  <c r="Y35" i="20"/>
  <c r="V35" i="20"/>
  <c r="S35" i="20"/>
  <c r="P35" i="20"/>
  <c r="I35" i="20"/>
  <c r="H35" i="20"/>
  <c r="C35" i="20"/>
  <c r="B35" i="20"/>
  <c r="AK34" i="20"/>
  <c r="AH34" i="20"/>
  <c r="AE34" i="20"/>
  <c r="AB34" i="20"/>
  <c r="Y34" i="20"/>
  <c r="V34" i="20"/>
  <c r="S34" i="20"/>
  <c r="P34" i="20"/>
  <c r="I34" i="20"/>
  <c r="H34" i="20"/>
  <c r="C34" i="20"/>
  <c r="B34" i="20"/>
  <c r="AK33" i="20"/>
  <c r="AH33" i="20"/>
  <c r="AE33" i="20"/>
  <c r="AB33" i="20"/>
  <c r="Y33" i="20"/>
  <c r="V33" i="20"/>
  <c r="S33" i="20"/>
  <c r="P33" i="20"/>
  <c r="I33" i="20"/>
  <c r="H33" i="20"/>
  <c r="C33" i="20"/>
  <c r="B33" i="20"/>
  <c r="AK32" i="20"/>
  <c r="AH32" i="20"/>
  <c r="AE32" i="20"/>
  <c r="AB32" i="20"/>
  <c r="Y32" i="20"/>
  <c r="V32" i="20"/>
  <c r="S32" i="20"/>
  <c r="P32" i="20"/>
  <c r="I32" i="20"/>
  <c r="H32" i="20"/>
  <c r="C32" i="20"/>
  <c r="B32" i="20"/>
  <c r="AK31" i="20"/>
  <c r="AH31" i="20"/>
  <c r="AE31" i="20"/>
  <c r="AB31" i="20"/>
  <c r="Y31" i="20"/>
  <c r="V31" i="20"/>
  <c r="S31" i="20"/>
  <c r="P31" i="20"/>
  <c r="I31" i="20"/>
  <c r="H31" i="20"/>
  <c r="C31" i="20"/>
  <c r="B31" i="20"/>
  <c r="AK30" i="20"/>
  <c r="AH30" i="20"/>
  <c r="AE30" i="20"/>
  <c r="AB30" i="20"/>
  <c r="Y30" i="20"/>
  <c r="V30" i="20"/>
  <c r="S30" i="20"/>
  <c r="P30" i="20"/>
  <c r="I30" i="20"/>
  <c r="H30" i="20"/>
  <c r="C30" i="20"/>
  <c r="B30" i="20"/>
  <c r="AK29" i="20"/>
  <c r="AH29" i="20"/>
  <c r="AE29" i="20"/>
  <c r="AB29" i="20"/>
  <c r="Y29" i="20"/>
  <c r="V29" i="20"/>
  <c r="S29" i="20"/>
  <c r="P29" i="20"/>
  <c r="I29" i="20"/>
  <c r="H29" i="20"/>
  <c r="C29" i="20"/>
  <c r="B29" i="20"/>
  <c r="AK28" i="20"/>
  <c r="AH28" i="20"/>
  <c r="AE28" i="20"/>
  <c r="AB28" i="20"/>
  <c r="Y28" i="20"/>
  <c r="V28" i="20"/>
  <c r="S28" i="20"/>
  <c r="P28" i="20"/>
  <c r="I28" i="20"/>
  <c r="H28" i="20"/>
  <c r="C28" i="20"/>
  <c r="B28" i="20"/>
  <c r="AK27" i="20"/>
  <c r="AH27" i="20"/>
  <c r="AE27" i="20"/>
  <c r="AB27" i="20"/>
  <c r="Y27" i="20"/>
  <c r="V27" i="20"/>
  <c r="S27" i="20"/>
  <c r="P27" i="20"/>
  <c r="I27" i="20"/>
  <c r="H27" i="20"/>
  <c r="C27" i="20"/>
  <c r="B27" i="20"/>
  <c r="AK26" i="20"/>
  <c r="AH26" i="20"/>
  <c r="AE26" i="20"/>
  <c r="AB26" i="20"/>
  <c r="Y26" i="20"/>
  <c r="V26" i="20"/>
  <c r="S26" i="20"/>
  <c r="P26" i="20"/>
  <c r="I26" i="20"/>
  <c r="H26" i="20"/>
  <c r="C26" i="20"/>
  <c r="B26" i="20"/>
  <c r="AK25" i="20"/>
  <c r="AH25" i="20"/>
  <c r="AE25" i="20"/>
  <c r="AB25" i="20"/>
  <c r="Y25" i="20"/>
  <c r="V25" i="20"/>
  <c r="S25" i="20"/>
  <c r="P25" i="20"/>
  <c r="I25" i="20"/>
  <c r="H25" i="20"/>
  <c r="C25" i="20"/>
  <c r="B25" i="20"/>
  <c r="AK24" i="20"/>
  <c r="AH24" i="20"/>
  <c r="AE24" i="20"/>
  <c r="AB24" i="20"/>
  <c r="Y24" i="20"/>
  <c r="V24" i="20"/>
  <c r="S24" i="20"/>
  <c r="P24" i="20"/>
  <c r="I24" i="20"/>
  <c r="H24" i="20"/>
  <c r="C24" i="20"/>
  <c r="B24" i="20"/>
  <c r="AK23" i="20"/>
  <c r="AH23" i="20"/>
  <c r="AE23" i="20"/>
  <c r="AB23" i="20"/>
  <c r="Y23" i="20"/>
  <c r="V23" i="20"/>
  <c r="S23" i="20"/>
  <c r="P23" i="20"/>
  <c r="I23" i="20"/>
  <c r="H23" i="20"/>
  <c r="C23" i="20"/>
  <c r="B23" i="20"/>
  <c r="AK22" i="20"/>
  <c r="AH22" i="20"/>
  <c r="AE22" i="20"/>
  <c r="AB22" i="20"/>
  <c r="Y22" i="20"/>
  <c r="V22" i="20"/>
  <c r="S22" i="20"/>
  <c r="P22" i="20"/>
  <c r="I22" i="20"/>
  <c r="H22" i="20"/>
  <c r="C22" i="20"/>
  <c r="B22" i="20"/>
  <c r="AK21" i="20"/>
  <c r="AH21" i="20"/>
  <c r="AE21" i="20"/>
  <c r="AB21" i="20"/>
  <c r="Y21" i="20"/>
  <c r="V21" i="20"/>
  <c r="S21" i="20"/>
  <c r="P21" i="20"/>
  <c r="I21" i="20"/>
  <c r="H21" i="20"/>
  <c r="C21" i="20"/>
  <c r="B21" i="20"/>
  <c r="AK20" i="20"/>
  <c r="AH20" i="20"/>
  <c r="AE20" i="20"/>
  <c r="AB20" i="20"/>
  <c r="Y20" i="20"/>
  <c r="V20" i="20"/>
  <c r="S20" i="20"/>
  <c r="P20" i="20"/>
  <c r="I20" i="20"/>
  <c r="H20" i="20"/>
  <c r="C20" i="20"/>
  <c r="B20" i="20"/>
  <c r="AK19" i="20"/>
  <c r="AH19" i="20"/>
  <c r="AE19" i="20"/>
  <c r="AB19" i="20"/>
  <c r="Y19" i="20"/>
  <c r="V19" i="20"/>
  <c r="S19" i="20"/>
  <c r="P19" i="20"/>
  <c r="I19" i="20"/>
  <c r="H19" i="20"/>
  <c r="C19" i="20"/>
  <c r="B19" i="20"/>
  <c r="AK18" i="20"/>
  <c r="AH18" i="20"/>
  <c r="AE18" i="20"/>
  <c r="AB18" i="20"/>
  <c r="Y18" i="20"/>
  <c r="V18" i="20"/>
  <c r="S18" i="20"/>
  <c r="P18" i="20"/>
  <c r="I18" i="20"/>
  <c r="H18" i="20"/>
  <c r="C18" i="20"/>
  <c r="B18" i="20"/>
  <c r="AK17" i="20"/>
  <c r="AH17" i="20"/>
  <c r="AE17" i="20"/>
  <c r="AB17" i="20"/>
  <c r="Y17" i="20"/>
  <c r="V17" i="20"/>
  <c r="S17" i="20"/>
  <c r="P17" i="20"/>
  <c r="I17" i="20"/>
  <c r="H17" i="20"/>
  <c r="C17" i="20"/>
  <c r="B17" i="20"/>
  <c r="AK16" i="20"/>
  <c r="AH16" i="20"/>
  <c r="AE16" i="20"/>
  <c r="AB16" i="20"/>
  <c r="Y16" i="20"/>
  <c r="V16" i="20"/>
  <c r="S16" i="20"/>
  <c r="P16" i="20"/>
  <c r="I16" i="20"/>
  <c r="H16" i="20"/>
  <c r="C16" i="20"/>
  <c r="B16" i="20"/>
  <c r="AK15" i="20"/>
  <c r="AH15" i="20"/>
  <c r="AE15" i="20"/>
  <c r="AB15" i="20"/>
  <c r="Y15" i="20"/>
  <c r="V15" i="20"/>
  <c r="S15" i="20"/>
  <c r="P15" i="20"/>
  <c r="I15" i="20"/>
  <c r="H15" i="20"/>
  <c r="C15" i="20"/>
  <c r="B15" i="20"/>
  <c r="AK14" i="20"/>
  <c r="AH14" i="20"/>
  <c r="AE14" i="20"/>
  <c r="AB14" i="20"/>
  <c r="Y14" i="20"/>
  <c r="V14" i="20"/>
  <c r="S14" i="20"/>
  <c r="P14" i="20"/>
  <c r="I14" i="20"/>
  <c r="H14" i="20"/>
  <c r="C14" i="20"/>
  <c r="B14" i="20"/>
  <c r="AK13" i="20"/>
  <c r="AH13" i="20"/>
  <c r="AE13" i="20"/>
  <c r="AB13" i="20"/>
  <c r="Y13" i="20"/>
  <c r="V13" i="20"/>
  <c r="S13" i="20"/>
  <c r="P13" i="20"/>
  <c r="I13" i="20"/>
  <c r="H13" i="20"/>
  <c r="C13" i="20"/>
  <c r="B13" i="20"/>
  <c r="AM68" i="19"/>
  <c r="D75" i="20" s="1"/>
  <c r="AM67" i="19"/>
  <c r="D74" i="20" s="1"/>
  <c r="AM66" i="19"/>
  <c r="D73" i="20" s="1"/>
  <c r="AM65" i="19"/>
  <c r="D72" i="20" s="1"/>
  <c r="AM64" i="19"/>
  <c r="D71" i="20" s="1"/>
  <c r="AM63" i="19"/>
  <c r="D70" i="20" s="1"/>
  <c r="AM62" i="19"/>
  <c r="D69" i="20" s="1"/>
  <c r="AM61" i="19"/>
  <c r="D68" i="20" s="1"/>
  <c r="AM60" i="19"/>
  <c r="D67" i="20" s="1"/>
  <c r="AM59" i="19"/>
  <c r="D66" i="20" s="1"/>
  <c r="AM58" i="19"/>
  <c r="D65" i="20" s="1"/>
  <c r="AM57" i="19"/>
  <c r="D64" i="20" s="1"/>
  <c r="AM56" i="19"/>
  <c r="D63" i="20" s="1"/>
  <c r="AM55" i="19"/>
  <c r="D62" i="20" s="1"/>
  <c r="AM54" i="19"/>
  <c r="D61" i="20" s="1"/>
  <c r="AM53" i="19"/>
  <c r="D60" i="20" s="1"/>
  <c r="AM52" i="19"/>
  <c r="D59" i="20" s="1"/>
  <c r="AM51" i="19"/>
  <c r="D58" i="20" s="1"/>
  <c r="AM50" i="19"/>
  <c r="D57" i="20" s="1"/>
  <c r="AM49" i="19"/>
  <c r="D56" i="20" s="1"/>
  <c r="AM48" i="19"/>
  <c r="D55" i="20" s="1"/>
  <c r="AM47" i="19"/>
  <c r="D54" i="20" s="1"/>
  <c r="T47" i="19"/>
  <c r="P47" i="19"/>
  <c r="N47" i="19"/>
  <c r="I47" i="19"/>
  <c r="H47" i="19"/>
  <c r="N54" i="20" s="1"/>
  <c r="G47" i="19"/>
  <c r="AM46" i="19"/>
  <c r="D53" i="20" s="1"/>
  <c r="T46" i="19"/>
  <c r="P46" i="19"/>
  <c r="N46" i="19"/>
  <c r="I46" i="19"/>
  <c r="H46" i="19"/>
  <c r="N53" i="20" s="1"/>
  <c r="G46" i="19"/>
  <c r="AM45" i="19"/>
  <c r="D52" i="20" s="1"/>
  <c r="T45" i="19"/>
  <c r="P45" i="19"/>
  <c r="N45" i="19"/>
  <c r="I45" i="19"/>
  <c r="H45" i="19"/>
  <c r="N52" i="20" s="1"/>
  <c r="G45" i="19"/>
  <c r="AM44" i="19"/>
  <c r="D51" i="20" s="1"/>
  <c r="T44" i="19"/>
  <c r="P44" i="19"/>
  <c r="N44" i="19"/>
  <c r="I44" i="19"/>
  <c r="H44" i="19"/>
  <c r="N51" i="20" s="1"/>
  <c r="G44" i="19"/>
  <c r="AM43" i="19"/>
  <c r="D50" i="20" s="1"/>
  <c r="T43" i="19"/>
  <c r="P43" i="19"/>
  <c r="N43" i="19"/>
  <c r="I43" i="19"/>
  <c r="H43" i="19"/>
  <c r="N50" i="20" s="1"/>
  <c r="G43" i="19"/>
  <c r="AM42" i="19"/>
  <c r="D49" i="20" s="1"/>
  <c r="T42" i="19"/>
  <c r="P42" i="19"/>
  <c r="N42" i="19"/>
  <c r="I42" i="19"/>
  <c r="H42" i="19"/>
  <c r="N49" i="20" s="1"/>
  <c r="G42" i="19"/>
  <c r="AM41" i="19"/>
  <c r="D48" i="20" s="1"/>
  <c r="T41" i="19"/>
  <c r="P41" i="19"/>
  <c r="N41" i="19"/>
  <c r="I41" i="19"/>
  <c r="H41" i="19"/>
  <c r="N48" i="20" s="1"/>
  <c r="G41" i="19"/>
  <c r="AM40" i="19"/>
  <c r="D47" i="20" s="1"/>
  <c r="T40" i="19"/>
  <c r="P40" i="19"/>
  <c r="N40" i="19"/>
  <c r="I40" i="19"/>
  <c r="H40" i="19"/>
  <c r="N47" i="20" s="1"/>
  <c r="G40" i="19"/>
  <c r="AM39" i="19"/>
  <c r="D46" i="20" s="1"/>
  <c r="T39" i="19"/>
  <c r="P39" i="19"/>
  <c r="N39" i="19"/>
  <c r="I39" i="19"/>
  <c r="H39" i="19"/>
  <c r="N46" i="20" s="1"/>
  <c r="G39" i="19"/>
  <c r="AM38" i="19"/>
  <c r="D45" i="20" s="1"/>
  <c r="T38" i="19"/>
  <c r="P38" i="19"/>
  <c r="N38" i="19"/>
  <c r="AM37" i="19"/>
  <c r="D44" i="20" s="1"/>
  <c r="T37" i="19"/>
  <c r="P37" i="19"/>
  <c r="N37" i="19"/>
  <c r="I37" i="19"/>
  <c r="H37" i="19"/>
  <c r="N44" i="20" s="1"/>
  <c r="G37" i="19"/>
  <c r="AM36" i="19"/>
  <c r="D43" i="20" s="1"/>
  <c r="T36" i="19"/>
  <c r="P36" i="19"/>
  <c r="N36" i="19"/>
  <c r="AM35" i="19"/>
  <c r="D42" i="20" s="1"/>
  <c r="T35" i="19"/>
  <c r="P35" i="19"/>
  <c r="N35" i="19"/>
  <c r="AM34" i="19"/>
  <c r="D41" i="20" s="1"/>
  <c r="T34" i="19"/>
  <c r="P34" i="19"/>
  <c r="N34" i="19"/>
  <c r="AM33" i="19"/>
  <c r="D40" i="20" s="1"/>
  <c r="T33" i="19"/>
  <c r="P33" i="19"/>
  <c r="N33" i="19"/>
  <c r="AM32" i="19"/>
  <c r="D39" i="20" s="1"/>
  <c r="T32" i="19"/>
  <c r="P32" i="19"/>
  <c r="N32" i="19"/>
  <c r="AM31" i="19"/>
  <c r="D38" i="20" s="1"/>
  <c r="T31" i="19"/>
  <c r="P31" i="19"/>
  <c r="N31" i="19"/>
  <c r="AM30" i="19"/>
  <c r="D37" i="20" s="1"/>
  <c r="T30" i="19"/>
  <c r="P30" i="19"/>
  <c r="N30" i="19"/>
  <c r="AM29" i="19"/>
  <c r="D36" i="20" s="1"/>
  <c r="T29" i="19"/>
  <c r="P29" i="19"/>
  <c r="N29" i="19"/>
  <c r="AM28" i="19"/>
  <c r="D35" i="20" s="1"/>
  <c r="AM27" i="19"/>
  <c r="D34" i="20" s="1"/>
  <c r="AM26" i="19"/>
  <c r="D33" i="20" s="1"/>
  <c r="AM25" i="19"/>
  <c r="D32" i="20" s="1"/>
  <c r="AM24" i="19"/>
  <c r="D31" i="20" s="1"/>
  <c r="AM23" i="19"/>
  <c r="D30" i="20" s="1"/>
  <c r="AM22" i="19"/>
  <c r="D29" i="20" s="1"/>
  <c r="AM21" i="19"/>
  <c r="D28" i="20" s="1"/>
  <c r="AM20" i="19"/>
  <c r="D27" i="20" s="1"/>
  <c r="AM19" i="19"/>
  <c r="D26" i="20" s="1"/>
  <c r="AM18" i="19"/>
  <c r="D25" i="20" s="1"/>
  <c r="AM17" i="19"/>
  <c r="D24" i="20" s="1"/>
  <c r="AM16" i="19"/>
  <c r="D23" i="20" s="1"/>
  <c r="AM15" i="19"/>
  <c r="D22" i="20" s="1"/>
  <c r="AM14" i="19"/>
  <c r="D21" i="20" s="1"/>
  <c r="AM13" i="19"/>
  <c r="D20" i="20" s="1"/>
  <c r="AM12" i="19"/>
  <c r="D19" i="20" s="1"/>
  <c r="AM11" i="19"/>
  <c r="D18" i="20" s="1"/>
  <c r="AM10" i="19"/>
  <c r="D17" i="20" s="1"/>
  <c r="AM9" i="19"/>
  <c r="D16" i="20" s="1"/>
  <c r="AM8" i="19"/>
  <c r="D15" i="20" s="1"/>
  <c r="AM7" i="19"/>
  <c r="D14" i="20" s="1"/>
  <c r="AM6" i="19"/>
  <c r="D13" i="20" s="1"/>
  <c r="F86" i="11"/>
  <c r="D86" i="11" s="1"/>
  <c r="D84" i="11"/>
  <c r="D83" i="11"/>
  <c r="D82" i="11"/>
  <c r="D81" i="11"/>
  <c r="D80" i="11"/>
  <c r="A76" i="11"/>
  <c r="S75" i="11"/>
  <c r="BC68" i="19" s="1"/>
  <c r="T75" i="20" s="1"/>
  <c r="U75" i="20" s="1"/>
  <c r="R75" i="11"/>
  <c r="BA68" i="19" s="1"/>
  <c r="Q75" i="20" s="1"/>
  <c r="R75" i="20" s="1"/>
  <c r="O75" i="11"/>
  <c r="P68" i="19" s="1"/>
  <c r="N75" i="11"/>
  <c r="M75" i="11"/>
  <c r="N68" i="19" s="1"/>
  <c r="G75" i="11"/>
  <c r="D75" i="11"/>
  <c r="C75" i="11"/>
  <c r="B75" i="11"/>
  <c r="B68" i="19" s="1"/>
  <c r="A75" i="11"/>
  <c r="A68" i="19" s="1"/>
  <c r="S74" i="11"/>
  <c r="BC67" i="19" s="1"/>
  <c r="T74" i="20" s="1"/>
  <c r="U74" i="20" s="1"/>
  <c r="R74" i="11"/>
  <c r="BA67" i="19" s="1"/>
  <c r="Q74" i="20" s="1"/>
  <c r="R74" i="20" s="1"/>
  <c r="O74" i="11"/>
  <c r="P67" i="19" s="1"/>
  <c r="N74" i="11"/>
  <c r="M74" i="11"/>
  <c r="N67" i="19" s="1"/>
  <c r="G74" i="11"/>
  <c r="D74" i="11"/>
  <c r="C74" i="11"/>
  <c r="B74" i="11"/>
  <c r="B67" i="19" s="1"/>
  <c r="A74" i="11"/>
  <c r="A67" i="19" s="1"/>
  <c r="S73" i="11"/>
  <c r="BC66" i="19" s="1"/>
  <c r="T73" i="20" s="1"/>
  <c r="U73" i="20" s="1"/>
  <c r="R73" i="11"/>
  <c r="BA66" i="19" s="1"/>
  <c r="Q73" i="20" s="1"/>
  <c r="R73" i="20" s="1"/>
  <c r="O73" i="11"/>
  <c r="P66" i="19" s="1"/>
  <c r="N73" i="11"/>
  <c r="M73" i="11"/>
  <c r="N66" i="19" s="1"/>
  <c r="G73" i="11"/>
  <c r="D73" i="11"/>
  <c r="C73" i="11"/>
  <c r="B73" i="11"/>
  <c r="B66" i="19" s="1"/>
  <c r="A73" i="11"/>
  <c r="A66" i="19" s="1"/>
  <c r="S72" i="11"/>
  <c r="BC65" i="19" s="1"/>
  <c r="T72" i="20" s="1"/>
  <c r="U72" i="20" s="1"/>
  <c r="R72" i="11"/>
  <c r="BA65" i="19" s="1"/>
  <c r="Q72" i="20" s="1"/>
  <c r="R72" i="20" s="1"/>
  <c r="O72" i="11"/>
  <c r="P65" i="19" s="1"/>
  <c r="N72" i="11"/>
  <c r="M72" i="11"/>
  <c r="N65" i="19" s="1"/>
  <c r="G72" i="11"/>
  <c r="D72" i="11"/>
  <c r="C72" i="11"/>
  <c r="B72" i="11"/>
  <c r="B65" i="19" s="1"/>
  <c r="A72" i="11"/>
  <c r="A65" i="19" s="1"/>
  <c r="S71" i="11"/>
  <c r="BC64" i="19" s="1"/>
  <c r="T71" i="20" s="1"/>
  <c r="U71" i="20" s="1"/>
  <c r="R71" i="11"/>
  <c r="BA64" i="19" s="1"/>
  <c r="Q71" i="20" s="1"/>
  <c r="R71" i="20" s="1"/>
  <c r="O71" i="11"/>
  <c r="P64" i="19" s="1"/>
  <c r="N71" i="11"/>
  <c r="M71" i="11"/>
  <c r="N64" i="19" s="1"/>
  <c r="G71" i="11"/>
  <c r="D71" i="11"/>
  <c r="C71" i="11"/>
  <c r="B71" i="11"/>
  <c r="B64" i="19" s="1"/>
  <c r="A71" i="11"/>
  <c r="A64" i="19" s="1"/>
  <c r="S70" i="11"/>
  <c r="BC63" i="19" s="1"/>
  <c r="T70" i="20" s="1"/>
  <c r="U70" i="20" s="1"/>
  <c r="R70" i="11"/>
  <c r="BA63" i="19" s="1"/>
  <c r="Q70" i="20" s="1"/>
  <c r="R70" i="20" s="1"/>
  <c r="O70" i="11"/>
  <c r="P63" i="19" s="1"/>
  <c r="N70" i="11"/>
  <c r="M70" i="11"/>
  <c r="N63" i="19" s="1"/>
  <c r="G70" i="11"/>
  <c r="D70" i="11"/>
  <c r="C70" i="11"/>
  <c r="B70" i="11"/>
  <c r="B63" i="19" s="1"/>
  <c r="A70" i="11"/>
  <c r="A63" i="19" s="1"/>
  <c r="S69" i="11"/>
  <c r="BC62" i="19" s="1"/>
  <c r="T69" i="20" s="1"/>
  <c r="U69" i="20" s="1"/>
  <c r="R69" i="11"/>
  <c r="BA62" i="19" s="1"/>
  <c r="Q69" i="20" s="1"/>
  <c r="R69" i="20" s="1"/>
  <c r="O69" i="11"/>
  <c r="P62" i="19" s="1"/>
  <c r="N69" i="11"/>
  <c r="M69" i="11"/>
  <c r="G69" i="11"/>
  <c r="D69" i="11"/>
  <c r="C69" i="11"/>
  <c r="B69" i="11"/>
  <c r="B62" i="19" s="1"/>
  <c r="A69" i="11"/>
  <c r="A62" i="19" s="1"/>
  <c r="S68" i="11"/>
  <c r="BC61" i="19" s="1"/>
  <c r="T68" i="20" s="1"/>
  <c r="U68" i="20" s="1"/>
  <c r="R68" i="11"/>
  <c r="BA61" i="19" s="1"/>
  <c r="Q68" i="20" s="1"/>
  <c r="R68" i="20" s="1"/>
  <c r="O68" i="11"/>
  <c r="P61" i="19" s="1"/>
  <c r="N68" i="11"/>
  <c r="M68" i="11"/>
  <c r="N61" i="19" s="1"/>
  <c r="G68" i="11"/>
  <c r="D68" i="11"/>
  <c r="C68" i="11"/>
  <c r="B68" i="11"/>
  <c r="B61" i="19" s="1"/>
  <c r="A68" i="11"/>
  <c r="A61" i="19" s="1"/>
  <c r="S67" i="11"/>
  <c r="BC60" i="19" s="1"/>
  <c r="T67" i="20" s="1"/>
  <c r="U67" i="20" s="1"/>
  <c r="R67" i="11"/>
  <c r="BA60" i="19" s="1"/>
  <c r="Q67" i="20" s="1"/>
  <c r="R67" i="20" s="1"/>
  <c r="O67" i="11"/>
  <c r="P60" i="19" s="1"/>
  <c r="N67" i="11"/>
  <c r="M67" i="11"/>
  <c r="N60" i="19" s="1"/>
  <c r="G67" i="11"/>
  <c r="D67" i="11"/>
  <c r="C67" i="11"/>
  <c r="B67" i="11"/>
  <c r="B60" i="19" s="1"/>
  <c r="A67" i="11"/>
  <c r="A60" i="19" s="1"/>
  <c r="S66" i="11"/>
  <c r="BC59" i="19" s="1"/>
  <c r="T66" i="20" s="1"/>
  <c r="U66" i="20" s="1"/>
  <c r="R66" i="11"/>
  <c r="BA59" i="19" s="1"/>
  <c r="Q66" i="20" s="1"/>
  <c r="R66" i="20" s="1"/>
  <c r="O66" i="11"/>
  <c r="P59" i="19" s="1"/>
  <c r="N66" i="11"/>
  <c r="M66" i="11"/>
  <c r="N59" i="19" s="1"/>
  <c r="G66" i="11"/>
  <c r="D66" i="11"/>
  <c r="C66" i="11"/>
  <c r="B66" i="11"/>
  <c r="B59" i="19" s="1"/>
  <c r="A66" i="11"/>
  <c r="A59" i="19" s="1"/>
  <c r="S65" i="11"/>
  <c r="BC58" i="19" s="1"/>
  <c r="T65" i="20" s="1"/>
  <c r="U65" i="20" s="1"/>
  <c r="R65" i="11"/>
  <c r="BA58" i="19" s="1"/>
  <c r="Q65" i="20" s="1"/>
  <c r="R65" i="20" s="1"/>
  <c r="O65" i="11"/>
  <c r="P58" i="19" s="1"/>
  <c r="N65" i="11"/>
  <c r="M65" i="11"/>
  <c r="G65" i="11"/>
  <c r="D65" i="11"/>
  <c r="C65" i="11"/>
  <c r="B65" i="11"/>
  <c r="B58" i="19" s="1"/>
  <c r="A65" i="11"/>
  <c r="A58" i="19" s="1"/>
  <c r="S64" i="11"/>
  <c r="BC57" i="19" s="1"/>
  <c r="T64" i="20" s="1"/>
  <c r="U64" i="20" s="1"/>
  <c r="R64" i="11"/>
  <c r="BA57" i="19" s="1"/>
  <c r="Q64" i="20" s="1"/>
  <c r="R64" i="20" s="1"/>
  <c r="O64" i="11"/>
  <c r="P57" i="19" s="1"/>
  <c r="N64" i="11"/>
  <c r="M64" i="11"/>
  <c r="N57" i="19" s="1"/>
  <c r="G64" i="11"/>
  <c r="D64" i="11"/>
  <c r="C64" i="11"/>
  <c r="B64" i="11"/>
  <c r="B57" i="19" s="1"/>
  <c r="A64" i="11"/>
  <c r="A57" i="19" s="1"/>
  <c r="S63" i="11"/>
  <c r="BC56" i="19" s="1"/>
  <c r="T63" i="20" s="1"/>
  <c r="U63" i="20" s="1"/>
  <c r="R63" i="11"/>
  <c r="BA56" i="19" s="1"/>
  <c r="Q63" i="20" s="1"/>
  <c r="R63" i="20" s="1"/>
  <c r="O63" i="11"/>
  <c r="P56" i="19" s="1"/>
  <c r="N63" i="11"/>
  <c r="M63" i="11"/>
  <c r="G63" i="11"/>
  <c r="D63" i="11"/>
  <c r="C63" i="11"/>
  <c r="B63" i="11"/>
  <c r="B56" i="19" s="1"/>
  <c r="A63" i="11"/>
  <c r="A56" i="19" s="1"/>
  <c r="S62" i="11"/>
  <c r="BC55" i="19" s="1"/>
  <c r="T62" i="20" s="1"/>
  <c r="U62" i="20" s="1"/>
  <c r="R62" i="11"/>
  <c r="BA55" i="19" s="1"/>
  <c r="Q62" i="20" s="1"/>
  <c r="R62" i="20" s="1"/>
  <c r="O62" i="11"/>
  <c r="P55" i="19" s="1"/>
  <c r="N62" i="11"/>
  <c r="M62" i="11"/>
  <c r="N55" i="19" s="1"/>
  <c r="G62" i="11"/>
  <c r="D62" i="11"/>
  <c r="C62" i="11"/>
  <c r="B62" i="11"/>
  <c r="B55" i="19" s="1"/>
  <c r="A62" i="11"/>
  <c r="A55" i="19" s="1"/>
  <c r="S61" i="11"/>
  <c r="BC54" i="19" s="1"/>
  <c r="T61" i="20" s="1"/>
  <c r="U61" i="20" s="1"/>
  <c r="R61" i="11"/>
  <c r="BA54" i="19" s="1"/>
  <c r="Q61" i="20" s="1"/>
  <c r="R61" i="20" s="1"/>
  <c r="O61" i="11"/>
  <c r="P54" i="19" s="1"/>
  <c r="N61" i="11"/>
  <c r="M61" i="11"/>
  <c r="N54" i="19" s="1"/>
  <c r="G61" i="11"/>
  <c r="D61" i="11"/>
  <c r="C61" i="11"/>
  <c r="B61" i="11"/>
  <c r="B54" i="19" s="1"/>
  <c r="A61" i="11"/>
  <c r="A54" i="19" s="1"/>
  <c r="S60" i="11"/>
  <c r="BC53" i="19" s="1"/>
  <c r="T60" i="20" s="1"/>
  <c r="U60" i="20" s="1"/>
  <c r="R60" i="11"/>
  <c r="BA53" i="19" s="1"/>
  <c r="Q60" i="20" s="1"/>
  <c r="R60" i="20" s="1"/>
  <c r="O60" i="11"/>
  <c r="P53" i="19" s="1"/>
  <c r="N60" i="11"/>
  <c r="M60" i="11"/>
  <c r="N53" i="19" s="1"/>
  <c r="G60" i="11"/>
  <c r="D60" i="11"/>
  <c r="C60" i="11"/>
  <c r="B60" i="11"/>
  <c r="B53" i="19" s="1"/>
  <c r="A60" i="11"/>
  <c r="A53" i="19" s="1"/>
  <c r="S59" i="11"/>
  <c r="BC52" i="19" s="1"/>
  <c r="T59" i="20" s="1"/>
  <c r="U59" i="20" s="1"/>
  <c r="R59" i="11"/>
  <c r="BA52" i="19" s="1"/>
  <c r="Q59" i="20" s="1"/>
  <c r="R59" i="20" s="1"/>
  <c r="O59" i="11"/>
  <c r="P52" i="19" s="1"/>
  <c r="N59" i="11"/>
  <c r="M59" i="11"/>
  <c r="G59" i="11"/>
  <c r="D59" i="11"/>
  <c r="C59" i="11"/>
  <c r="B59" i="11"/>
  <c r="B52" i="19" s="1"/>
  <c r="A59" i="11"/>
  <c r="A52" i="19" s="1"/>
  <c r="S58" i="11"/>
  <c r="BC51" i="19" s="1"/>
  <c r="T58" i="20" s="1"/>
  <c r="U58" i="20" s="1"/>
  <c r="R58" i="11"/>
  <c r="BA51" i="19" s="1"/>
  <c r="Q58" i="20" s="1"/>
  <c r="R58" i="20" s="1"/>
  <c r="O58" i="11"/>
  <c r="P51" i="19" s="1"/>
  <c r="N58" i="11"/>
  <c r="M58" i="11"/>
  <c r="N51" i="19" s="1"/>
  <c r="G58" i="11"/>
  <c r="D58" i="11"/>
  <c r="C58" i="11"/>
  <c r="B58" i="11"/>
  <c r="B51" i="19" s="1"/>
  <c r="A58" i="11"/>
  <c r="A51" i="19" s="1"/>
  <c r="S57" i="11"/>
  <c r="BC50" i="19" s="1"/>
  <c r="T57" i="20" s="1"/>
  <c r="U57" i="20" s="1"/>
  <c r="R57" i="11"/>
  <c r="BA50" i="19" s="1"/>
  <c r="Q57" i="20" s="1"/>
  <c r="R57" i="20" s="1"/>
  <c r="O57" i="11"/>
  <c r="P50" i="19" s="1"/>
  <c r="N57" i="11"/>
  <c r="M57" i="11"/>
  <c r="G57" i="11"/>
  <c r="D57" i="11"/>
  <c r="C57" i="11"/>
  <c r="B57" i="11"/>
  <c r="B50" i="19" s="1"/>
  <c r="A57" i="11"/>
  <c r="A50" i="19" s="1"/>
  <c r="S56" i="11"/>
  <c r="BC49" i="19" s="1"/>
  <c r="T56" i="20" s="1"/>
  <c r="U56" i="20" s="1"/>
  <c r="R56" i="11"/>
  <c r="BA49" i="19" s="1"/>
  <c r="Q56" i="20" s="1"/>
  <c r="R56" i="20" s="1"/>
  <c r="O56" i="11"/>
  <c r="P49" i="19" s="1"/>
  <c r="N56" i="11"/>
  <c r="M56" i="11"/>
  <c r="N49" i="19" s="1"/>
  <c r="G56" i="11"/>
  <c r="D56" i="11"/>
  <c r="C56" i="11"/>
  <c r="B56" i="11"/>
  <c r="B49" i="19" s="1"/>
  <c r="A56" i="11"/>
  <c r="A49" i="19" s="1"/>
  <c r="S55" i="11"/>
  <c r="BC48" i="19" s="1"/>
  <c r="T55" i="20" s="1"/>
  <c r="U55" i="20" s="1"/>
  <c r="R55" i="11"/>
  <c r="BA48" i="19" s="1"/>
  <c r="Q55" i="20" s="1"/>
  <c r="R55" i="20" s="1"/>
  <c r="O55" i="11"/>
  <c r="P48" i="19" s="1"/>
  <c r="N55" i="11"/>
  <c r="M55" i="11"/>
  <c r="G55" i="11"/>
  <c r="D55" i="11"/>
  <c r="C55" i="11"/>
  <c r="B55" i="11"/>
  <c r="B48" i="19" s="1"/>
  <c r="A55" i="11"/>
  <c r="A48" i="19" s="1"/>
  <c r="C54" i="11"/>
  <c r="B54" i="11"/>
  <c r="B60" i="12" s="1"/>
  <c r="A54" i="11"/>
  <c r="A52" i="11"/>
  <c r="S51" i="11"/>
  <c r="BC47" i="19" s="1"/>
  <c r="T54" i="20" s="1"/>
  <c r="U54" i="20" s="1"/>
  <c r="R51" i="11"/>
  <c r="BA47" i="19" s="1"/>
  <c r="Q54" i="20" s="1"/>
  <c r="R54" i="20" s="1"/>
  <c r="G51" i="11"/>
  <c r="D51" i="11"/>
  <c r="C51" i="11"/>
  <c r="B51" i="11"/>
  <c r="B47" i="19" s="1"/>
  <c r="A51" i="11"/>
  <c r="A47" i="19" s="1"/>
  <c r="S50" i="11"/>
  <c r="BC46" i="19" s="1"/>
  <c r="T53" i="20" s="1"/>
  <c r="U53" i="20" s="1"/>
  <c r="R50" i="11"/>
  <c r="BA46" i="19" s="1"/>
  <c r="Q53" i="20" s="1"/>
  <c r="R53" i="20" s="1"/>
  <c r="G50" i="11"/>
  <c r="D50" i="11"/>
  <c r="C50" i="11"/>
  <c r="B50" i="11"/>
  <c r="B46" i="19" s="1"/>
  <c r="A50" i="11"/>
  <c r="A46" i="19" s="1"/>
  <c r="S49" i="11"/>
  <c r="BC45" i="19" s="1"/>
  <c r="T52" i="20" s="1"/>
  <c r="U52" i="20" s="1"/>
  <c r="R49" i="11"/>
  <c r="BA45" i="19" s="1"/>
  <c r="Q52" i="20" s="1"/>
  <c r="R52" i="20" s="1"/>
  <c r="G49" i="11"/>
  <c r="D49" i="11"/>
  <c r="C49" i="11"/>
  <c r="B49" i="11"/>
  <c r="B45" i="19" s="1"/>
  <c r="A49" i="11"/>
  <c r="A45" i="19" s="1"/>
  <c r="S48" i="11"/>
  <c r="BC44" i="19" s="1"/>
  <c r="T51" i="20" s="1"/>
  <c r="U51" i="20" s="1"/>
  <c r="R48" i="11"/>
  <c r="BA44" i="19" s="1"/>
  <c r="Q51" i="20" s="1"/>
  <c r="R51" i="20" s="1"/>
  <c r="G48" i="11"/>
  <c r="D48" i="11"/>
  <c r="C48" i="11"/>
  <c r="B48" i="11"/>
  <c r="B44" i="19" s="1"/>
  <c r="A48" i="11"/>
  <c r="A44" i="19" s="1"/>
  <c r="S47" i="11"/>
  <c r="BC43" i="19" s="1"/>
  <c r="T50" i="20" s="1"/>
  <c r="U50" i="20" s="1"/>
  <c r="R47" i="11"/>
  <c r="BA43" i="19" s="1"/>
  <c r="Q50" i="20" s="1"/>
  <c r="R50" i="20" s="1"/>
  <c r="G47" i="11"/>
  <c r="D47" i="11"/>
  <c r="C47" i="11"/>
  <c r="B47" i="11"/>
  <c r="B43" i="19" s="1"/>
  <c r="A47" i="11"/>
  <c r="A43" i="19" s="1"/>
  <c r="S46" i="11"/>
  <c r="BC42" i="19" s="1"/>
  <c r="T49" i="20" s="1"/>
  <c r="U49" i="20" s="1"/>
  <c r="R46" i="11"/>
  <c r="BA42" i="19" s="1"/>
  <c r="Q49" i="20" s="1"/>
  <c r="R49" i="20" s="1"/>
  <c r="G46" i="11"/>
  <c r="D46" i="11"/>
  <c r="C46" i="11"/>
  <c r="B46" i="11"/>
  <c r="B42" i="19" s="1"/>
  <c r="A46" i="11"/>
  <c r="A42" i="19" s="1"/>
  <c r="S45" i="11"/>
  <c r="BC41" i="19" s="1"/>
  <c r="T48" i="20" s="1"/>
  <c r="U48" i="20" s="1"/>
  <c r="R45" i="11"/>
  <c r="BA41" i="19" s="1"/>
  <c r="Q48" i="20" s="1"/>
  <c r="R48" i="20" s="1"/>
  <c r="G45" i="11"/>
  <c r="D45" i="11"/>
  <c r="C45" i="11"/>
  <c r="B45" i="11"/>
  <c r="B41" i="19" s="1"/>
  <c r="A45" i="11"/>
  <c r="A41" i="19" s="1"/>
  <c r="S44" i="11"/>
  <c r="BC40" i="19" s="1"/>
  <c r="T47" i="20" s="1"/>
  <c r="U47" i="20" s="1"/>
  <c r="R44" i="11"/>
  <c r="BA40" i="19" s="1"/>
  <c r="Q47" i="20" s="1"/>
  <c r="R47" i="20" s="1"/>
  <c r="G44" i="11"/>
  <c r="D44" i="11"/>
  <c r="C44" i="11"/>
  <c r="B44" i="11"/>
  <c r="B40" i="19" s="1"/>
  <c r="A44" i="11"/>
  <c r="A40" i="19" s="1"/>
  <c r="S43" i="11"/>
  <c r="BC39" i="19" s="1"/>
  <c r="T46" i="20" s="1"/>
  <c r="U46" i="20" s="1"/>
  <c r="R43" i="11"/>
  <c r="BA39" i="19" s="1"/>
  <c r="Q46" i="20" s="1"/>
  <c r="R46" i="20" s="1"/>
  <c r="G43" i="11"/>
  <c r="D43" i="11"/>
  <c r="C43" i="11"/>
  <c r="B43" i="11"/>
  <c r="B39" i="19" s="1"/>
  <c r="A43" i="11"/>
  <c r="A39" i="19" s="1"/>
  <c r="S42" i="11"/>
  <c r="BC38" i="19" s="1"/>
  <c r="T45" i="20" s="1"/>
  <c r="U45" i="20" s="1"/>
  <c r="R42" i="11"/>
  <c r="BA38" i="19" s="1"/>
  <c r="Q45" i="20" s="1"/>
  <c r="R45" i="20" s="1"/>
  <c r="G42" i="11"/>
  <c r="D42" i="11"/>
  <c r="C42" i="11"/>
  <c r="B42" i="11"/>
  <c r="B38" i="19" s="1"/>
  <c r="A42" i="11"/>
  <c r="A38" i="19" s="1"/>
  <c r="S41" i="11"/>
  <c r="BC37" i="19" s="1"/>
  <c r="T44" i="20" s="1"/>
  <c r="U44" i="20" s="1"/>
  <c r="R41" i="11"/>
  <c r="BA37" i="19" s="1"/>
  <c r="Q44" i="20" s="1"/>
  <c r="R44" i="20" s="1"/>
  <c r="G41" i="11"/>
  <c r="D41" i="11"/>
  <c r="C41" i="11"/>
  <c r="B41" i="11"/>
  <c r="B37" i="19" s="1"/>
  <c r="A41" i="11"/>
  <c r="A37" i="19" s="1"/>
  <c r="S40" i="11"/>
  <c r="BC36" i="19" s="1"/>
  <c r="T43" i="20" s="1"/>
  <c r="U43" i="20" s="1"/>
  <c r="R40" i="11"/>
  <c r="BA36" i="19" s="1"/>
  <c r="Q43" i="20" s="1"/>
  <c r="R43" i="20" s="1"/>
  <c r="G40" i="11"/>
  <c r="D40" i="11"/>
  <c r="C40" i="11"/>
  <c r="B40" i="11"/>
  <c r="B36" i="19" s="1"/>
  <c r="A40" i="11"/>
  <c r="A36" i="19" s="1"/>
  <c r="S39" i="11"/>
  <c r="BC35" i="19" s="1"/>
  <c r="T42" i="20" s="1"/>
  <c r="U42" i="20" s="1"/>
  <c r="R39" i="11"/>
  <c r="BA35" i="19" s="1"/>
  <c r="Q42" i="20" s="1"/>
  <c r="R42" i="20" s="1"/>
  <c r="G39" i="11"/>
  <c r="D39" i="11"/>
  <c r="C39" i="11"/>
  <c r="B39" i="11"/>
  <c r="B35" i="19" s="1"/>
  <c r="A39" i="11"/>
  <c r="A35" i="19" s="1"/>
  <c r="S38" i="11"/>
  <c r="BC34" i="19" s="1"/>
  <c r="T41" i="20" s="1"/>
  <c r="U41" i="20" s="1"/>
  <c r="R38" i="11"/>
  <c r="BA34" i="19" s="1"/>
  <c r="Q41" i="20" s="1"/>
  <c r="R41" i="20" s="1"/>
  <c r="G38" i="11"/>
  <c r="D38" i="11"/>
  <c r="C38" i="11"/>
  <c r="B38" i="11"/>
  <c r="B34" i="19" s="1"/>
  <c r="A38" i="11"/>
  <c r="A34" i="19" s="1"/>
  <c r="S37" i="11"/>
  <c r="BC33" i="19" s="1"/>
  <c r="T40" i="20" s="1"/>
  <c r="U40" i="20" s="1"/>
  <c r="R37" i="11"/>
  <c r="BA33" i="19" s="1"/>
  <c r="Q40" i="20" s="1"/>
  <c r="R40" i="20" s="1"/>
  <c r="G37" i="11"/>
  <c r="D37" i="11"/>
  <c r="C37" i="11"/>
  <c r="B37" i="11"/>
  <c r="B33" i="19" s="1"/>
  <c r="A37" i="11"/>
  <c r="A33" i="19" s="1"/>
  <c r="S36" i="11"/>
  <c r="BC32" i="19" s="1"/>
  <c r="T39" i="20" s="1"/>
  <c r="U39" i="20" s="1"/>
  <c r="R36" i="11"/>
  <c r="BA32" i="19" s="1"/>
  <c r="Q39" i="20" s="1"/>
  <c r="R39" i="20" s="1"/>
  <c r="G36" i="11"/>
  <c r="D36" i="11"/>
  <c r="C36" i="11"/>
  <c r="B36" i="11"/>
  <c r="B32" i="19" s="1"/>
  <c r="A36" i="11"/>
  <c r="A32" i="19" s="1"/>
  <c r="S35" i="11"/>
  <c r="BC31" i="19" s="1"/>
  <c r="T38" i="20" s="1"/>
  <c r="U38" i="20" s="1"/>
  <c r="R35" i="11"/>
  <c r="BA31" i="19" s="1"/>
  <c r="Q38" i="20" s="1"/>
  <c r="R38" i="20" s="1"/>
  <c r="G35" i="11"/>
  <c r="D35" i="11"/>
  <c r="C35" i="11"/>
  <c r="B35" i="11"/>
  <c r="B31" i="19" s="1"/>
  <c r="A35" i="11"/>
  <c r="A31" i="19" s="1"/>
  <c r="S34" i="11"/>
  <c r="BC30" i="19" s="1"/>
  <c r="T37" i="20" s="1"/>
  <c r="U37" i="20" s="1"/>
  <c r="R34" i="11"/>
  <c r="BA30" i="19" s="1"/>
  <c r="Q37" i="20" s="1"/>
  <c r="R37" i="20" s="1"/>
  <c r="G34" i="11"/>
  <c r="D34" i="11"/>
  <c r="C34" i="11"/>
  <c r="B34" i="11"/>
  <c r="B30" i="19" s="1"/>
  <c r="A34" i="11"/>
  <c r="A30" i="19" s="1"/>
  <c r="S33" i="11"/>
  <c r="BC29" i="19" s="1"/>
  <c r="T36" i="20" s="1"/>
  <c r="U36" i="20" s="1"/>
  <c r="R33" i="11"/>
  <c r="BA29" i="19" s="1"/>
  <c r="Q36" i="20" s="1"/>
  <c r="R36" i="20" s="1"/>
  <c r="G33" i="11"/>
  <c r="D33" i="11"/>
  <c r="C33" i="11"/>
  <c r="B33" i="11"/>
  <c r="B29" i="19" s="1"/>
  <c r="A33" i="11"/>
  <c r="A29" i="19" s="1"/>
  <c r="S32" i="11"/>
  <c r="BC28" i="19" s="1"/>
  <c r="T35" i="20" s="1"/>
  <c r="U35" i="20" s="1"/>
  <c r="R32" i="11"/>
  <c r="BA28" i="19" s="1"/>
  <c r="Q35" i="20" s="1"/>
  <c r="R35" i="20" s="1"/>
  <c r="O32" i="11"/>
  <c r="P28" i="19" s="1"/>
  <c r="N32" i="11"/>
  <c r="M32" i="11"/>
  <c r="N28" i="19" s="1"/>
  <c r="G32" i="11"/>
  <c r="D32" i="11"/>
  <c r="C32" i="11"/>
  <c r="B32" i="11"/>
  <c r="B28" i="19" s="1"/>
  <c r="A32" i="11"/>
  <c r="A28" i="19" s="1"/>
  <c r="S31" i="11"/>
  <c r="BC27" i="19" s="1"/>
  <c r="T34" i="20" s="1"/>
  <c r="U34" i="20" s="1"/>
  <c r="R31" i="11"/>
  <c r="BA27" i="19" s="1"/>
  <c r="Q34" i="20" s="1"/>
  <c r="R34" i="20" s="1"/>
  <c r="O31" i="11"/>
  <c r="P27" i="19" s="1"/>
  <c r="N31" i="11"/>
  <c r="M31" i="11"/>
  <c r="G31" i="11"/>
  <c r="D31" i="11"/>
  <c r="C31" i="11"/>
  <c r="B31" i="11"/>
  <c r="B27" i="19" s="1"/>
  <c r="A31" i="11"/>
  <c r="A27" i="19" s="1"/>
  <c r="B30" i="11"/>
  <c r="A30" i="11"/>
  <c r="A28" i="11"/>
  <c r="S27" i="11"/>
  <c r="BC26" i="19" s="1"/>
  <c r="T33" i="20" s="1"/>
  <c r="U33" i="20" s="1"/>
  <c r="R27" i="11"/>
  <c r="BA26" i="19" s="1"/>
  <c r="Q33" i="20" s="1"/>
  <c r="R33" i="20" s="1"/>
  <c r="O27" i="11"/>
  <c r="P26" i="19" s="1"/>
  <c r="N27" i="11"/>
  <c r="M27" i="11"/>
  <c r="G27" i="11"/>
  <c r="D27" i="11"/>
  <c r="C27" i="11"/>
  <c r="B27" i="11"/>
  <c r="B26" i="19" s="1"/>
  <c r="A27" i="11"/>
  <c r="A26" i="19" s="1"/>
  <c r="S26" i="11"/>
  <c r="BC25" i="19" s="1"/>
  <c r="T32" i="20" s="1"/>
  <c r="U32" i="20" s="1"/>
  <c r="R26" i="11"/>
  <c r="BA25" i="19" s="1"/>
  <c r="Q32" i="20" s="1"/>
  <c r="R32" i="20" s="1"/>
  <c r="O26" i="11"/>
  <c r="P25" i="19" s="1"/>
  <c r="N26" i="11"/>
  <c r="M26" i="11"/>
  <c r="N25" i="19" s="1"/>
  <c r="G26" i="11"/>
  <c r="D26" i="11"/>
  <c r="C26" i="11"/>
  <c r="B26" i="11"/>
  <c r="B25" i="19" s="1"/>
  <c r="A26" i="11"/>
  <c r="A25" i="19" s="1"/>
  <c r="S25" i="11"/>
  <c r="BC24" i="19" s="1"/>
  <c r="T31" i="20" s="1"/>
  <c r="U31" i="20" s="1"/>
  <c r="R25" i="11"/>
  <c r="BA24" i="19" s="1"/>
  <c r="Q31" i="20" s="1"/>
  <c r="R31" i="20" s="1"/>
  <c r="O25" i="11"/>
  <c r="P24" i="19" s="1"/>
  <c r="N25" i="11"/>
  <c r="M25" i="11"/>
  <c r="N24" i="19" s="1"/>
  <c r="G25" i="11"/>
  <c r="D25" i="11"/>
  <c r="C25" i="11"/>
  <c r="B25" i="11"/>
  <c r="B24" i="19" s="1"/>
  <c r="A25" i="11"/>
  <c r="A24" i="19" s="1"/>
  <c r="S24" i="11"/>
  <c r="BC23" i="19" s="1"/>
  <c r="T30" i="20" s="1"/>
  <c r="U30" i="20" s="1"/>
  <c r="R24" i="11"/>
  <c r="BA23" i="19" s="1"/>
  <c r="Q30" i="20" s="1"/>
  <c r="R30" i="20" s="1"/>
  <c r="O24" i="11"/>
  <c r="P23" i="19" s="1"/>
  <c r="N24" i="11"/>
  <c r="M24" i="11"/>
  <c r="N23" i="19" s="1"/>
  <c r="G24" i="11"/>
  <c r="D24" i="11"/>
  <c r="C24" i="11"/>
  <c r="B24" i="11"/>
  <c r="B23" i="19" s="1"/>
  <c r="A24" i="11"/>
  <c r="A23" i="19" s="1"/>
  <c r="S23" i="11"/>
  <c r="BC22" i="19" s="1"/>
  <c r="T29" i="20" s="1"/>
  <c r="U29" i="20" s="1"/>
  <c r="R23" i="11"/>
  <c r="BA22" i="19" s="1"/>
  <c r="Q29" i="20" s="1"/>
  <c r="R29" i="20" s="1"/>
  <c r="O23" i="11"/>
  <c r="P22" i="19" s="1"/>
  <c r="N23" i="11"/>
  <c r="M23" i="11"/>
  <c r="G23" i="11"/>
  <c r="D23" i="11"/>
  <c r="C23" i="11"/>
  <c r="B23" i="11"/>
  <c r="B22" i="19" s="1"/>
  <c r="A23" i="11"/>
  <c r="A22" i="19" s="1"/>
  <c r="S22" i="11"/>
  <c r="BC21" i="19" s="1"/>
  <c r="T28" i="20" s="1"/>
  <c r="U28" i="20" s="1"/>
  <c r="R22" i="11"/>
  <c r="BA21" i="19" s="1"/>
  <c r="Q28" i="20" s="1"/>
  <c r="R28" i="20" s="1"/>
  <c r="O22" i="11"/>
  <c r="P21" i="19" s="1"/>
  <c r="N22" i="11"/>
  <c r="M22" i="11"/>
  <c r="N21" i="19" s="1"/>
  <c r="G22" i="11"/>
  <c r="D22" i="11"/>
  <c r="C22" i="11"/>
  <c r="B22" i="11"/>
  <c r="B21" i="19" s="1"/>
  <c r="A22" i="11"/>
  <c r="A21" i="19" s="1"/>
  <c r="S21" i="11"/>
  <c r="BC20" i="19" s="1"/>
  <c r="T27" i="20" s="1"/>
  <c r="U27" i="20" s="1"/>
  <c r="R21" i="11"/>
  <c r="BA20" i="19" s="1"/>
  <c r="Q27" i="20" s="1"/>
  <c r="R27" i="20" s="1"/>
  <c r="O21" i="11"/>
  <c r="P20" i="19" s="1"/>
  <c r="N21" i="11"/>
  <c r="M21" i="11"/>
  <c r="G21" i="11"/>
  <c r="D21" i="11"/>
  <c r="C21" i="11"/>
  <c r="B21" i="11"/>
  <c r="B20" i="19" s="1"/>
  <c r="A21" i="11"/>
  <c r="A20" i="19" s="1"/>
  <c r="S20" i="11"/>
  <c r="BC19" i="19" s="1"/>
  <c r="T26" i="20" s="1"/>
  <c r="U26" i="20" s="1"/>
  <c r="R20" i="11"/>
  <c r="BA19" i="19" s="1"/>
  <c r="Q26" i="20" s="1"/>
  <c r="R26" i="20" s="1"/>
  <c r="O20" i="11"/>
  <c r="P19" i="19" s="1"/>
  <c r="N20" i="11"/>
  <c r="M20" i="11"/>
  <c r="N19" i="19" s="1"/>
  <c r="G20" i="11"/>
  <c r="D20" i="11"/>
  <c r="C20" i="11"/>
  <c r="B20" i="11"/>
  <c r="B19" i="19" s="1"/>
  <c r="A20" i="11"/>
  <c r="A19" i="19" s="1"/>
  <c r="S19" i="11"/>
  <c r="BC18" i="19" s="1"/>
  <c r="T25" i="20" s="1"/>
  <c r="U25" i="20" s="1"/>
  <c r="R19" i="11"/>
  <c r="BA18" i="19" s="1"/>
  <c r="Q25" i="20" s="1"/>
  <c r="R25" i="20" s="1"/>
  <c r="O19" i="11"/>
  <c r="P18" i="19" s="1"/>
  <c r="N19" i="11"/>
  <c r="M19" i="11"/>
  <c r="N18" i="19" s="1"/>
  <c r="G19" i="11"/>
  <c r="D19" i="11"/>
  <c r="C19" i="11"/>
  <c r="B19" i="11"/>
  <c r="B18" i="19" s="1"/>
  <c r="A19" i="11"/>
  <c r="A18" i="19" s="1"/>
  <c r="S18" i="11"/>
  <c r="BC17" i="19" s="1"/>
  <c r="T24" i="20" s="1"/>
  <c r="U24" i="20" s="1"/>
  <c r="R18" i="11"/>
  <c r="BA17" i="19" s="1"/>
  <c r="Q24" i="20" s="1"/>
  <c r="R24" i="20" s="1"/>
  <c r="O18" i="11"/>
  <c r="P17" i="19" s="1"/>
  <c r="N18" i="11"/>
  <c r="M18" i="11"/>
  <c r="N17" i="19" s="1"/>
  <c r="G18" i="11"/>
  <c r="D18" i="11"/>
  <c r="C18" i="11"/>
  <c r="B18" i="11"/>
  <c r="B17" i="19" s="1"/>
  <c r="A18" i="11"/>
  <c r="A17" i="19" s="1"/>
  <c r="S17" i="11"/>
  <c r="BC16" i="19" s="1"/>
  <c r="T23" i="20" s="1"/>
  <c r="U23" i="20" s="1"/>
  <c r="R17" i="11"/>
  <c r="BA16" i="19" s="1"/>
  <c r="Q23" i="20" s="1"/>
  <c r="R23" i="20" s="1"/>
  <c r="O17" i="11"/>
  <c r="P16" i="19" s="1"/>
  <c r="N17" i="11"/>
  <c r="M17" i="11"/>
  <c r="N16" i="19" s="1"/>
  <c r="G17" i="11"/>
  <c r="D17" i="11"/>
  <c r="C17" i="11"/>
  <c r="B17" i="11"/>
  <c r="B16" i="19" s="1"/>
  <c r="A17" i="11"/>
  <c r="A16" i="19" s="1"/>
  <c r="S16" i="11"/>
  <c r="BC15" i="19" s="1"/>
  <c r="T22" i="20" s="1"/>
  <c r="U22" i="20" s="1"/>
  <c r="R16" i="11"/>
  <c r="BA15" i="19" s="1"/>
  <c r="Q22" i="20" s="1"/>
  <c r="R22" i="20" s="1"/>
  <c r="O16" i="11"/>
  <c r="P15" i="19" s="1"/>
  <c r="N16" i="11"/>
  <c r="M16" i="11"/>
  <c r="N15" i="19" s="1"/>
  <c r="G16" i="11"/>
  <c r="D16" i="11"/>
  <c r="C16" i="11"/>
  <c r="B16" i="11"/>
  <c r="B15" i="19" s="1"/>
  <c r="A16" i="11"/>
  <c r="A15" i="19" s="1"/>
  <c r="S15" i="11"/>
  <c r="BC14" i="19" s="1"/>
  <c r="T21" i="20" s="1"/>
  <c r="U21" i="20" s="1"/>
  <c r="R15" i="11"/>
  <c r="BA14" i="19" s="1"/>
  <c r="Q21" i="20" s="1"/>
  <c r="R21" i="20" s="1"/>
  <c r="O15" i="11"/>
  <c r="P14" i="19" s="1"/>
  <c r="N15" i="11"/>
  <c r="M15" i="11"/>
  <c r="N14" i="19" s="1"/>
  <c r="G15" i="11"/>
  <c r="D15" i="11"/>
  <c r="C15" i="11"/>
  <c r="B15" i="11"/>
  <c r="B14" i="19" s="1"/>
  <c r="A15" i="11"/>
  <c r="A14" i="19" s="1"/>
  <c r="S14" i="11"/>
  <c r="BC13" i="19" s="1"/>
  <c r="T20" i="20" s="1"/>
  <c r="U20" i="20" s="1"/>
  <c r="R14" i="11"/>
  <c r="BA13" i="19" s="1"/>
  <c r="Q20" i="20" s="1"/>
  <c r="R20" i="20" s="1"/>
  <c r="O14" i="11"/>
  <c r="P13" i="19" s="1"/>
  <c r="N14" i="11"/>
  <c r="M14" i="11"/>
  <c r="N13" i="19" s="1"/>
  <c r="G14" i="11"/>
  <c r="D14" i="11"/>
  <c r="C14" i="11"/>
  <c r="B14" i="11"/>
  <c r="B13" i="19" s="1"/>
  <c r="A14" i="11"/>
  <c r="A13" i="19" s="1"/>
  <c r="S13" i="11"/>
  <c r="BC12" i="19" s="1"/>
  <c r="T19" i="20" s="1"/>
  <c r="U19" i="20" s="1"/>
  <c r="R13" i="11"/>
  <c r="BA12" i="19" s="1"/>
  <c r="Q19" i="20" s="1"/>
  <c r="R19" i="20" s="1"/>
  <c r="O13" i="11"/>
  <c r="P12" i="19" s="1"/>
  <c r="N13" i="11"/>
  <c r="M13" i="11"/>
  <c r="N12" i="19" s="1"/>
  <c r="G13" i="11"/>
  <c r="D13" i="11"/>
  <c r="C13" i="11"/>
  <c r="B13" i="11"/>
  <c r="B12" i="19" s="1"/>
  <c r="A13" i="11"/>
  <c r="A12" i="19" s="1"/>
  <c r="S12" i="11"/>
  <c r="BC11" i="19" s="1"/>
  <c r="T18" i="20" s="1"/>
  <c r="U18" i="20" s="1"/>
  <c r="R12" i="11"/>
  <c r="BA11" i="19" s="1"/>
  <c r="Q18" i="20" s="1"/>
  <c r="R18" i="20" s="1"/>
  <c r="O12" i="11"/>
  <c r="P11" i="19" s="1"/>
  <c r="N12" i="11"/>
  <c r="M12" i="11"/>
  <c r="G12" i="11"/>
  <c r="D12" i="11"/>
  <c r="C12" i="11"/>
  <c r="B12" i="11"/>
  <c r="B11" i="19" s="1"/>
  <c r="A12" i="11"/>
  <c r="A11" i="19" s="1"/>
  <c r="S11" i="11"/>
  <c r="BC10" i="19" s="1"/>
  <c r="T17" i="20" s="1"/>
  <c r="U17" i="20" s="1"/>
  <c r="R11" i="11"/>
  <c r="BA10" i="19" s="1"/>
  <c r="Q17" i="20" s="1"/>
  <c r="R17" i="20" s="1"/>
  <c r="O11" i="11"/>
  <c r="P10" i="19" s="1"/>
  <c r="N11" i="11"/>
  <c r="M11" i="11"/>
  <c r="N10" i="19" s="1"/>
  <c r="G11" i="11"/>
  <c r="D11" i="11"/>
  <c r="C11" i="11"/>
  <c r="B11" i="11"/>
  <c r="B10" i="19" s="1"/>
  <c r="A11" i="11"/>
  <c r="A10" i="19" s="1"/>
  <c r="S10" i="11"/>
  <c r="BC9" i="19" s="1"/>
  <c r="T16" i="20" s="1"/>
  <c r="U16" i="20" s="1"/>
  <c r="R10" i="11"/>
  <c r="BA9" i="19" s="1"/>
  <c r="Q16" i="20" s="1"/>
  <c r="R16" i="20" s="1"/>
  <c r="O10" i="11"/>
  <c r="P9" i="19" s="1"/>
  <c r="N10" i="11"/>
  <c r="M10" i="11"/>
  <c r="N9" i="19" s="1"/>
  <c r="G10" i="11"/>
  <c r="D10" i="11"/>
  <c r="C10" i="11"/>
  <c r="B10" i="11"/>
  <c r="B9" i="19" s="1"/>
  <c r="A10" i="11"/>
  <c r="A9" i="19" s="1"/>
  <c r="S9" i="11"/>
  <c r="BC8" i="19" s="1"/>
  <c r="T15" i="20" s="1"/>
  <c r="U15" i="20" s="1"/>
  <c r="R9" i="11"/>
  <c r="BA8" i="19" s="1"/>
  <c r="Q15" i="20" s="1"/>
  <c r="R15" i="20" s="1"/>
  <c r="O9" i="11"/>
  <c r="P8" i="19" s="1"/>
  <c r="N9" i="11"/>
  <c r="M9" i="11"/>
  <c r="N8" i="19" s="1"/>
  <c r="G9" i="11"/>
  <c r="D9" i="11"/>
  <c r="C9" i="11"/>
  <c r="B9" i="11"/>
  <c r="B8" i="19" s="1"/>
  <c r="A9" i="11"/>
  <c r="A8" i="19" s="1"/>
  <c r="S8" i="11"/>
  <c r="BC7" i="19" s="1"/>
  <c r="T14" i="20" s="1"/>
  <c r="U14" i="20" s="1"/>
  <c r="R8" i="11"/>
  <c r="BA7" i="19" s="1"/>
  <c r="Q14" i="20" s="1"/>
  <c r="R14" i="20" s="1"/>
  <c r="O8" i="11"/>
  <c r="P7" i="19" s="1"/>
  <c r="N8" i="11"/>
  <c r="M8" i="11"/>
  <c r="N7" i="19" s="1"/>
  <c r="G8" i="11"/>
  <c r="D8" i="11"/>
  <c r="C8" i="11"/>
  <c r="B8" i="11"/>
  <c r="B7" i="19" s="1"/>
  <c r="A8" i="11"/>
  <c r="A7" i="19" s="1"/>
  <c r="S7" i="11"/>
  <c r="BC6" i="19" s="1"/>
  <c r="T13" i="20" s="1"/>
  <c r="U13" i="20" s="1"/>
  <c r="R7" i="11"/>
  <c r="BA6" i="19" s="1"/>
  <c r="Q13" i="20" s="1"/>
  <c r="R13" i="20" s="1"/>
  <c r="O7" i="11"/>
  <c r="P6" i="19" s="1"/>
  <c r="N7" i="11"/>
  <c r="M7" i="11"/>
  <c r="N6" i="19" s="1"/>
  <c r="G7" i="11"/>
  <c r="D7" i="11"/>
  <c r="C7" i="11"/>
  <c r="B7" i="11"/>
  <c r="B6" i="19" s="1"/>
  <c r="A7" i="11"/>
  <c r="A6" i="19" s="1"/>
  <c r="B6" i="11"/>
  <c r="A6" i="11"/>
  <c r="X348" i="16"/>
  <c r="Y348" i="16" s="1"/>
  <c r="X347" i="16"/>
  <c r="Y347" i="16" s="1"/>
  <c r="X346" i="16"/>
  <c r="Y346" i="16" s="1"/>
  <c r="X345" i="16"/>
  <c r="Y345" i="16" s="1"/>
  <c r="X344" i="16"/>
  <c r="Y344" i="16" s="1"/>
  <c r="X343" i="16"/>
  <c r="Y343" i="16" s="1"/>
  <c r="X342" i="16"/>
  <c r="X314" i="16"/>
  <c r="Y314" i="16" s="1"/>
  <c r="X313" i="16"/>
  <c r="Y313" i="16" s="1"/>
  <c r="X312" i="16"/>
  <c r="Y312" i="16" s="1"/>
  <c r="X311" i="16"/>
  <c r="Y311" i="16" s="1"/>
  <c r="X310" i="16"/>
  <c r="Y310" i="16" s="1"/>
  <c r="X309" i="16"/>
  <c r="Y309" i="16" s="1"/>
  <c r="Y315" i="16" s="1"/>
  <c r="X308" i="16"/>
  <c r="X279" i="16"/>
  <c r="Y279" i="16" s="1"/>
  <c r="X278" i="16"/>
  <c r="Y278" i="16" s="1"/>
  <c r="X277" i="16"/>
  <c r="Y277" i="16" s="1"/>
  <c r="X276" i="16"/>
  <c r="Y276" i="16" s="1"/>
  <c r="X275" i="16"/>
  <c r="Y275" i="16" s="1"/>
  <c r="X274" i="16"/>
  <c r="Y274" i="16" s="1"/>
  <c r="X273" i="16"/>
  <c r="X245" i="16"/>
  <c r="Y245" i="16" s="1"/>
  <c r="X244" i="16"/>
  <c r="Y244" i="16" s="1"/>
  <c r="X243" i="16"/>
  <c r="Y243" i="16" s="1"/>
  <c r="X242" i="16"/>
  <c r="Y242" i="16" s="1"/>
  <c r="X241" i="16"/>
  <c r="Y241" i="16" s="1"/>
  <c r="X240" i="16"/>
  <c r="Y240" i="16" s="1"/>
  <c r="Y246" i="16" s="1"/>
  <c r="X239" i="16"/>
  <c r="X211" i="16"/>
  <c r="Y211" i="16" s="1"/>
  <c r="X210" i="16"/>
  <c r="Y210" i="16" s="1"/>
  <c r="X209" i="16"/>
  <c r="Y209" i="16" s="1"/>
  <c r="X208" i="16"/>
  <c r="Y208" i="16" s="1"/>
  <c r="X207" i="16"/>
  <c r="Y207" i="16" s="1"/>
  <c r="X206" i="16"/>
  <c r="Y206" i="16" s="1"/>
  <c r="X205" i="16"/>
  <c r="AG181" i="16"/>
  <c r="AF181" i="16"/>
  <c r="AG180" i="16"/>
  <c r="AF180" i="16"/>
  <c r="AG179" i="16"/>
  <c r="AF179" i="16"/>
  <c r="AG178" i="16"/>
  <c r="AF178" i="16"/>
  <c r="AH178" i="16" s="1"/>
  <c r="AG177" i="16"/>
  <c r="AF177" i="16"/>
  <c r="X177" i="16"/>
  <c r="Y177" i="16" s="1"/>
  <c r="AG176" i="16"/>
  <c r="AF176" i="16"/>
  <c r="AH176" i="16" s="1"/>
  <c r="Y176" i="16"/>
  <c r="X176" i="16"/>
  <c r="AG175" i="16"/>
  <c r="AF175" i="16"/>
  <c r="Y175" i="16"/>
  <c r="X175" i="16"/>
  <c r="AG174" i="16"/>
  <c r="AF174" i="16"/>
  <c r="X174" i="16"/>
  <c r="Y174" i="16" s="1"/>
  <c r="AG173" i="16"/>
  <c r="AF173" i="16"/>
  <c r="AF47" i="16" s="1"/>
  <c r="X173" i="16"/>
  <c r="Y173" i="16" s="1"/>
  <c r="AG172" i="16"/>
  <c r="AF172" i="16"/>
  <c r="AH172" i="16" s="1"/>
  <c r="Y172" i="16"/>
  <c r="Y178" i="16" s="1"/>
  <c r="X172" i="16"/>
  <c r="AG171" i="16"/>
  <c r="AF171" i="16"/>
  <c r="X171" i="16"/>
  <c r="AG170" i="16"/>
  <c r="AF170" i="16"/>
  <c r="AH170" i="16" s="1"/>
  <c r="AG169" i="16"/>
  <c r="AF169" i="16"/>
  <c r="AH168" i="16"/>
  <c r="AG168" i="16"/>
  <c r="AF168" i="16"/>
  <c r="AG167" i="16"/>
  <c r="AF167" i="16"/>
  <c r="AF44" i="16" s="1"/>
  <c r="AG166" i="16"/>
  <c r="AF166" i="16"/>
  <c r="AG165" i="16"/>
  <c r="AF165" i="16"/>
  <c r="AH164" i="16"/>
  <c r="AG164" i="16"/>
  <c r="AF164" i="16"/>
  <c r="AG163" i="16"/>
  <c r="AF163" i="16"/>
  <c r="AF42" i="16" s="1"/>
  <c r="AG162" i="16"/>
  <c r="AF162" i="16"/>
  <c r="AG161" i="16"/>
  <c r="AF161" i="16"/>
  <c r="AG160" i="16"/>
  <c r="AF160" i="16"/>
  <c r="AH160" i="16" s="1"/>
  <c r="AG159" i="16"/>
  <c r="AF159" i="16"/>
  <c r="AH158" i="16" s="1"/>
  <c r="AG158" i="16"/>
  <c r="AF158" i="16"/>
  <c r="AG157" i="16"/>
  <c r="AF157" i="16"/>
  <c r="AH156" i="16"/>
  <c r="AG156" i="16"/>
  <c r="AF156" i="16"/>
  <c r="AG155" i="16"/>
  <c r="AF155" i="16"/>
  <c r="AF38" i="16" s="1"/>
  <c r="AG154" i="16"/>
  <c r="AF154" i="16"/>
  <c r="AH154" i="16" s="1"/>
  <c r="AG153" i="16"/>
  <c r="AF153" i="16"/>
  <c r="AH152" i="16"/>
  <c r="AG152" i="16"/>
  <c r="AF152" i="16"/>
  <c r="AG151" i="16"/>
  <c r="AF151" i="16"/>
  <c r="AH150" i="16" s="1"/>
  <c r="AG150" i="16"/>
  <c r="AF150" i="16"/>
  <c r="AG149" i="16"/>
  <c r="AF149" i="16"/>
  <c r="AG148" i="16"/>
  <c r="AF148" i="16"/>
  <c r="AG147" i="16"/>
  <c r="AF147" i="16"/>
  <c r="AG146" i="16"/>
  <c r="AF146" i="16"/>
  <c r="AH146" i="16" s="1"/>
  <c r="AG145" i="16"/>
  <c r="AF145" i="16"/>
  <c r="AH144" i="16"/>
  <c r="AG144" i="16"/>
  <c r="AF144" i="16"/>
  <c r="AG143" i="16"/>
  <c r="AF143" i="16"/>
  <c r="Y143" i="16"/>
  <c r="X143" i="16"/>
  <c r="AH142" i="16"/>
  <c r="AG142" i="16"/>
  <c r="AF142" i="16"/>
  <c r="X142" i="16"/>
  <c r="Y142" i="16" s="1"/>
  <c r="Y144" i="16" s="1"/>
  <c r="AG141" i="16"/>
  <c r="AF141" i="16"/>
  <c r="AF32" i="16" s="1"/>
  <c r="X141" i="16"/>
  <c r="Y141" i="16" s="1"/>
  <c r="AG140" i="16"/>
  <c r="AF140" i="16"/>
  <c r="AH140" i="16" s="1"/>
  <c r="Y140" i="16"/>
  <c r="X140" i="16"/>
  <c r="AG139" i="16"/>
  <c r="AF139" i="16"/>
  <c r="Y139" i="16"/>
  <c r="X139" i="16"/>
  <c r="AH138" i="16"/>
  <c r="AG138" i="16"/>
  <c r="AF138" i="16"/>
  <c r="X138" i="16"/>
  <c r="Y138" i="16" s="1"/>
  <c r="AG137" i="16"/>
  <c r="AF137" i="16"/>
  <c r="X137" i="16"/>
  <c r="AG136" i="16"/>
  <c r="AF136" i="16"/>
  <c r="AF30" i="16" s="1"/>
  <c r="AG135" i="16"/>
  <c r="AF135" i="16"/>
  <c r="AF29" i="16" s="1"/>
  <c r="AF31" i="11" s="1" a="1"/>
  <c r="AG134" i="16"/>
  <c r="AF134" i="16"/>
  <c r="AH134" i="16" s="1"/>
  <c r="AG133" i="16"/>
  <c r="AF133" i="16"/>
  <c r="AH132" i="16"/>
  <c r="AG132" i="16"/>
  <c r="AF132" i="16"/>
  <c r="AG131" i="16"/>
  <c r="AF131" i="16"/>
  <c r="AH130" i="16" s="1"/>
  <c r="AG130" i="16"/>
  <c r="AF130" i="16"/>
  <c r="AG129" i="16"/>
  <c r="AF129" i="16"/>
  <c r="AG128" i="16"/>
  <c r="AF128" i="16"/>
  <c r="AH128" i="16" s="1"/>
  <c r="AG127" i="16"/>
  <c r="AF127" i="16"/>
  <c r="AF25" i="16" s="1"/>
  <c r="AG126" i="16"/>
  <c r="AF126" i="16"/>
  <c r="AH126" i="16" s="1"/>
  <c r="AG125" i="16"/>
  <c r="AF125" i="16"/>
  <c r="AG124" i="16"/>
  <c r="AF124" i="16"/>
  <c r="AH124" i="16" s="1"/>
  <c r="AG123" i="16"/>
  <c r="AF123" i="16"/>
  <c r="AF23" i="16" s="1"/>
  <c r="AG122" i="16"/>
  <c r="AF122" i="16"/>
  <c r="AH122" i="16" s="1"/>
  <c r="AG121" i="16"/>
  <c r="AF121" i="16"/>
  <c r="AH120" i="16"/>
  <c r="AG120" i="16"/>
  <c r="AF120" i="16"/>
  <c r="AG119" i="16"/>
  <c r="AF119" i="16"/>
  <c r="AH118" i="16" s="1"/>
  <c r="AG118" i="16"/>
  <c r="AF118" i="16"/>
  <c r="AG117" i="16"/>
  <c r="AF117" i="16"/>
  <c r="AG116" i="16"/>
  <c r="AF116" i="16"/>
  <c r="AG115" i="16"/>
  <c r="AF115" i="16"/>
  <c r="AG114" i="16"/>
  <c r="AF114" i="16"/>
  <c r="AH114" i="16" s="1"/>
  <c r="AG113" i="16"/>
  <c r="AF113" i="16"/>
  <c r="AG112" i="16"/>
  <c r="AF112" i="16"/>
  <c r="Y112" i="16"/>
  <c r="X112" i="16"/>
  <c r="AG111" i="16"/>
  <c r="AF111" i="16"/>
  <c r="Y111" i="16"/>
  <c r="X111" i="16"/>
  <c r="AG110" i="16"/>
  <c r="AF110" i="16"/>
  <c r="AH110" i="16" s="1"/>
  <c r="X110" i="16"/>
  <c r="Y110" i="16" s="1"/>
  <c r="AG109" i="16"/>
  <c r="AF109" i="16"/>
  <c r="AH108" i="16" s="1"/>
  <c r="X109" i="16"/>
  <c r="Y109" i="16" s="1"/>
  <c r="AG108" i="16"/>
  <c r="AF108" i="16"/>
  <c r="Y108" i="16"/>
  <c r="X108" i="16"/>
  <c r="AG107" i="16"/>
  <c r="AF107" i="16"/>
  <c r="Y107" i="16"/>
  <c r="X107" i="16"/>
  <c r="AG106" i="16"/>
  <c r="AF106" i="16"/>
  <c r="AH106" i="16" s="1"/>
  <c r="X106" i="16"/>
  <c r="AG105" i="16"/>
  <c r="AF105" i="16"/>
  <c r="AG104" i="16"/>
  <c r="AF104" i="16"/>
  <c r="AH104" i="16" s="1"/>
  <c r="AG103" i="16"/>
  <c r="AF103" i="16"/>
  <c r="AG102" i="16"/>
  <c r="AF102" i="16"/>
  <c r="AG101" i="16"/>
  <c r="AF101" i="16"/>
  <c r="AH100" i="16"/>
  <c r="AG100" i="16"/>
  <c r="AF100" i="16"/>
  <c r="AG99" i="16"/>
  <c r="AF99" i="16"/>
  <c r="AF14" i="16" s="1"/>
  <c r="AG98" i="16"/>
  <c r="AF98" i="16"/>
  <c r="AG97" i="16"/>
  <c r="AF97" i="16"/>
  <c r="AH96" i="16"/>
  <c r="AG96" i="16"/>
  <c r="AF96" i="16"/>
  <c r="AF13" i="16" s="1"/>
  <c r="AG95" i="16"/>
  <c r="AF95" i="16"/>
  <c r="AH94" i="16" s="1"/>
  <c r="AG94" i="16"/>
  <c r="AF94" i="16"/>
  <c r="AG93" i="16"/>
  <c r="AF93" i="16"/>
  <c r="AG92" i="16"/>
  <c r="AF92" i="16"/>
  <c r="AH92" i="16" s="1"/>
  <c r="AG91" i="16"/>
  <c r="AF91" i="16"/>
  <c r="AH90" i="16"/>
  <c r="AG90" i="16"/>
  <c r="AF90" i="16"/>
  <c r="X90" i="16"/>
  <c r="Y90" i="16" s="1"/>
  <c r="AG89" i="16"/>
  <c r="AF89" i="16"/>
  <c r="X89" i="16"/>
  <c r="Y89" i="16" s="1"/>
  <c r="AG88" i="16"/>
  <c r="AF88" i="16"/>
  <c r="AH88" i="16" s="1"/>
  <c r="Y88" i="16"/>
  <c r="X88" i="16"/>
  <c r="AG87" i="16"/>
  <c r="AF87" i="16"/>
  <c r="Y87" i="16"/>
  <c r="X87" i="16"/>
  <c r="AG86" i="16"/>
  <c r="AF86" i="16"/>
  <c r="AH86" i="16" s="1"/>
  <c r="X86" i="16"/>
  <c r="Y86" i="16" s="1"/>
  <c r="AG85" i="16"/>
  <c r="AF85" i="16"/>
  <c r="X85" i="16"/>
  <c r="Y85" i="16" s="1"/>
  <c r="AG84" i="16"/>
  <c r="AF84" i="16"/>
  <c r="AH84" i="16" s="1"/>
  <c r="X84" i="16"/>
  <c r="AG83" i="16"/>
  <c r="AF83" i="16"/>
  <c r="AG82" i="16"/>
  <c r="AF82" i="16"/>
  <c r="AH82" i="16" s="1"/>
  <c r="AG81" i="16"/>
  <c r="AF81" i="16"/>
  <c r="AH80" i="16"/>
  <c r="AG80" i="16"/>
  <c r="AF80" i="16"/>
  <c r="AG79" i="16"/>
  <c r="AF79" i="16"/>
  <c r="AH79" i="16" s="1"/>
  <c r="X53" i="16"/>
  <c r="Y53" i="16" s="1"/>
  <c r="X52" i="16"/>
  <c r="Y52" i="16" s="1"/>
  <c r="Y51" i="16"/>
  <c r="X51" i="16"/>
  <c r="AF50" i="16"/>
  <c r="X50" i="16"/>
  <c r="Y50" i="16" s="1"/>
  <c r="AF49" i="16"/>
  <c r="Y49" i="16"/>
  <c r="X49" i="16"/>
  <c r="X48" i="16"/>
  <c r="Y48" i="16" s="1"/>
  <c r="Y54" i="16" s="1"/>
  <c r="X47" i="16"/>
  <c r="AF46" i="16"/>
  <c r="AF45" i="16"/>
  <c r="AF43" i="16"/>
  <c r="AF41" i="16"/>
  <c r="AF40" i="16"/>
  <c r="AF39" i="16"/>
  <c r="AF37" i="16"/>
  <c r="AF35" i="16"/>
  <c r="AF34" i="16"/>
  <c r="AF33" i="16"/>
  <c r="AF31" i="16"/>
  <c r="AF28" i="16"/>
  <c r="U28" i="16"/>
  <c r="AF26" i="16"/>
  <c r="AF24" i="16"/>
  <c r="AF22" i="16"/>
  <c r="AF20" i="16"/>
  <c r="AF18" i="16"/>
  <c r="AF17" i="16"/>
  <c r="AF16" i="16"/>
  <c r="X14" i="16"/>
  <c r="Y14" i="16" s="1"/>
  <c r="Y13" i="16"/>
  <c r="X13" i="16"/>
  <c r="AF12" i="16"/>
  <c r="X12" i="16"/>
  <c r="Y12" i="16" s="1"/>
  <c r="Y11" i="16"/>
  <c r="X11" i="16"/>
  <c r="AF10" i="16"/>
  <c r="Y10" i="16"/>
  <c r="AF9" i="16"/>
  <c r="AF8" i="16"/>
  <c r="X8" i="16"/>
  <c r="O62" i="15"/>
  <c r="N62" i="15"/>
  <c r="O58" i="15"/>
  <c r="N58" i="15"/>
  <c r="J58" i="15"/>
  <c r="J57" i="15"/>
  <c r="J56" i="15"/>
  <c r="J55" i="15"/>
  <c r="J53" i="15"/>
  <c r="J52" i="15"/>
  <c r="Z51" i="15"/>
  <c r="Q51" i="15"/>
  <c r="J51" i="15"/>
  <c r="Q50" i="15"/>
  <c r="P50" i="15"/>
  <c r="J50" i="15"/>
  <c r="Z49" i="15"/>
  <c r="X49" i="15"/>
  <c r="W49" i="15"/>
  <c r="Z50" i="15" s="1"/>
  <c r="V49" i="15"/>
  <c r="U49" i="15"/>
  <c r="Y50" i="15" s="1"/>
  <c r="Q49" i="15"/>
  <c r="J49" i="15"/>
  <c r="Z48" i="15"/>
  <c r="Y48" i="15"/>
  <c r="O48" i="15"/>
  <c r="N48" i="15"/>
  <c r="Q48" i="15" s="1"/>
  <c r="M48" i="15"/>
  <c r="L48" i="15"/>
  <c r="J48" i="15"/>
  <c r="J47" i="15"/>
  <c r="J46" i="15"/>
  <c r="J45" i="15"/>
  <c r="J44" i="15"/>
  <c r="J43" i="15"/>
  <c r="J42" i="15"/>
  <c r="J40" i="15"/>
  <c r="J39" i="15"/>
  <c r="J38" i="15"/>
  <c r="J37" i="15"/>
  <c r="J36" i="15"/>
  <c r="J35" i="15"/>
  <c r="J34" i="15"/>
  <c r="J33" i="15"/>
  <c r="J32" i="15"/>
  <c r="O31" i="15"/>
  <c r="N31" i="15"/>
  <c r="J31" i="15"/>
  <c r="J30" i="15"/>
  <c r="J29" i="15"/>
  <c r="J27" i="15"/>
  <c r="J26" i="15"/>
  <c r="J25" i="15"/>
  <c r="J24" i="15"/>
  <c r="J23" i="15"/>
  <c r="J22" i="15"/>
  <c r="O21" i="15"/>
  <c r="N21" i="15"/>
  <c r="J21" i="15"/>
  <c r="J20" i="15"/>
  <c r="J19" i="15"/>
  <c r="J18" i="15"/>
  <c r="J17" i="15"/>
  <c r="O16" i="15"/>
  <c r="N16" i="15"/>
  <c r="J16" i="15"/>
  <c r="J14" i="15"/>
  <c r="J13" i="15"/>
  <c r="J12" i="15"/>
  <c r="J11" i="15"/>
  <c r="J10" i="15"/>
  <c r="J9" i="15"/>
  <c r="J7" i="15"/>
  <c r="J6" i="15"/>
  <c r="J5" i="15"/>
  <c r="J4" i="15"/>
  <c r="J3" i="15"/>
  <c r="O67" i="14"/>
  <c r="N67" i="14"/>
  <c r="O56" i="14"/>
  <c r="N56" i="14"/>
  <c r="Y53" i="14"/>
  <c r="Y50" i="14"/>
  <c r="X49" i="14"/>
  <c r="W49" i="14"/>
  <c r="V49" i="14"/>
  <c r="U49" i="14"/>
  <c r="Y51" i="14" s="1"/>
  <c r="Y48" i="14"/>
  <c r="O48" i="14"/>
  <c r="N48" i="14"/>
  <c r="Q51" i="14" s="1"/>
  <c r="M48" i="14"/>
  <c r="L48" i="14"/>
  <c r="P52" i="14" s="1"/>
  <c r="O33" i="14"/>
  <c r="N33" i="14"/>
  <c r="O27" i="14"/>
  <c r="N27" i="14"/>
  <c r="O16" i="14"/>
  <c r="N16" i="14"/>
  <c r="O10" i="14"/>
  <c r="N10" i="14"/>
  <c r="H109" i="17"/>
  <c r="H108" i="17"/>
  <c r="H107" i="17"/>
  <c r="J106" i="17"/>
  <c r="K106" i="17" s="1"/>
  <c r="L106" i="17" s="1"/>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J78" i="17"/>
  <c r="K78" i="17" s="1"/>
  <c r="L78" i="17" s="1"/>
  <c r="H78" i="17"/>
  <c r="H77" i="17"/>
  <c r="H76" i="17"/>
  <c r="J75" i="17"/>
  <c r="K75" i="17" s="1"/>
  <c r="L75" i="17" s="1"/>
  <c r="H75" i="17"/>
  <c r="J74" i="17"/>
  <c r="K74" i="17" s="1"/>
  <c r="L74" i="17" s="1"/>
  <c r="H74" i="17"/>
  <c r="H73" i="17"/>
  <c r="H72" i="17"/>
  <c r="J71" i="17"/>
  <c r="K71" i="17" s="1"/>
  <c r="L71" i="17" s="1"/>
  <c r="N71" i="17" s="1"/>
  <c r="P71" i="17" s="1"/>
  <c r="H71" i="17"/>
  <c r="H70" i="17"/>
  <c r="H69" i="17"/>
  <c r="H68" i="17"/>
  <c r="H67" i="17"/>
  <c r="J66" i="17"/>
  <c r="K66" i="17" s="1"/>
  <c r="L66" i="17" s="1"/>
  <c r="H66" i="17"/>
  <c r="J65" i="17"/>
  <c r="K65" i="17" s="1"/>
  <c r="L65" i="17" s="1"/>
  <c r="H65" i="17"/>
  <c r="H64" i="17"/>
  <c r="H63" i="17"/>
  <c r="J62" i="17"/>
  <c r="K62" i="17" s="1"/>
  <c r="L62" i="17" s="1"/>
  <c r="H62" i="17"/>
  <c r="J61" i="17"/>
  <c r="K61" i="17" s="1"/>
  <c r="L61" i="17" s="1"/>
  <c r="H61" i="17"/>
  <c r="H60" i="17"/>
  <c r="H59" i="17"/>
  <c r="H58" i="17"/>
  <c r="H57" i="17"/>
  <c r="H56" i="17"/>
  <c r="H55" i="17"/>
  <c r="H54" i="17"/>
  <c r="K53" i="17"/>
  <c r="L53" i="17" s="1"/>
  <c r="M53" i="17" s="1"/>
  <c r="O53" i="17" s="1"/>
  <c r="J53" i="17"/>
  <c r="H53" i="17"/>
  <c r="J52" i="17"/>
  <c r="K52" i="17" s="1"/>
  <c r="L52" i="17" s="1"/>
  <c r="N52" i="17" s="1"/>
  <c r="H52" i="17"/>
  <c r="J51" i="17"/>
  <c r="K51" i="17" s="1"/>
  <c r="L51" i="17" s="1"/>
  <c r="H51" i="17"/>
  <c r="H50" i="17"/>
  <c r="K49" i="17"/>
  <c r="L49" i="17" s="1"/>
  <c r="M49" i="17" s="1"/>
  <c r="O49" i="17" s="1"/>
  <c r="J49" i="17"/>
  <c r="H49" i="17"/>
  <c r="J48" i="17"/>
  <c r="K48" i="17" s="1"/>
  <c r="L48" i="17" s="1"/>
  <c r="N48" i="17" s="1"/>
  <c r="H48" i="17"/>
  <c r="H47" i="17"/>
  <c r="H46" i="17"/>
  <c r="H45" i="17"/>
  <c r="H44" i="17"/>
  <c r="H43" i="17"/>
  <c r="J42" i="17"/>
  <c r="K42" i="17" s="1"/>
  <c r="L42" i="17" s="1"/>
  <c r="H42" i="17"/>
  <c r="H41" i="17"/>
  <c r="H40" i="17"/>
  <c r="J39" i="17"/>
  <c r="K39" i="17" s="1"/>
  <c r="L39" i="17" s="1"/>
  <c r="H39" i="17"/>
  <c r="J38" i="17"/>
  <c r="K38" i="17" s="1"/>
  <c r="L38" i="17" s="1"/>
  <c r="H38" i="17"/>
  <c r="H37" i="17"/>
  <c r="H36" i="17"/>
  <c r="J35" i="17"/>
  <c r="K35" i="17" s="1"/>
  <c r="L35" i="17" s="1"/>
  <c r="N35" i="17" s="1"/>
  <c r="P35" i="17" s="1"/>
  <c r="H35" i="17"/>
  <c r="H34" i="17"/>
  <c r="H33" i="17"/>
  <c r="H32" i="17"/>
  <c r="H31" i="17"/>
  <c r="K30" i="17"/>
  <c r="L30" i="17" s="1"/>
  <c r="M30" i="17" s="1"/>
  <c r="O30" i="17" s="1"/>
  <c r="J30" i="17"/>
  <c r="H30" i="17"/>
  <c r="J29" i="17"/>
  <c r="K29" i="17" s="1"/>
  <c r="L29" i="17" s="1"/>
  <c r="H29" i="17"/>
  <c r="H28" i="17"/>
  <c r="H27" i="17"/>
  <c r="K26" i="17"/>
  <c r="L26" i="17" s="1"/>
  <c r="M26" i="17" s="1"/>
  <c r="O26" i="17" s="1"/>
  <c r="J26" i="17"/>
  <c r="H26" i="17"/>
  <c r="J25" i="17"/>
  <c r="K25" i="17" s="1"/>
  <c r="L25" i="17" s="1"/>
  <c r="H25" i="17"/>
  <c r="H24" i="17"/>
  <c r="H23" i="17"/>
  <c r="H22" i="17"/>
  <c r="H21" i="17"/>
  <c r="H20" i="17"/>
  <c r="H19" i="17"/>
  <c r="H18" i="17"/>
  <c r="J17" i="17"/>
  <c r="K17" i="17" s="1"/>
  <c r="L17" i="17" s="1"/>
  <c r="H17" i="17"/>
  <c r="J16" i="17"/>
  <c r="K16" i="17" s="1"/>
  <c r="L16" i="17" s="1"/>
  <c r="N16" i="17" s="1"/>
  <c r="H16" i="17"/>
  <c r="J15" i="17"/>
  <c r="K15" i="17" s="1"/>
  <c r="L15" i="17" s="1"/>
  <c r="H15" i="17"/>
  <c r="H14" i="17"/>
  <c r="J13" i="17"/>
  <c r="K13" i="17" s="1"/>
  <c r="L13" i="17" s="1"/>
  <c r="H13" i="17"/>
  <c r="J12" i="17"/>
  <c r="K12" i="17" s="1"/>
  <c r="L12" i="17" s="1"/>
  <c r="N12" i="17" s="1"/>
  <c r="H12" i="17"/>
  <c r="H11" i="17"/>
  <c r="H10" i="17"/>
  <c r="J9" i="17"/>
  <c r="K9" i="17" s="1"/>
  <c r="L9" i="17" s="1"/>
  <c r="H9" i="17"/>
  <c r="H8" i="17"/>
  <c r="H7" i="17"/>
  <c r="J6" i="17"/>
  <c r="K6" i="17" s="1"/>
  <c r="L6" i="17" s="1"/>
  <c r="H6" i="17"/>
  <c r="H5" i="17"/>
  <c r="H4" i="17"/>
  <c r="J1" i="17"/>
  <c r="J86" i="17" s="1"/>
  <c r="K86" i="17" s="1"/>
  <c r="L86" i="17" s="1"/>
  <c r="AG85" i="12"/>
  <c r="AH85" i="12" s="1"/>
  <c r="W85" i="12"/>
  <c r="U85" i="12"/>
  <c r="V85" i="12" s="1"/>
  <c r="E75" i="11" s="1"/>
  <c r="W84" i="12"/>
  <c r="V84" i="12"/>
  <c r="E74" i="11" s="1"/>
  <c r="U84" i="12"/>
  <c r="U83" i="12"/>
  <c r="W83" i="12" s="1"/>
  <c r="U82" i="12"/>
  <c r="W82" i="12" s="1"/>
  <c r="W81" i="12"/>
  <c r="U81" i="12"/>
  <c r="V81" i="12" s="1"/>
  <c r="E71" i="11" s="1"/>
  <c r="W80" i="12"/>
  <c r="V80" i="12"/>
  <c r="E70" i="11" s="1"/>
  <c r="U80" i="12"/>
  <c r="U79" i="12"/>
  <c r="W79" i="12" s="1"/>
  <c r="U78" i="12"/>
  <c r="U77" i="12"/>
  <c r="AH76" i="12"/>
  <c r="AG76" i="12"/>
  <c r="U76" i="12"/>
  <c r="W76" i="12" s="1"/>
  <c r="U75" i="12"/>
  <c r="W75" i="12" s="1"/>
  <c r="V74" i="12"/>
  <c r="E67" i="11" s="1"/>
  <c r="U74" i="12"/>
  <c r="W74" i="12" s="1"/>
  <c r="V73" i="12"/>
  <c r="E66" i="11" s="1"/>
  <c r="U73" i="12"/>
  <c r="W73" i="12" s="1"/>
  <c r="W72" i="12"/>
  <c r="V72" i="12"/>
  <c r="E65" i="11" s="1"/>
  <c r="U72" i="12"/>
  <c r="W71" i="12"/>
  <c r="V71" i="12"/>
  <c r="E64" i="11" s="1"/>
  <c r="U71" i="12"/>
  <c r="U70" i="12"/>
  <c r="W70" i="12" s="1"/>
  <c r="AG69" i="12"/>
  <c r="AH69" i="12" s="1"/>
  <c r="V69" i="12"/>
  <c r="E62" i="11" s="1"/>
  <c r="U69" i="12"/>
  <c r="W69" i="12" s="1"/>
  <c r="U68" i="12"/>
  <c r="U67" i="12"/>
  <c r="W66" i="12"/>
  <c r="U66" i="12"/>
  <c r="V66" i="12" s="1"/>
  <c r="E59" i="11" s="1"/>
  <c r="V65" i="12"/>
  <c r="E58" i="11" s="1"/>
  <c r="U65" i="12"/>
  <c r="W65" i="12" s="1"/>
  <c r="U64" i="12"/>
  <c r="U63" i="12"/>
  <c r="AH62" i="12"/>
  <c r="AG62" i="12"/>
  <c r="U62" i="12"/>
  <c r="W62" i="12" s="1"/>
  <c r="U61" i="12"/>
  <c r="A60" i="12"/>
  <c r="AG49" i="12"/>
  <c r="AH49" i="12" s="1"/>
  <c r="V49" i="12"/>
  <c r="E42" i="11" s="1"/>
  <c r="U49" i="12"/>
  <c r="W49" i="12" s="1"/>
  <c r="W47" i="12"/>
  <c r="V47" i="12"/>
  <c r="E40" i="11" s="1"/>
  <c r="U47" i="12"/>
  <c r="V46" i="12"/>
  <c r="E39" i="11" s="1"/>
  <c r="U46" i="12"/>
  <c r="W46" i="12" s="1"/>
  <c r="U45" i="12"/>
  <c r="W45" i="12" s="1"/>
  <c r="V44" i="12"/>
  <c r="E37" i="11" s="1"/>
  <c r="U44" i="12"/>
  <c r="W44" i="12" s="1"/>
  <c r="W43" i="12"/>
  <c r="V43" i="12"/>
  <c r="E36" i="11" s="1"/>
  <c r="U43" i="12"/>
  <c r="W42" i="12"/>
  <c r="V42" i="12"/>
  <c r="E35" i="11" s="1"/>
  <c r="U42" i="12"/>
  <c r="X41" i="12"/>
  <c r="W41" i="12"/>
  <c r="U41" i="12"/>
  <c r="V41" i="12" s="1"/>
  <c r="E34" i="11" s="1"/>
  <c r="AG40" i="12"/>
  <c r="AH40" i="12" s="1"/>
  <c r="U40" i="12"/>
  <c r="U39" i="12"/>
  <c r="W39" i="12" s="1"/>
  <c r="X38" i="12"/>
  <c r="U38" i="12"/>
  <c r="W38" i="12" s="1"/>
  <c r="AG37" i="12"/>
  <c r="AH37" i="12" s="1"/>
  <c r="U37" i="12"/>
  <c r="U36" i="12"/>
  <c r="AH35" i="12"/>
  <c r="AG35" i="12"/>
  <c r="U35" i="12"/>
  <c r="W35" i="12" s="1"/>
  <c r="B34" i="12"/>
  <c r="A34" i="12"/>
  <c r="W32" i="12"/>
  <c r="U32" i="12"/>
  <c r="W31" i="12"/>
  <c r="X31" i="12" s="1"/>
  <c r="X32" i="12" s="1"/>
  <c r="U31" i="12"/>
  <c r="V31" i="12" s="1"/>
  <c r="E27" i="11" s="1"/>
  <c r="V30" i="12"/>
  <c r="E26" i="11" s="1"/>
  <c r="U30" i="12"/>
  <c r="W30" i="12" s="1"/>
  <c r="U29" i="12"/>
  <c r="U28" i="12"/>
  <c r="U27" i="12"/>
  <c r="W27" i="12" s="1"/>
  <c r="AG26" i="12"/>
  <c r="AH26" i="12" s="1"/>
  <c r="U26" i="12"/>
  <c r="U25" i="12"/>
  <c r="W24" i="12"/>
  <c r="U24" i="12"/>
  <c r="V24" i="12" s="1"/>
  <c r="E21" i="11" s="1"/>
  <c r="W23" i="12"/>
  <c r="U23" i="12"/>
  <c r="V22" i="12"/>
  <c r="E20" i="11" s="1"/>
  <c r="U22" i="12"/>
  <c r="W22" i="12" s="1"/>
  <c r="X22" i="12" s="1"/>
  <c r="X23" i="12" s="1"/>
  <c r="U21" i="12"/>
  <c r="W21" i="12" s="1"/>
  <c r="U20" i="12"/>
  <c r="W20" i="12" s="1"/>
  <c r="W19" i="12"/>
  <c r="U19" i="12"/>
  <c r="U18" i="12"/>
  <c r="U17" i="12"/>
  <c r="W17" i="12" s="1"/>
  <c r="W16" i="12"/>
  <c r="X16" i="12" s="1"/>
  <c r="X17" i="12" s="1"/>
  <c r="V16" i="12"/>
  <c r="E17" i="11" s="1"/>
  <c r="U16" i="12"/>
  <c r="V15" i="12"/>
  <c r="E16" i="11" s="1"/>
  <c r="U15" i="12"/>
  <c r="W15" i="12" s="1"/>
  <c r="AG14" i="12"/>
  <c r="AH14" i="12" s="1"/>
  <c r="W14" i="12"/>
  <c r="V14" i="12"/>
  <c r="E15" i="11" s="1"/>
  <c r="U14" i="12"/>
  <c r="V13" i="12"/>
  <c r="E14" i="11" s="1"/>
  <c r="U13" i="12"/>
  <c r="W13" i="12" s="1"/>
  <c r="U12" i="12"/>
  <c r="U11" i="12"/>
  <c r="W10" i="12"/>
  <c r="V10" i="12"/>
  <c r="E11" i="11" s="1"/>
  <c r="U10" i="12"/>
  <c r="V9" i="12"/>
  <c r="E10" i="11" s="1"/>
  <c r="U9" i="12"/>
  <c r="W9" i="12" s="1"/>
  <c r="U8" i="12"/>
  <c r="AH7" i="12"/>
  <c r="AG7" i="12"/>
  <c r="W7" i="12"/>
  <c r="V7" i="12"/>
  <c r="E8" i="11" s="1"/>
  <c r="U7" i="12"/>
  <c r="U6" i="12"/>
  <c r="B5" i="12"/>
  <c r="A5" i="12"/>
  <c r="Y71" i="13"/>
  <c r="Y70" i="13"/>
  <c r="Y69" i="13"/>
  <c r="Y68" i="13"/>
  <c r="Y66" i="13"/>
  <c r="Y65" i="13"/>
  <c r="M65" i="13"/>
  <c r="Y64" i="13"/>
  <c r="M64" i="13"/>
  <c r="Y63" i="13"/>
  <c r="Z63" i="13" s="1"/>
  <c r="AA63" i="13" s="1"/>
  <c r="AB63" i="13" s="1"/>
  <c r="M63" i="13"/>
  <c r="M62" i="13"/>
  <c r="M61" i="13"/>
  <c r="M60" i="13"/>
  <c r="M59" i="13"/>
  <c r="M58" i="13"/>
  <c r="M57" i="13"/>
  <c r="Y56" i="13"/>
  <c r="Q56" i="13"/>
  <c r="P56" i="13"/>
  <c r="M56" i="13"/>
  <c r="I56" i="13"/>
  <c r="Y55" i="13"/>
  <c r="M55" i="13"/>
  <c r="Y54" i="13"/>
  <c r="M54" i="13"/>
  <c r="M53" i="13"/>
  <c r="M52" i="13"/>
  <c r="Y51" i="13"/>
  <c r="M51" i="13"/>
  <c r="Y50" i="13"/>
  <c r="M50" i="13"/>
  <c r="Y49" i="13"/>
  <c r="M49" i="13"/>
  <c r="Z48" i="13"/>
  <c r="AA48" i="13" s="1"/>
  <c r="AB48" i="13" s="1"/>
  <c r="M48" i="13"/>
  <c r="Q47" i="13"/>
  <c r="P47" i="13"/>
  <c r="M47" i="13"/>
  <c r="J47" i="13"/>
  <c r="I47" i="13"/>
  <c r="M46" i="13"/>
  <c r="M45" i="13"/>
  <c r="M44" i="13"/>
  <c r="M43" i="13"/>
  <c r="M42" i="13"/>
  <c r="M41" i="13"/>
  <c r="M40" i="13"/>
  <c r="M39" i="13"/>
  <c r="M38" i="13"/>
  <c r="M37" i="13"/>
  <c r="Q36" i="13"/>
  <c r="P36" i="13"/>
  <c r="M36" i="13"/>
  <c r="I36" i="13"/>
  <c r="M35" i="13"/>
  <c r="M34" i="13"/>
  <c r="M33" i="13"/>
  <c r="M32" i="13"/>
  <c r="M31" i="13"/>
  <c r="M30" i="13"/>
  <c r="Y29" i="13"/>
  <c r="M29" i="13"/>
  <c r="Y28" i="13"/>
  <c r="M28" i="13"/>
  <c r="Y27" i="13"/>
  <c r="M27" i="13"/>
  <c r="Y26" i="13"/>
  <c r="P26" i="13"/>
  <c r="Q26" i="13" s="1"/>
  <c r="M26" i="13"/>
  <c r="I26" i="13"/>
  <c r="J26" i="13" s="1"/>
  <c r="M25" i="13"/>
  <c r="Y24" i="13"/>
  <c r="M24" i="13"/>
  <c r="Y23" i="13"/>
  <c r="M23" i="13"/>
  <c r="Y22" i="13"/>
  <c r="Z21" i="13" s="1"/>
  <c r="AA21" i="13" s="1"/>
  <c r="AB21" i="13" s="1"/>
  <c r="M22" i="13"/>
  <c r="Y21" i="13"/>
  <c r="M21" i="13"/>
  <c r="M20" i="13"/>
  <c r="M19" i="13"/>
  <c r="M18" i="13"/>
  <c r="M17" i="13"/>
  <c r="M16" i="13"/>
  <c r="M15" i="13"/>
  <c r="Y14" i="13"/>
  <c r="P14" i="13"/>
  <c r="Q14" i="13" s="1"/>
  <c r="M14" i="13"/>
  <c r="I14" i="13"/>
  <c r="J14" i="13" s="1"/>
  <c r="Y13" i="13"/>
  <c r="M13" i="13"/>
  <c r="Y12" i="13"/>
  <c r="M12" i="13"/>
  <c r="M11" i="13"/>
  <c r="M10" i="13"/>
  <c r="Y9" i="13"/>
  <c r="M9" i="13"/>
  <c r="Y8" i="13"/>
  <c r="M8" i="13"/>
  <c r="Y7" i="13"/>
  <c r="Z6" i="13" s="1"/>
  <c r="M7" i="13"/>
  <c r="AA6" i="13"/>
  <c r="AB6" i="13" s="1"/>
  <c r="M6" i="13"/>
  <c r="I6" i="13"/>
  <c r="J6" i="13" s="1"/>
  <c r="Q5" i="13"/>
  <c r="P5" i="13"/>
  <c r="M5" i="13"/>
  <c r="J5" i="13"/>
  <c r="I5" i="13"/>
  <c r="M4" i="13"/>
  <c r="M3" i="13"/>
  <c r="A10" i="7"/>
  <c r="A1" i="7"/>
  <c r="C18" i="6"/>
  <c r="B18" i="6"/>
  <c r="B19" i="6" s="1"/>
  <c r="H17" i="6"/>
  <c r="G17" i="6"/>
  <c r="B17" i="6"/>
  <c r="H16" i="6"/>
  <c r="G16" i="6"/>
  <c r="B24" i="1"/>
  <c r="B18" i="1"/>
  <c r="C17" i="1"/>
  <c r="B17" i="1"/>
  <c r="K16" i="1"/>
  <c r="I19" i="1" s="1"/>
  <c r="K19" i="1" s="1"/>
  <c r="C16" i="1"/>
  <c r="F13" i="1"/>
  <c r="E13" i="1"/>
  <c r="D13" i="1"/>
  <c r="C12" i="1"/>
  <c r="E12" i="1" s="1"/>
  <c r="F12" i="1" s="1"/>
  <c r="C11" i="1"/>
  <c r="E11" i="1" s="1"/>
  <c r="F11" i="1" s="1"/>
  <c r="E10" i="1"/>
  <c r="F10" i="1" s="1"/>
  <c r="C10" i="1"/>
  <c r="D10" i="1" s="1"/>
  <c r="Y15" i="16" l="1"/>
  <c r="M62" i="17"/>
  <c r="O62" i="17" s="1"/>
  <c r="N62" i="17"/>
  <c r="P62" i="17" s="1"/>
  <c r="M13" i="17"/>
  <c r="O13" i="17" s="1"/>
  <c r="N13" i="17"/>
  <c r="P13" i="17" s="1"/>
  <c r="M39" i="17"/>
  <c r="O39" i="17" s="1"/>
  <c r="N39" i="17"/>
  <c r="P39" i="17" s="1"/>
  <c r="T57" i="11"/>
  <c r="U32" i="11"/>
  <c r="T9" i="11"/>
  <c r="U8" i="11"/>
  <c r="U56" i="11"/>
  <c r="T33" i="11"/>
  <c r="G18" i="6"/>
  <c r="M66" i="17"/>
  <c r="O66" i="17" s="1"/>
  <c r="N66" i="17"/>
  <c r="P66" i="17" s="1"/>
  <c r="M75" i="17"/>
  <c r="O75" i="17" s="1"/>
  <c r="N75" i="17"/>
  <c r="P75" i="17" s="1"/>
  <c r="N9" i="17"/>
  <c r="P9" i="17" s="1"/>
  <c r="M9" i="17"/>
  <c r="O9" i="17" s="1"/>
  <c r="M17" i="17"/>
  <c r="O17" i="17" s="1"/>
  <c r="N17" i="17"/>
  <c r="P17" i="17" s="1"/>
  <c r="V35" i="12"/>
  <c r="E31" i="11" s="1"/>
  <c r="W36" i="12"/>
  <c r="Y179" i="16"/>
  <c r="AF51" i="16"/>
  <c r="AH180" i="16"/>
  <c r="D11" i="1"/>
  <c r="W12" i="12"/>
  <c r="V12" i="12"/>
  <c r="E13" i="11" s="1"/>
  <c r="G26" i="19"/>
  <c r="W37" i="12"/>
  <c r="V37" i="12"/>
  <c r="E32" i="11" s="1"/>
  <c r="W64" i="12"/>
  <c r="V64" i="12"/>
  <c r="E57" i="11" s="1"/>
  <c r="N51" i="17"/>
  <c r="P51" i="17" s="1"/>
  <c r="M51" i="17"/>
  <c r="O51" i="17" s="1"/>
  <c r="N78" i="17"/>
  <c r="P78" i="17" s="1"/>
  <c r="M78" i="17"/>
  <c r="O78" i="17" s="1"/>
  <c r="AA143" i="16"/>
  <c r="Y145" i="16"/>
  <c r="W6" i="12"/>
  <c r="V6" i="12"/>
  <c r="E7" i="11" s="1"/>
  <c r="J56" i="13"/>
  <c r="J36" i="13"/>
  <c r="G7" i="19"/>
  <c r="G20" i="19"/>
  <c r="G57" i="19"/>
  <c r="G67" i="19"/>
  <c r="Y316" i="16"/>
  <c r="W29" i="12"/>
  <c r="V29" i="12"/>
  <c r="E25" i="11" s="1"/>
  <c r="G60" i="19"/>
  <c r="N106" i="17"/>
  <c r="P106" i="17" s="1"/>
  <c r="M106" i="17"/>
  <c r="O106" i="17" s="1"/>
  <c r="P16" i="17"/>
  <c r="M16" i="17"/>
  <c r="O16" i="17" s="1"/>
  <c r="W18" i="12"/>
  <c r="X18" i="12" s="1"/>
  <c r="X19" i="12" s="1"/>
  <c r="V18" i="12"/>
  <c r="E18" i="11" s="1"/>
  <c r="V76" i="12"/>
  <c r="E68" i="11" s="1"/>
  <c r="W77" i="12"/>
  <c r="P48" i="17"/>
  <c r="U48" i="17" s="1"/>
  <c r="AC26" i="11" s="1"/>
  <c r="V25" i="19" s="1"/>
  <c r="P52" i="17"/>
  <c r="U52" i="17" s="1"/>
  <c r="AC27" i="11" s="1"/>
  <c r="V26" i="19" s="1"/>
  <c r="M71" i="17"/>
  <c r="O71" i="17" s="1"/>
  <c r="G35" i="19"/>
  <c r="G19" i="19"/>
  <c r="P12" i="17"/>
  <c r="U12" i="17" s="1"/>
  <c r="AC11" i="11" s="1"/>
  <c r="V10" i="19" s="1"/>
  <c r="M35" i="17"/>
  <c r="O35" i="17" s="1"/>
  <c r="W11" i="12"/>
  <c r="V11" i="12"/>
  <c r="E12" i="11" s="1"/>
  <c r="X76" i="12"/>
  <c r="X77" i="12" s="1"/>
  <c r="M12" i="17"/>
  <c r="O12" i="17" s="1"/>
  <c r="W25" i="12"/>
  <c r="V25" i="12"/>
  <c r="E22" i="11" s="1"/>
  <c r="G52" i="19"/>
  <c r="W78" i="12"/>
  <c r="X78" i="12" s="1"/>
  <c r="X79" i="12" s="1"/>
  <c r="V78" i="12"/>
  <c r="E69" i="11" s="1"/>
  <c r="G68" i="19"/>
  <c r="N6" i="17"/>
  <c r="P6" i="17" s="1"/>
  <c r="M6" i="17"/>
  <c r="O6" i="17" s="1"/>
  <c r="N25" i="17"/>
  <c r="P25" i="17" s="1"/>
  <c r="M25" i="17"/>
  <c r="O25" i="17" s="1"/>
  <c r="N29" i="17"/>
  <c r="P29" i="17" s="1"/>
  <c r="M29" i="17"/>
  <c r="O29" i="17" s="1"/>
  <c r="M48" i="17"/>
  <c r="O48" i="17" s="1"/>
  <c r="M52" i="17"/>
  <c r="O52" i="17" s="1"/>
  <c r="W63" i="12"/>
  <c r="V63" i="12"/>
  <c r="E56" i="11" s="1"/>
  <c r="D12" i="1"/>
  <c r="C19" i="6"/>
  <c r="W26" i="12"/>
  <c r="X26" i="12" s="1"/>
  <c r="X27" i="12" s="1"/>
  <c r="V26" i="12"/>
  <c r="E23" i="11" s="1"/>
  <c r="Y16" i="16"/>
  <c r="W8" i="12"/>
  <c r="V8" i="12"/>
  <c r="E9" i="11" s="1"/>
  <c r="W40" i="12"/>
  <c r="V40" i="12"/>
  <c r="E33" i="11" s="1"/>
  <c r="W67" i="12"/>
  <c r="V67" i="12"/>
  <c r="E60" i="11" s="1"/>
  <c r="V70" i="12"/>
  <c r="E63" i="11" s="1"/>
  <c r="G63" i="19"/>
  <c r="N86" i="17"/>
  <c r="P86" i="17" s="1"/>
  <c r="M86" i="17"/>
  <c r="O86" i="17" s="1"/>
  <c r="U55" i="11"/>
  <c r="T32" i="11"/>
  <c r="U31" i="11"/>
  <c r="T8" i="11"/>
  <c r="U7" i="11"/>
  <c r="T56" i="11"/>
  <c r="N74" i="17"/>
  <c r="P74" i="17" s="1"/>
  <c r="M74" i="17"/>
  <c r="O74" i="17" s="1"/>
  <c r="X20" i="12"/>
  <c r="X21" i="12" s="1"/>
  <c r="W61" i="12"/>
  <c r="X61" i="12" s="1"/>
  <c r="X62" i="12" s="1"/>
  <c r="V61" i="12"/>
  <c r="E55" i="11" s="1"/>
  <c r="N65" i="17"/>
  <c r="P65" i="17" s="1"/>
  <c r="M65" i="17"/>
  <c r="O65" i="17" s="1"/>
  <c r="Y247" i="16"/>
  <c r="W68" i="12"/>
  <c r="V68" i="12"/>
  <c r="E61" i="11" s="1"/>
  <c r="G30" i="19"/>
  <c r="V45" i="12"/>
  <c r="E38" i="11" s="1"/>
  <c r="N26" i="17"/>
  <c r="P26" i="17" s="1"/>
  <c r="N30" i="17"/>
  <c r="P30" i="17" s="1"/>
  <c r="N38" i="17"/>
  <c r="P38" i="17" s="1"/>
  <c r="M38" i="17"/>
  <c r="O38" i="17" s="1"/>
  <c r="N49" i="17"/>
  <c r="P49" i="17" s="1"/>
  <c r="N53" i="17"/>
  <c r="P53" i="17" s="1"/>
  <c r="N61" i="17"/>
  <c r="P61" i="17" s="1"/>
  <c r="M61" i="17"/>
  <c r="O61" i="17" s="1"/>
  <c r="G15" i="19"/>
  <c r="W28" i="12"/>
  <c r="V28" i="12"/>
  <c r="E24" i="11" s="1"/>
  <c r="X35" i="12"/>
  <c r="X36" i="12" s="1"/>
  <c r="X74" i="12"/>
  <c r="X75" i="12" s="1"/>
  <c r="G64" i="19"/>
  <c r="N15" i="17"/>
  <c r="P15" i="17" s="1"/>
  <c r="M15" i="17"/>
  <c r="O15" i="17" s="1"/>
  <c r="N42" i="17"/>
  <c r="P42" i="17" s="1"/>
  <c r="M42" i="17"/>
  <c r="O42" i="17" s="1"/>
  <c r="J21" i="17"/>
  <c r="K21" i="17" s="1"/>
  <c r="L21" i="17" s="1"/>
  <c r="J34" i="17"/>
  <c r="K34" i="17" s="1"/>
  <c r="L34" i="17" s="1"/>
  <c r="J57" i="17"/>
  <c r="K57" i="17" s="1"/>
  <c r="L57" i="17" s="1"/>
  <c r="J70" i="17"/>
  <c r="K70" i="17" s="1"/>
  <c r="L70" i="17" s="1"/>
  <c r="P51" i="15"/>
  <c r="P49" i="15"/>
  <c r="P48" i="15"/>
  <c r="G31" i="19"/>
  <c r="J7" i="17"/>
  <c r="K7" i="17" s="1"/>
  <c r="L7" i="17" s="1"/>
  <c r="J20" i="17"/>
  <c r="K20" i="17" s="1"/>
  <c r="L20" i="17" s="1"/>
  <c r="J43" i="17"/>
  <c r="K43" i="17" s="1"/>
  <c r="L43" i="17" s="1"/>
  <c r="J56" i="17"/>
  <c r="K56" i="17" s="1"/>
  <c r="L56" i="17" s="1"/>
  <c r="AF19" i="16"/>
  <c r="AH112" i="16"/>
  <c r="AF31" i="11"/>
  <c r="K28" i="19"/>
  <c r="AG32" i="11"/>
  <c r="J11" i="17"/>
  <c r="K11" i="17" s="1"/>
  <c r="L11" i="17" s="1"/>
  <c r="J24" i="17"/>
  <c r="K24" i="17" s="1"/>
  <c r="L24" i="17" s="1"/>
  <c r="J28" i="17"/>
  <c r="K28" i="17" s="1"/>
  <c r="L28" i="17" s="1"/>
  <c r="J47" i="17"/>
  <c r="K47" i="17" s="1"/>
  <c r="L47" i="17" s="1"/>
  <c r="J60" i="17"/>
  <c r="K60" i="17" s="1"/>
  <c r="L60" i="17" s="1"/>
  <c r="J64" i="17"/>
  <c r="K64" i="17" s="1"/>
  <c r="L64" i="17" s="1"/>
  <c r="J93" i="17"/>
  <c r="K93" i="17" s="1"/>
  <c r="L93" i="17" s="1"/>
  <c r="Z51" i="14"/>
  <c r="Z53" i="14"/>
  <c r="Z50" i="14"/>
  <c r="Z48" i="14"/>
  <c r="Z52" i="14"/>
  <c r="Z49" i="14"/>
  <c r="T55" i="11"/>
  <c r="T31" i="11"/>
  <c r="T7" i="11"/>
  <c r="V82" i="12"/>
  <c r="E72" i="11" s="1"/>
  <c r="J10" i="17"/>
  <c r="K10" i="17" s="1"/>
  <c r="L10" i="17" s="1"/>
  <c r="J33" i="17"/>
  <c r="K33" i="17" s="1"/>
  <c r="L33" i="17" s="1"/>
  <c r="J46" i="17"/>
  <c r="K46" i="17" s="1"/>
  <c r="L46" i="17" s="1"/>
  <c r="J69" i="17"/>
  <c r="K69" i="17" s="1"/>
  <c r="L69" i="17" s="1"/>
  <c r="Y212" i="16"/>
  <c r="G16" i="19"/>
  <c r="G32" i="19"/>
  <c r="G36" i="19"/>
  <c r="G58" i="19"/>
  <c r="J104" i="17"/>
  <c r="K104" i="17" s="1"/>
  <c r="L104" i="17" s="1"/>
  <c r="J91" i="17"/>
  <c r="K91" i="17" s="1"/>
  <c r="L91" i="17" s="1"/>
  <c r="J105" i="17"/>
  <c r="K105" i="17" s="1"/>
  <c r="L105" i="17" s="1"/>
  <c r="J82" i="17"/>
  <c r="K82" i="17" s="1"/>
  <c r="L82" i="17" s="1"/>
  <c r="J109" i="17"/>
  <c r="K109" i="17" s="1"/>
  <c r="L109" i="17" s="1"/>
  <c r="J100" i="17"/>
  <c r="K100" i="17" s="1"/>
  <c r="L100" i="17" s="1"/>
  <c r="J96" i="17"/>
  <c r="K96" i="17" s="1"/>
  <c r="L96" i="17" s="1"/>
  <c r="J83" i="17"/>
  <c r="K83" i="17" s="1"/>
  <c r="L83" i="17" s="1"/>
  <c r="J101" i="17"/>
  <c r="K101" i="17" s="1"/>
  <c r="L101" i="17" s="1"/>
  <c r="J97" i="17"/>
  <c r="K97" i="17" s="1"/>
  <c r="L97" i="17" s="1"/>
  <c r="J87" i="17"/>
  <c r="K87" i="17" s="1"/>
  <c r="L87" i="17" s="1"/>
  <c r="J92" i="17"/>
  <c r="K92" i="17" s="1"/>
  <c r="L92" i="17" s="1"/>
  <c r="J79" i="17"/>
  <c r="K79" i="17" s="1"/>
  <c r="L79" i="17" s="1"/>
  <c r="J107" i="17"/>
  <c r="K107" i="17" s="1"/>
  <c r="L107" i="17" s="1"/>
  <c r="J88" i="17"/>
  <c r="K88" i="17" s="1"/>
  <c r="L88" i="17" s="1"/>
  <c r="J84" i="17"/>
  <c r="K84" i="17" s="1"/>
  <c r="L84" i="17" s="1"/>
  <c r="J102" i="17"/>
  <c r="K102" i="17" s="1"/>
  <c r="L102" i="17" s="1"/>
  <c r="J98" i="17"/>
  <c r="K98" i="17" s="1"/>
  <c r="L98" i="17" s="1"/>
  <c r="J89" i="17"/>
  <c r="K89" i="17" s="1"/>
  <c r="L89" i="17" s="1"/>
  <c r="J85" i="17"/>
  <c r="K85" i="17" s="1"/>
  <c r="L85" i="17" s="1"/>
  <c r="J103" i="17"/>
  <c r="K103" i="17" s="1"/>
  <c r="L103" i="17" s="1"/>
  <c r="J94" i="17"/>
  <c r="K94" i="17" s="1"/>
  <c r="L94" i="17" s="1"/>
  <c r="J81" i="17"/>
  <c r="K81" i="17" s="1"/>
  <c r="L81" i="17" s="1"/>
  <c r="J108" i="17"/>
  <c r="K108" i="17" s="1"/>
  <c r="L108" i="17" s="1"/>
  <c r="J95" i="17"/>
  <c r="K95" i="17" s="1"/>
  <c r="L95" i="17" s="1"/>
  <c r="J19" i="17"/>
  <c r="K19" i="17" s="1"/>
  <c r="L19" i="17" s="1"/>
  <c r="J32" i="17"/>
  <c r="K32" i="17" s="1"/>
  <c r="L32" i="17" s="1"/>
  <c r="J55" i="17"/>
  <c r="K55" i="17" s="1"/>
  <c r="L55" i="17" s="1"/>
  <c r="J68" i="17"/>
  <c r="K68" i="17" s="1"/>
  <c r="L68" i="17" s="1"/>
  <c r="J80" i="17"/>
  <c r="K80" i="17" s="1"/>
  <c r="L80" i="17" s="1"/>
  <c r="J90" i="17"/>
  <c r="K90" i="17" s="1"/>
  <c r="L90" i="17" s="1"/>
  <c r="AF36" i="16"/>
  <c r="AH148" i="16"/>
  <c r="G9" i="19"/>
  <c r="G13" i="19"/>
  <c r="G25" i="19"/>
  <c r="G51" i="19"/>
  <c r="G55" i="19"/>
  <c r="J5" i="17"/>
  <c r="K5" i="17" s="1"/>
  <c r="L5" i="17" s="1"/>
  <c r="J14" i="17"/>
  <c r="K14" i="17" s="1"/>
  <c r="L14" i="17" s="1"/>
  <c r="J18" i="17"/>
  <c r="K18" i="17" s="1"/>
  <c r="L18" i="17" s="1"/>
  <c r="J27" i="17"/>
  <c r="K27" i="17" s="1"/>
  <c r="L27" i="17" s="1"/>
  <c r="J37" i="17"/>
  <c r="K37" i="17" s="1"/>
  <c r="L37" i="17" s="1"/>
  <c r="J41" i="17"/>
  <c r="K41" i="17" s="1"/>
  <c r="L41" i="17" s="1"/>
  <c r="J50" i="17"/>
  <c r="K50" i="17" s="1"/>
  <c r="L50" i="17" s="1"/>
  <c r="J54" i="17"/>
  <c r="K54" i="17" s="1"/>
  <c r="L54" i="17" s="1"/>
  <c r="J63" i="17"/>
  <c r="K63" i="17" s="1"/>
  <c r="L63" i="17" s="1"/>
  <c r="J73" i="17"/>
  <c r="K73" i="17" s="1"/>
  <c r="L73" i="17" s="1"/>
  <c r="J77" i="17"/>
  <c r="K77" i="17" s="1"/>
  <c r="L77" i="17" s="1"/>
  <c r="Y113" i="16"/>
  <c r="AH174" i="16"/>
  <c r="AF48" i="16"/>
  <c r="V20" i="12"/>
  <c r="E19" i="11" s="1"/>
  <c r="V83" i="12"/>
  <c r="E73" i="11" s="1"/>
  <c r="J4" i="17"/>
  <c r="K4" i="17" s="1"/>
  <c r="L4" i="17" s="1"/>
  <c r="J23" i="17"/>
  <c r="K23" i="17" s="1"/>
  <c r="L23" i="17" s="1"/>
  <c r="J36" i="17"/>
  <c r="K36" i="17" s="1"/>
  <c r="L36" i="17" s="1"/>
  <c r="J40" i="17"/>
  <c r="K40" i="17" s="1"/>
  <c r="L40" i="17" s="1"/>
  <c r="J59" i="17"/>
  <c r="K59" i="17" s="1"/>
  <c r="L59" i="17" s="1"/>
  <c r="J72" i="17"/>
  <c r="K72" i="17" s="1"/>
  <c r="L72" i="17" s="1"/>
  <c r="J76" i="17"/>
  <c r="K76" i="17" s="1"/>
  <c r="L76" i="17" s="1"/>
  <c r="Y280" i="16"/>
  <c r="G33" i="19"/>
  <c r="G38" i="19"/>
  <c r="G59" i="19"/>
  <c r="J22" i="17"/>
  <c r="K22" i="17" s="1"/>
  <c r="L22" i="17" s="1"/>
  <c r="J45" i="17"/>
  <c r="K45" i="17" s="1"/>
  <c r="L45" i="17" s="1"/>
  <c r="J58" i="17"/>
  <c r="K58" i="17" s="1"/>
  <c r="L58" i="17" s="1"/>
  <c r="J99" i="17"/>
  <c r="K99" i="17" s="1"/>
  <c r="L99" i="17" s="1"/>
  <c r="P51" i="14"/>
  <c r="P49" i="14"/>
  <c r="P53" i="14"/>
  <c r="P50" i="14"/>
  <c r="P48" i="14"/>
  <c r="Y55" i="16"/>
  <c r="AL17" i="16"/>
  <c r="Y91" i="16"/>
  <c r="AH102" i="16"/>
  <c r="AF15" i="16"/>
  <c r="AH166" i="16"/>
  <c r="G10" i="19"/>
  <c r="G14" i="19"/>
  <c r="J8" i="17"/>
  <c r="K8" i="17" s="1"/>
  <c r="L8" i="17" s="1"/>
  <c r="J31" i="17"/>
  <c r="K31" i="17" s="1"/>
  <c r="L31" i="17" s="1"/>
  <c r="J44" i="17"/>
  <c r="K44" i="17" s="1"/>
  <c r="L44" i="17" s="1"/>
  <c r="J67" i="17"/>
  <c r="K67" i="17" s="1"/>
  <c r="L67" i="17" s="1"/>
  <c r="AF21" i="16"/>
  <c r="AH116" i="16"/>
  <c r="Y349" i="16"/>
  <c r="Q52" i="14"/>
  <c r="Y51" i="15"/>
  <c r="AL16" i="16"/>
  <c r="AF27" i="16"/>
  <c r="AH98" i="16"/>
  <c r="AH162" i="16"/>
  <c r="Y49" i="14"/>
  <c r="Y52" i="14"/>
  <c r="D24" i="19"/>
  <c r="E31" i="20" s="1"/>
  <c r="D20" i="19"/>
  <c r="E27" i="20" s="1"/>
  <c r="D16" i="19"/>
  <c r="E23" i="20" s="1"/>
  <c r="D12" i="19"/>
  <c r="E19" i="20" s="1"/>
  <c r="D8" i="19"/>
  <c r="E15" i="20" s="1"/>
  <c r="D23" i="19"/>
  <c r="E30" i="20" s="1"/>
  <c r="D19" i="19"/>
  <c r="E26" i="20" s="1"/>
  <c r="D15" i="19"/>
  <c r="E22" i="20" s="1"/>
  <c r="D11" i="19"/>
  <c r="E18" i="20" s="1"/>
  <c r="D26" i="19"/>
  <c r="E33" i="20" s="1"/>
  <c r="D22" i="19"/>
  <c r="E29" i="20" s="1"/>
  <c r="D18" i="19"/>
  <c r="E25" i="20" s="1"/>
  <c r="D14" i="19"/>
  <c r="E21" i="20" s="1"/>
  <c r="D10" i="19"/>
  <c r="E17" i="20" s="1"/>
  <c r="D7" i="19"/>
  <c r="E14" i="20" s="1"/>
  <c r="D17" i="19"/>
  <c r="E24" i="20" s="1"/>
  <c r="D25" i="19"/>
  <c r="E32" i="20" s="1"/>
  <c r="D6" i="19"/>
  <c r="E13" i="20" s="1"/>
  <c r="D13" i="19"/>
  <c r="E20" i="20" s="1"/>
  <c r="D21" i="19"/>
  <c r="E28" i="20" s="1"/>
  <c r="D9" i="19"/>
  <c r="E16" i="20" s="1"/>
  <c r="Y49" i="15"/>
  <c r="N52" i="19"/>
  <c r="N62" i="19"/>
  <c r="AH136" i="16"/>
  <c r="N26" i="19"/>
  <c r="Q48" i="14"/>
  <c r="Q50" i="14"/>
  <c r="Q53" i="14"/>
  <c r="N50" i="19"/>
  <c r="AF55" i="11" a="1"/>
  <c r="D47" i="19"/>
  <c r="E54" i="20" s="1"/>
  <c r="D44" i="19"/>
  <c r="E51" i="20" s="1"/>
  <c r="D41" i="19"/>
  <c r="E48" i="20" s="1"/>
  <c r="D38" i="19"/>
  <c r="E45" i="20" s="1"/>
  <c r="D35" i="19"/>
  <c r="E42" i="20" s="1"/>
  <c r="D32" i="19"/>
  <c r="E39" i="20" s="1"/>
  <c r="D29" i="19"/>
  <c r="E36" i="20" s="1"/>
  <c r="D45" i="19"/>
  <c r="E52" i="20" s="1"/>
  <c r="D42" i="19"/>
  <c r="E49" i="20" s="1"/>
  <c r="D39" i="19"/>
  <c r="E46" i="20" s="1"/>
  <c r="D36" i="19"/>
  <c r="E43" i="20" s="1"/>
  <c r="D33" i="19"/>
  <c r="E40" i="20" s="1"/>
  <c r="D30" i="19"/>
  <c r="E37" i="20" s="1"/>
  <c r="D28" i="19"/>
  <c r="E35" i="20" s="1"/>
  <c r="D34" i="19"/>
  <c r="E41" i="20" s="1"/>
  <c r="D27" i="19"/>
  <c r="E34" i="20" s="1"/>
  <c r="D46" i="19"/>
  <c r="E53" i="20" s="1"/>
  <c r="D43" i="19"/>
  <c r="E50" i="20" s="1"/>
  <c r="D31" i="19"/>
  <c r="E38" i="20" s="1"/>
  <c r="D40" i="19"/>
  <c r="E47" i="20" s="1"/>
  <c r="D37" i="19"/>
  <c r="E44" i="20" s="1"/>
  <c r="N20" i="19"/>
  <c r="N48" i="19"/>
  <c r="N58" i="19"/>
  <c r="Q49" i="14"/>
  <c r="AF11" i="16"/>
  <c r="AF7" i="11" s="1" a="1"/>
  <c r="N22" i="19"/>
  <c r="N56" i="19"/>
  <c r="N11" i="19"/>
  <c r="N27" i="19"/>
  <c r="D67" i="19"/>
  <c r="E74" i="20" s="1"/>
  <c r="D66" i="19"/>
  <c r="E73" i="20" s="1"/>
  <c r="D65" i="19"/>
  <c r="E72" i="20" s="1"/>
  <c r="D63" i="19"/>
  <c r="E70" i="20" s="1"/>
  <c r="D59" i="19"/>
  <c r="E66" i="20" s="1"/>
  <c r="D55" i="19"/>
  <c r="E62" i="20" s="1"/>
  <c r="D51" i="19"/>
  <c r="E58" i="20" s="1"/>
  <c r="D62" i="19"/>
  <c r="E69" i="20" s="1"/>
  <c r="D58" i="19"/>
  <c r="E65" i="20" s="1"/>
  <c r="D54" i="19"/>
  <c r="E61" i="20" s="1"/>
  <c r="D50" i="19"/>
  <c r="E57" i="20" s="1"/>
  <c r="D61" i="19"/>
  <c r="E68" i="20" s="1"/>
  <c r="D57" i="19"/>
  <c r="E64" i="20" s="1"/>
  <c r="D53" i="19"/>
  <c r="E60" i="20" s="1"/>
  <c r="D49" i="19"/>
  <c r="E56" i="20" s="1"/>
  <c r="D68" i="19"/>
  <c r="E75" i="20" s="1"/>
  <c r="D64" i="19"/>
  <c r="E71" i="20" s="1"/>
  <c r="D60" i="19"/>
  <c r="E67" i="20" s="1"/>
  <c r="D56" i="19"/>
  <c r="E63" i="20" s="1"/>
  <c r="D52" i="19"/>
  <c r="E59" i="20" s="1"/>
  <c r="D48" i="19"/>
  <c r="E55" i="20" s="1"/>
  <c r="K23" i="19" l="1"/>
  <c r="K19" i="19"/>
  <c r="K15" i="19"/>
  <c r="K11" i="19"/>
  <c r="K26" i="19"/>
  <c r="K22" i="19"/>
  <c r="K18" i="19"/>
  <c r="K14" i="19"/>
  <c r="K10" i="19"/>
  <c r="K25" i="19"/>
  <c r="K21" i="19"/>
  <c r="K17" i="19"/>
  <c r="K13" i="19"/>
  <c r="K9" i="19"/>
  <c r="K20" i="19"/>
  <c r="AG23" i="11"/>
  <c r="AG17" i="11"/>
  <c r="K8" i="19"/>
  <c r="AG27" i="11"/>
  <c r="AG21" i="11"/>
  <c r="AG15" i="11"/>
  <c r="K16" i="19"/>
  <c r="K24" i="19"/>
  <c r="K7" i="19"/>
  <c r="K12" i="19"/>
  <c r="AG14" i="11"/>
  <c r="AG13" i="11"/>
  <c r="AG12" i="11"/>
  <c r="AF7" i="11"/>
  <c r="AG19" i="11"/>
  <c r="AG16" i="11"/>
  <c r="AG11" i="11"/>
  <c r="AG25" i="11"/>
  <c r="AG20" i="11"/>
  <c r="AG10" i="11"/>
  <c r="AG9" i="11"/>
  <c r="AG26" i="11"/>
  <c r="AG18" i="11"/>
  <c r="AG8" i="11"/>
  <c r="AG24" i="11"/>
  <c r="AG22" i="11"/>
  <c r="M4" i="17"/>
  <c r="O4" i="17" s="1"/>
  <c r="N4" i="17"/>
  <c r="P4" i="17" s="1"/>
  <c r="N100" i="17"/>
  <c r="P100" i="17" s="1"/>
  <c r="M100" i="17"/>
  <c r="O100" i="17" s="1"/>
  <c r="AC6" i="19"/>
  <c r="J13" i="20" s="1"/>
  <c r="V7" i="11"/>
  <c r="AE6" i="19" s="1"/>
  <c r="L13" i="20" s="1"/>
  <c r="AD49" i="19"/>
  <c r="K56" i="20" s="1"/>
  <c r="H56" i="11"/>
  <c r="M37" i="17"/>
  <c r="O37" i="17" s="1"/>
  <c r="N37" i="17"/>
  <c r="P37" i="17" s="1"/>
  <c r="N44" i="17"/>
  <c r="P44" i="17" s="1"/>
  <c r="U44" i="17" s="1"/>
  <c r="AC24" i="11" s="1"/>
  <c r="V23" i="19" s="1"/>
  <c r="M44" i="17"/>
  <c r="O44" i="17" s="1"/>
  <c r="N82" i="17"/>
  <c r="P82" i="17" s="1"/>
  <c r="M82" i="17"/>
  <c r="O82" i="17" s="1"/>
  <c r="G12" i="19"/>
  <c r="N31" i="17"/>
  <c r="P31" i="17" s="1"/>
  <c r="M31" i="17"/>
  <c r="O31" i="17" s="1"/>
  <c r="M18" i="17"/>
  <c r="O18" i="17" s="1"/>
  <c r="N18" i="17"/>
  <c r="P18" i="17" s="1"/>
  <c r="U18" i="17" s="1"/>
  <c r="AC13" i="11" s="1"/>
  <c r="V12" i="19" s="1"/>
  <c r="N32" i="17"/>
  <c r="P32" i="17" s="1"/>
  <c r="M32" i="17"/>
  <c r="O32" i="17" s="1"/>
  <c r="N88" i="17"/>
  <c r="P88" i="17" s="1"/>
  <c r="M88" i="17"/>
  <c r="O88" i="17" s="1"/>
  <c r="N105" i="17"/>
  <c r="P105" i="17" s="1"/>
  <c r="M105" i="17"/>
  <c r="O105" i="17" s="1"/>
  <c r="N11" i="17"/>
  <c r="P11" i="17" s="1"/>
  <c r="M11" i="17"/>
  <c r="O11" i="17" s="1"/>
  <c r="R15" i="17"/>
  <c r="B113" i="17"/>
  <c r="G54" i="19"/>
  <c r="AD6" i="19"/>
  <c r="K13" i="20" s="1"/>
  <c r="H7" i="11"/>
  <c r="G56" i="19"/>
  <c r="C20" i="6"/>
  <c r="H18" i="6"/>
  <c r="U6" i="17"/>
  <c r="AC8" i="11" s="1"/>
  <c r="V7" i="19" s="1"/>
  <c r="AD28" i="19"/>
  <c r="K35" i="20" s="1"/>
  <c r="H32" i="11"/>
  <c r="N21" i="17"/>
  <c r="P21" i="17" s="1"/>
  <c r="M21" i="17"/>
  <c r="O21" i="17" s="1"/>
  <c r="G22" i="19"/>
  <c r="N24" i="17"/>
  <c r="P24" i="17" s="1"/>
  <c r="U24" i="17" s="1"/>
  <c r="AC16" i="11" s="1"/>
  <c r="V15" i="19" s="1"/>
  <c r="M24" i="17"/>
  <c r="O24" i="17" s="1"/>
  <c r="N8" i="17"/>
  <c r="P8" i="17" s="1"/>
  <c r="U8" i="17" s="1"/>
  <c r="AC9" i="11" s="1"/>
  <c r="V8" i="19" s="1"/>
  <c r="M8" i="17"/>
  <c r="O8" i="17" s="1"/>
  <c r="N99" i="17"/>
  <c r="P99" i="17" s="1"/>
  <c r="M99" i="17"/>
  <c r="O99" i="17" s="1"/>
  <c r="M14" i="17"/>
  <c r="O14" i="17" s="1"/>
  <c r="N14" i="17"/>
  <c r="P14" i="17" s="1"/>
  <c r="N19" i="17"/>
  <c r="P19" i="17" s="1"/>
  <c r="M19" i="17"/>
  <c r="O19" i="17" s="1"/>
  <c r="N107" i="17"/>
  <c r="P107" i="17" s="1"/>
  <c r="U106" i="17" s="1"/>
  <c r="AC75" i="11" s="1"/>
  <c r="M107" i="17"/>
  <c r="O107" i="17" s="1"/>
  <c r="Q106" i="17" s="1"/>
  <c r="M91" i="17"/>
  <c r="O91" i="17" s="1"/>
  <c r="N91" i="17"/>
  <c r="P91" i="17" s="1"/>
  <c r="AC7" i="19"/>
  <c r="J14" i="20" s="1"/>
  <c r="V8" i="11"/>
  <c r="AE7" i="19" s="1"/>
  <c r="L14" i="20" s="1"/>
  <c r="G53" i="19"/>
  <c r="G11" i="19"/>
  <c r="G24" i="19"/>
  <c r="AC50" i="19"/>
  <c r="J57" i="20" s="1"/>
  <c r="N68" i="17"/>
  <c r="P68" i="17" s="1"/>
  <c r="U68" i="17" s="1"/>
  <c r="AC59" i="11" s="1"/>
  <c r="V52" i="19" s="1"/>
  <c r="M68" i="17"/>
  <c r="O68" i="17" s="1"/>
  <c r="N109" i="17"/>
  <c r="P109" i="17" s="1"/>
  <c r="M109" i="17"/>
  <c r="O109" i="17" s="1"/>
  <c r="N7" i="17"/>
  <c r="P7" i="17" s="1"/>
  <c r="M7" i="17"/>
  <c r="O7" i="17" s="1"/>
  <c r="T6" i="17" s="1"/>
  <c r="AB8" i="11" s="1"/>
  <c r="T7" i="19" s="1"/>
  <c r="AD7" i="19"/>
  <c r="K14" i="20" s="1"/>
  <c r="H8" i="11"/>
  <c r="N58" i="17"/>
  <c r="P58" i="17" s="1"/>
  <c r="U58" i="17" s="1"/>
  <c r="AC55" i="11" s="1"/>
  <c r="V48" i="19" s="1"/>
  <c r="M58" i="17"/>
  <c r="O58" i="17" s="1"/>
  <c r="Y281" i="16"/>
  <c r="AA279" i="16"/>
  <c r="AA112" i="16"/>
  <c r="Y114" i="16"/>
  <c r="M5" i="17"/>
  <c r="O5" i="17" s="1"/>
  <c r="N5" i="17"/>
  <c r="P5" i="17" s="1"/>
  <c r="N95" i="17"/>
  <c r="P95" i="17" s="1"/>
  <c r="M95" i="17"/>
  <c r="O95" i="17" s="1"/>
  <c r="M79" i="17"/>
  <c r="O79" i="17" s="1"/>
  <c r="Q78" i="17" s="1"/>
  <c r="N79" i="17"/>
  <c r="P79" i="17" s="1"/>
  <c r="U78" i="17" s="1"/>
  <c r="AC63" i="11" s="1"/>
  <c r="N104" i="17"/>
  <c r="P104" i="17" s="1"/>
  <c r="M104" i="17"/>
  <c r="O104" i="17" s="1"/>
  <c r="L28" i="19"/>
  <c r="AH32" i="11"/>
  <c r="R28" i="19" s="1"/>
  <c r="H31" i="11"/>
  <c r="I31" i="11" s="1"/>
  <c r="H27" i="19" s="1"/>
  <c r="AD27" i="19"/>
  <c r="K34" i="20" s="1"/>
  <c r="G49" i="19"/>
  <c r="I56" i="11"/>
  <c r="H49" i="19" s="1"/>
  <c r="N47" i="17"/>
  <c r="P47" i="17" s="1"/>
  <c r="M47" i="17"/>
  <c r="O47" i="17" s="1"/>
  <c r="AC27" i="19"/>
  <c r="J34" i="20" s="1"/>
  <c r="V31" i="11"/>
  <c r="AE27" i="19" s="1"/>
  <c r="L34" i="20" s="1"/>
  <c r="Q42" i="17"/>
  <c r="T42" i="17"/>
  <c r="AB23" i="11" s="1"/>
  <c r="T22" i="19" s="1"/>
  <c r="Y92" i="16"/>
  <c r="AA90" i="16"/>
  <c r="N45" i="17"/>
  <c r="P45" i="17" s="1"/>
  <c r="M45" i="17"/>
  <c r="O45" i="17" s="1"/>
  <c r="N76" i="17"/>
  <c r="P76" i="17" s="1"/>
  <c r="M76" i="17"/>
  <c r="O76" i="17" s="1"/>
  <c r="N108" i="17"/>
  <c r="P108" i="17" s="1"/>
  <c r="M108" i="17"/>
  <c r="O108" i="17" s="1"/>
  <c r="N92" i="17"/>
  <c r="P92" i="17" s="1"/>
  <c r="M92" i="17"/>
  <c r="O92" i="17" s="1"/>
  <c r="Y213" i="16"/>
  <c r="AA211" i="16"/>
  <c r="W28" i="19"/>
  <c r="AA245" i="16"/>
  <c r="AC28" i="19"/>
  <c r="J35" i="20" s="1"/>
  <c r="V32" i="11"/>
  <c r="AE28" i="19" s="1"/>
  <c r="L35" i="20" s="1"/>
  <c r="G29" i="19"/>
  <c r="G61" i="19"/>
  <c r="AD48" i="19"/>
  <c r="K55" i="20" s="1"/>
  <c r="H55" i="11"/>
  <c r="G62" i="19"/>
  <c r="G17" i="19"/>
  <c r="AA314" i="16"/>
  <c r="G50" i="19"/>
  <c r="N80" i="17"/>
  <c r="P80" i="17" s="1"/>
  <c r="M80" i="17"/>
  <c r="O80" i="17" s="1"/>
  <c r="K66" i="19"/>
  <c r="K65" i="19"/>
  <c r="K68" i="19"/>
  <c r="K62" i="19"/>
  <c r="K58" i="19"/>
  <c r="K54" i="19"/>
  <c r="K50" i="19"/>
  <c r="K67" i="19"/>
  <c r="K61" i="19"/>
  <c r="K57" i="19"/>
  <c r="K53" i="19"/>
  <c r="K49" i="19"/>
  <c r="K64" i="19"/>
  <c r="K63" i="19"/>
  <c r="K59" i="19"/>
  <c r="K55" i="19"/>
  <c r="K51" i="19"/>
  <c r="K56" i="19"/>
  <c r="K60" i="19"/>
  <c r="K52" i="19"/>
  <c r="AG71" i="11"/>
  <c r="AG65" i="11"/>
  <c r="AG59" i="11"/>
  <c r="AG75" i="11"/>
  <c r="AG69" i="11"/>
  <c r="AG63" i="11"/>
  <c r="AG57" i="11"/>
  <c r="AG74" i="11"/>
  <c r="AG73" i="11"/>
  <c r="AG67" i="11"/>
  <c r="AG61" i="11"/>
  <c r="AG64" i="11"/>
  <c r="AG66" i="11"/>
  <c r="AG72" i="11"/>
  <c r="AG56" i="11"/>
  <c r="AG68" i="11"/>
  <c r="AG58" i="11"/>
  <c r="AG60" i="11"/>
  <c r="AG70" i="11"/>
  <c r="AF55" i="11"/>
  <c r="AG62" i="11"/>
  <c r="N102" i="17"/>
  <c r="P102" i="17" s="1"/>
  <c r="U102" i="17" s="1"/>
  <c r="AC73" i="11" s="1"/>
  <c r="V66" i="19" s="1"/>
  <c r="M102" i="17"/>
  <c r="O102" i="17" s="1"/>
  <c r="M27" i="17"/>
  <c r="O27" i="17" s="1"/>
  <c r="N27" i="17"/>
  <c r="P27" i="17" s="1"/>
  <c r="AC48" i="19"/>
  <c r="J55" i="20" s="1"/>
  <c r="V55" i="11"/>
  <c r="AE48" i="19" s="1"/>
  <c r="L55" i="20" s="1"/>
  <c r="AC8" i="19"/>
  <c r="J15" i="20" s="1"/>
  <c r="M81" i="17"/>
  <c r="O81" i="17" s="1"/>
  <c r="N81" i="17"/>
  <c r="P81" i="17" s="1"/>
  <c r="K27" i="19"/>
  <c r="AG31" i="11"/>
  <c r="AA53" i="16"/>
  <c r="N59" i="17"/>
  <c r="P59" i="17" s="1"/>
  <c r="M59" i="17"/>
  <c r="O59" i="17" s="1"/>
  <c r="M73" i="17"/>
  <c r="O73" i="17" s="1"/>
  <c r="N73" i="17"/>
  <c r="P73" i="17" s="1"/>
  <c r="M94" i="17"/>
  <c r="O94" i="17" s="1"/>
  <c r="N94" i="17"/>
  <c r="P94" i="17" s="1"/>
  <c r="U94" i="17" s="1"/>
  <c r="AC70" i="11" s="1"/>
  <c r="V63" i="19" s="1"/>
  <c r="M97" i="17"/>
  <c r="O97" i="17" s="1"/>
  <c r="N97" i="17"/>
  <c r="P97" i="17" s="1"/>
  <c r="N46" i="17"/>
  <c r="P46" i="17" s="1"/>
  <c r="U46" i="17" s="1"/>
  <c r="AC25" i="11" s="1"/>
  <c r="V24" i="19" s="1"/>
  <c r="M46" i="17"/>
  <c r="O46" i="17" s="1"/>
  <c r="G8" i="19"/>
  <c r="T52" i="17"/>
  <c r="AB27" i="11" s="1"/>
  <c r="T26" i="19" s="1"/>
  <c r="Q52" i="17"/>
  <c r="AA177" i="16"/>
  <c r="M41" i="17"/>
  <c r="O41" i="17" s="1"/>
  <c r="N41" i="17"/>
  <c r="P41" i="17" s="1"/>
  <c r="N98" i="17"/>
  <c r="P98" i="17" s="1"/>
  <c r="M98" i="17"/>
  <c r="O98" i="17" s="1"/>
  <c r="N20" i="17"/>
  <c r="P20" i="17" s="1"/>
  <c r="M20" i="17"/>
  <c r="O20" i="17" s="1"/>
  <c r="G21" i="19"/>
  <c r="N84" i="17"/>
  <c r="P84" i="17" s="1"/>
  <c r="U84" i="17" s="1"/>
  <c r="AC66" i="11" s="1"/>
  <c r="V59" i="19" s="1"/>
  <c r="M84" i="17"/>
  <c r="O84" i="17" s="1"/>
  <c r="N22" i="17"/>
  <c r="P22" i="17" s="1"/>
  <c r="U22" i="17" s="1"/>
  <c r="AC15" i="11" s="1"/>
  <c r="V14" i="19" s="1"/>
  <c r="M22" i="17"/>
  <c r="O22" i="17" s="1"/>
  <c r="M77" i="17"/>
  <c r="O77" i="17" s="1"/>
  <c r="N77" i="17"/>
  <c r="P77" i="17" s="1"/>
  <c r="N69" i="17"/>
  <c r="P69" i="17" s="1"/>
  <c r="M69" i="17"/>
  <c r="O69" i="17" s="1"/>
  <c r="N40" i="17"/>
  <c r="P40" i="17" s="1"/>
  <c r="M40" i="17"/>
  <c r="O40" i="17" s="1"/>
  <c r="M63" i="17"/>
  <c r="O63" i="17" s="1"/>
  <c r="N63" i="17"/>
  <c r="P63" i="17" s="1"/>
  <c r="N103" i="17"/>
  <c r="P103" i="17" s="1"/>
  <c r="M103" i="17"/>
  <c r="O103" i="17" s="1"/>
  <c r="M101" i="17"/>
  <c r="O101" i="17" s="1"/>
  <c r="N101" i="17"/>
  <c r="P101" i="17" s="1"/>
  <c r="N33" i="17"/>
  <c r="P33" i="17" s="1"/>
  <c r="M33" i="17"/>
  <c r="O33" i="17" s="1"/>
  <c r="N93" i="17"/>
  <c r="P93" i="17" s="1"/>
  <c r="M93" i="17"/>
  <c r="O93" i="17" s="1"/>
  <c r="N70" i="17"/>
  <c r="P70" i="17" s="1"/>
  <c r="U70" i="17" s="1"/>
  <c r="AC60" i="11" s="1"/>
  <c r="V53" i="19" s="1"/>
  <c r="M70" i="17"/>
  <c r="O70" i="17" s="1"/>
  <c r="U30" i="17"/>
  <c r="AC18" i="11" s="1"/>
  <c r="V17" i="19" s="1"/>
  <c r="G48" i="19"/>
  <c r="J55" i="11"/>
  <c r="I48" i="19" s="1"/>
  <c r="Z48" i="19" s="1"/>
  <c r="AI48" i="19" s="1"/>
  <c r="AQ48" i="19" s="1"/>
  <c r="I55" i="11"/>
  <c r="H48" i="19" s="1"/>
  <c r="E92" i="11"/>
  <c r="T48" i="17"/>
  <c r="AB26" i="11" s="1"/>
  <c r="T25" i="19" s="1"/>
  <c r="Q48" i="17"/>
  <c r="T16" i="17"/>
  <c r="AB12" i="11" s="1"/>
  <c r="T11" i="19" s="1"/>
  <c r="Q16" i="17"/>
  <c r="G28" i="19"/>
  <c r="I32" i="11"/>
  <c r="H28" i="19" s="1"/>
  <c r="J32" i="11"/>
  <c r="I28" i="19" s="1"/>
  <c r="N67" i="17"/>
  <c r="P67" i="17" s="1"/>
  <c r="U66" i="17" s="1"/>
  <c r="AC58" i="11" s="1"/>
  <c r="M67" i="17"/>
  <c r="O67" i="17" s="1"/>
  <c r="T66" i="17" s="1"/>
  <c r="AB58" i="11" s="1"/>
  <c r="T51" i="19" s="1"/>
  <c r="N28" i="17"/>
  <c r="P28" i="17" s="1"/>
  <c r="U28" i="17" s="1"/>
  <c r="AC17" i="11" s="1"/>
  <c r="V16" i="19" s="1"/>
  <c r="M28" i="17"/>
  <c r="O28" i="17" s="1"/>
  <c r="N55" i="17"/>
  <c r="P55" i="17" s="1"/>
  <c r="M55" i="17"/>
  <c r="O55" i="17" s="1"/>
  <c r="T12" i="17"/>
  <c r="AB11" i="11" s="1"/>
  <c r="T10" i="19" s="1"/>
  <c r="Q12" i="17"/>
  <c r="Y350" i="16"/>
  <c r="AA348" i="16"/>
  <c r="N36" i="17"/>
  <c r="P36" i="17" s="1"/>
  <c r="M36" i="17"/>
  <c r="O36" i="17" s="1"/>
  <c r="M54" i="17"/>
  <c r="O54" i="17" s="1"/>
  <c r="N54" i="17"/>
  <c r="P54" i="17" s="1"/>
  <c r="U54" i="17" s="1"/>
  <c r="AC31" i="11" s="1"/>
  <c r="V27" i="19" s="1"/>
  <c r="N85" i="17"/>
  <c r="P85" i="17" s="1"/>
  <c r="M85" i="17"/>
  <c r="O85" i="17" s="1"/>
  <c r="N83" i="17"/>
  <c r="P83" i="17" s="1"/>
  <c r="M83" i="17"/>
  <c r="O83" i="17" s="1"/>
  <c r="N10" i="17"/>
  <c r="P10" i="17" s="1"/>
  <c r="U10" i="17" s="1"/>
  <c r="AC10" i="11" s="1"/>
  <c r="V9" i="19" s="1"/>
  <c r="M10" i="17"/>
  <c r="O10" i="17" s="1"/>
  <c r="N64" i="17"/>
  <c r="P64" i="17" s="1"/>
  <c r="U64" i="17" s="1"/>
  <c r="AC57" i="11" s="1"/>
  <c r="V50" i="19" s="1"/>
  <c r="M64" i="17"/>
  <c r="O64" i="17" s="1"/>
  <c r="N56" i="17"/>
  <c r="P56" i="17" s="1"/>
  <c r="U56" i="17" s="1"/>
  <c r="AC32" i="11" s="1"/>
  <c r="M56" i="17"/>
  <c r="O56" i="17" s="1"/>
  <c r="N57" i="17"/>
  <c r="P57" i="17" s="1"/>
  <c r="M57" i="17"/>
  <c r="O57" i="17" s="1"/>
  <c r="G23" i="19"/>
  <c r="Z5" i="16"/>
  <c r="U16" i="17"/>
  <c r="AC12" i="11" s="1"/>
  <c r="V11" i="19" s="1"/>
  <c r="X37" i="12"/>
  <c r="X40" i="12" s="1"/>
  <c r="X39" i="12"/>
  <c r="X42" i="12" s="1"/>
  <c r="B20" i="6"/>
  <c r="G66" i="19"/>
  <c r="G18" i="19"/>
  <c r="AC49" i="19"/>
  <c r="J56" i="20" s="1"/>
  <c r="V56" i="11"/>
  <c r="AE49" i="19" s="1"/>
  <c r="L56" i="20" s="1"/>
  <c r="N72" i="17"/>
  <c r="P72" i="17" s="1"/>
  <c r="U72" i="17" s="1"/>
  <c r="AC61" i="11" s="1"/>
  <c r="V54" i="19" s="1"/>
  <c r="M72" i="17"/>
  <c r="O72" i="17" s="1"/>
  <c r="N87" i="17"/>
  <c r="P87" i="17" s="1"/>
  <c r="M87" i="17"/>
  <c r="O87" i="17" s="1"/>
  <c r="N23" i="17"/>
  <c r="P23" i="17" s="1"/>
  <c r="M23" i="17"/>
  <c r="O23" i="17" s="1"/>
  <c r="M50" i="17"/>
  <c r="O50" i="17" s="1"/>
  <c r="N50" i="17"/>
  <c r="P50" i="17" s="1"/>
  <c r="N90" i="17"/>
  <c r="P90" i="17" s="1"/>
  <c r="U90" i="17" s="1"/>
  <c r="AC68" i="11" s="1"/>
  <c r="V61" i="19" s="1"/>
  <c r="M90" i="17"/>
  <c r="O90" i="17" s="1"/>
  <c r="N89" i="17"/>
  <c r="P89" i="17" s="1"/>
  <c r="M89" i="17"/>
  <c r="O89" i="17" s="1"/>
  <c r="N96" i="17"/>
  <c r="P96" i="17" s="1"/>
  <c r="M96" i="17"/>
  <c r="O96" i="17" s="1"/>
  <c r="G65" i="19"/>
  <c r="N60" i="17"/>
  <c r="P60" i="17" s="1"/>
  <c r="U60" i="17" s="1"/>
  <c r="AC56" i="11" s="1"/>
  <c r="V49" i="19" s="1"/>
  <c r="M60" i="17"/>
  <c r="O60" i="17" s="1"/>
  <c r="N43" i="17"/>
  <c r="P43" i="17" s="1"/>
  <c r="U42" i="17" s="1"/>
  <c r="AC23" i="11" s="1"/>
  <c r="M43" i="17"/>
  <c r="O43" i="17" s="1"/>
  <c r="N34" i="17"/>
  <c r="P34" i="17" s="1"/>
  <c r="U34" i="17" s="1"/>
  <c r="AC20" i="11" s="1"/>
  <c r="V19" i="19" s="1"/>
  <c r="M34" i="17"/>
  <c r="O34" i="17" s="1"/>
  <c r="G34" i="19"/>
  <c r="AA5" i="16"/>
  <c r="AA6" i="16" s="1"/>
  <c r="T106" i="17"/>
  <c r="AB75" i="11" s="1"/>
  <c r="T68" i="19" s="1"/>
  <c r="G6" i="19"/>
  <c r="E90" i="11"/>
  <c r="H6" i="19"/>
  <c r="G27" i="19"/>
  <c r="E91" i="11"/>
  <c r="AC29" i="19"/>
  <c r="J36" i="20" s="1"/>
  <c r="N34" i="20" l="1"/>
  <c r="O34" i="20" s="1"/>
  <c r="Z34" i="20"/>
  <c r="AA34" i="20" s="1"/>
  <c r="W34" i="20"/>
  <c r="X34" i="20" s="1"/>
  <c r="V51" i="19"/>
  <c r="V68" i="19"/>
  <c r="V56" i="19"/>
  <c r="V22" i="19"/>
  <c r="T64" i="17"/>
  <c r="AB57" i="11" s="1"/>
  <c r="T50" i="19" s="1"/>
  <c r="Q64" i="17"/>
  <c r="L21" i="19"/>
  <c r="AH22" i="11"/>
  <c r="R21" i="19" s="1"/>
  <c r="R63" i="17"/>
  <c r="Q66" i="17"/>
  <c r="L59" i="19"/>
  <c r="AH66" i="11"/>
  <c r="R59" i="19" s="1"/>
  <c r="L58" i="19"/>
  <c r="AH65" i="11"/>
  <c r="R58" i="19" s="1"/>
  <c r="U80" i="17"/>
  <c r="AC64" i="11" s="1"/>
  <c r="T76" i="17"/>
  <c r="AB62" i="11" s="1"/>
  <c r="T55" i="19" s="1"/>
  <c r="Q76" i="17"/>
  <c r="AF35" i="20"/>
  <c r="AG35" i="20" s="1"/>
  <c r="X28" i="19"/>
  <c r="AK28" i="19" s="1"/>
  <c r="AU28" i="19" s="1"/>
  <c r="AZ28" i="19" s="1"/>
  <c r="H19" i="6"/>
  <c r="C21" i="6"/>
  <c r="AF49" i="19"/>
  <c r="M56" i="20" s="1"/>
  <c r="W56" i="11"/>
  <c r="X56" i="11"/>
  <c r="Y56" i="11"/>
  <c r="L9" i="19"/>
  <c r="AH10" i="11"/>
  <c r="R9" i="19" s="1"/>
  <c r="L11" i="19"/>
  <c r="AH12" i="11"/>
  <c r="R11" i="19" s="1"/>
  <c r="L26" i="19"/>
  <c r="AH27" i="11"/>
  <c r="N55" i="20"/>
  <c r="O55" i="20" s="1"/>
  <c r="Z55" i="20"/>
  <c r="AA55" i="20" s="1"/>
  <c r="AF27" i="19"/>
  <c r="M34" i="20" s="1"/>
  <c r="W31" i="11"/>
  <c r="Y31" i="11"/>
  <c r="K6" i="19"/>
  <c r="AG7" i="11"/>
  <c r="AB71" i="11"/>
  <c r="T64" i="19" s="1"/>
  <c r="T96" i="17"/>
  <c r="Q96" i="17"/>
  <c r="AC71" i="11"/>
  <c r="U96" i="17"/>
  <c r="J31" i="11"/>
  <c r="I27" i="19" s="1"/>
  <c r="T72" i="17"/>
  <c r="AB61" i="11" s="1"/>
  <c r="T54" i="19" s="1"/>
  <c r="Q72" i="17"/>
  <c r="T10" i="17"/>
  <c r="AB10" i="11" s="1"/>
  <c r="T9" i="19" s="1"/>
  <c r="Q10" i="17"/>
  <c r="Y28" i="19"/>
  <c r="AH28" i="19" s="1"/>
  <c r="AO28" i="19" s="1"/>
  <c r="Z28" i="19"/>
  <c r="AI28" i="19" s="1"/>
  <c r="AQ28" i="19" s="1"/>
  <c r="T70" i="17"/>
  <c r="AB60" i="11" s="1"/>
  <c r="T53" i="19" s="1"/>
  <c r="Q70" i="17"/>
  <c r="T40" i="17"/>
  <c r="AB22" i="11" s="1"/>
  <c r="T21" i="19" s="1"/>
  <c r="Q40" i="17"/>
  <c r="T84" i="17"/>
  <c r="AB66" i="11" s="1"/>
  <c r="T59" i="19" s="1"/>
  <c r="Q84" i="17"/>
  <c r="T94" i="17"/>
  <c r="AB70" i="11" s="1"/>
  <c r="T63" i="19" s="1"/>
  <c r="Q94" i="17"/>
  <c r="K48" i="19"/>
  <c r="W48" i="19" s="1"/>
  <c r="AG55" i="11"/>
  <c r="L57" i="19"/>
  <c r="AH64" i="11"/>
  <c r="R57" i="19" s="1"/>
  <c r="L50" i="19"/>
  <c r="AH57" i="11"/>
  <c r="AI70" i="11"/>
  <c r="AF48" i="19"/>
  <c r="M55" i="20" s="1"/>
  <c r="Y55" i="11"/>
  <c r="W55" i="11"/>
  <c r="U76" i="17"/>
  <c r="AC62" i="11" s="1"/>
  <c r="T104" i="17"/>
  <c r="AB74" i="11" s="1"/>
  <c r="T67" i="19" s="1"/>
  <c r="Q104" i="17"/>
  <c r="T58" i="17"/>
  <c r="AB55" i="11" s="1"/>
  <c r="T48" i="19" s="1"/>
  <c r="Q58" i="17"/>
  <c r="R109" i="17"/>
  <c r="L23" i="19"/>
  <c r="AH24" i="11"/>
  <c r="R23" i="19" s="1"/>
  <c r="L19" i="19"/>
  <c r="AH20" i="11"/>
  <c r="L12" i="19"/>
  <c r="AH13" i="11"/>
  <c r="R12" i="19" s="1"/>
  <c r="W27" i="19"/>
  <c r="L49" i="19"/>
  <c r="AH56" i="11"/>
  <c r="R49" i="19" s="1"/>
  <c r="L52" i="19"/>
  <c r="AH59" i="11"/>
  <c r="R52" i="19" s="1"/>
  <c r="R87" i="17"/>
  <c r="T22" i="17"/>
  <c r="AB15" i="11" s="1"/>
  <c r="T14" i="19" s="1"/>
  <c r="Q22" i="17"/>
  <c r="L55" i="19"/>
  <c r="AH62" i="11"/>
  <c r="R55" i="19" s="1"/>
  <c r="L65" i="19"/>
  <c r="AH72" i="11"/>
  <c r="R65" i="19" s="1"/>
  <c r="AC35" i="20"/>
  <c r="AD35" i="20" s="1"/>
  <c r="AA28" i="19"/>
  <c r="AJ28" i="19" s="1"/>
  <c r="AS28" i="19" s="1"/>
  <c r="AY28" i="19" s="1"/>
  <c r="AK32" i="11" s="1"/>
  <c r="L63" i="19"/>
  <c r="AH70" i="11"/>
  <c r="R63" i="19" s="1"/>
  <c r="U104" i="17"/>
  <c r="AC74" i="11" s="1"/>
  <c r="AB48" i="19"/>
  <c r="L24" i="19"/>
  <c r="AH25" i="11"/>
  <c r="R24" i="19" s="1"/>
  <c r="L13" i="19"/>
  <c r="AH14" i="11"/>
  <c r="R13" i="19" s="1"/>
  <c r="AF7" i="19"/>
  <c r="M14" i="20" s="1"/>
  <c r="X8" i="11"/>
  <c r="W8" i="11"/>
  <c r="Y8" i="11"/>
  <c r="J8" i="11"/>
  <c r="I7" i="19" s="1"/>
  <c r="AB7" i="19" s="1"/>
  <c r="I8" i="11"/>
  <c r="H7" i="19" s="1"/>
  <c r="L18" i="19"/>
  <c r="AH19" i="11"/>
  <c r="R18" i="19" s="1"/>
  <c r="AC21" i="11"/>
  <c r="U36" i="17"/>
  <c r="L67" i="19"/>
  <c r="AH74" i="11"/>
  <c r="R67" i="19" s="1"/>
  <c r="Q80" i="17"/>
  <c r="T80" i="17"/>
  <c r="AB64" i="11" s="1"/>
  <c r="T57" i="19" s="1"/>
  <c r="N35" i="20"/>
  <c r="O35" i="20" s="1"/>
  <c r="W35" i="20"/>
  <c r="X35" i="20" s="1"/>
  <c r="Z35" i="20"/>
  <c r="AA35" i="20" s="1"/>
  <c r="T90" i="17"/>
  <c r="AB68" i="11" s="1"/>
  <c r="T61" i="19" s="1"/>
  <c r="Q90" i="17"/>
  <c r="Z6" i="16"/>
  <c r="AB5" i="16"/>
  <c r="AB6" i="16" s="1"/>
  <c r="Q6" i="17"/>
  <c r="L53" i="19"/>
  <c r="AH60" i="11"/>
  <c r="R53" i="19" s="1"/>
  <c r="AI59" i="11"/>
  <c r="L56" i="19"/>
  <c r="AH63" i="11"/>
  <c r="R56" i="19" s="1"/>
  <c r="R39" i="17"/>
  <c r="T68" i="17"/>
  <c r="AB59" i="11" s="1"/>
  <c r="T52" i="19" s="1"/>
  <c r="Q68" i="17"/>
  <c r="Y48" i="19"/>
  <c r="AH48" i="19" s="1"/>
  <c r="AO48" i="19" s="1"/>
  <c r="AI24" i="11"/>
  <c r="L16" i="19"/>
  <c r="AH17" i="11"/>
  <c r="R16" i="19" s="1"/>
  <c r="T100" i="17"/>
  <c r="AB72" i="11" s="1"/>
  <c r="T65" i="19" s="1"/>
  <c r="Q100" i="17"/>
  <c r="L7" i="19"/>
  <c r="AH8" i="11"/>
  <c r="AI10" i="11"/>
  <c r="W7" i="19"/>
  <c r="Q18" i="17"/>
  <c r="T18" i="17"/>
  <c r="AB13" i="11" s="1"/>
  <c r="T12" i="19" s="1"/>
  <c r="T30" i="17"/>
  <c r="AB18" i="11" s="1"/>
  <c r="T17" i="19" s="1"/>
  <c r="Q30" i="17"/>
  <c r="R51" i="17"/>
  <c r="W55" i="20"/>
  <c r="X55" i="20" s="1"/>
  <c r="AF6" i="19"/>
  <c r="M13" i="20" s="1"/>
  <c r="Y7" i="11"/>
  <c r="W7" i="11"/>
  <c r="I6" i="19"/>
  <c r="L51" i="19"/>
  <c r="AH58" i="11"/>
  <c r="R51" i="19" s="1"/>
  <c r="L54" i="19"/>
  <c r="AH61" i="11"/>
  <c r="L62" i="19"/>
  <c r="AH69" i="11"/>
  <c r="R62" i="19" s="1"/>
  <c r="AF28" i="19"/>
  <c r="M35" i="20" s="1"/>
  <c r="Y32" i="11"/>
  <c r="X32" i="11"/>
  <c r="W32" i="11"/>
  <c r="T88" i="17"/>
  <c r="AB67" i="11" s="1"/>
  <c r="T60" i="19" s="1"/>
  <c r="Q88" i="17"/>
  <c r="U100" i="17"/>
  <c r="AC72" i="11" s="1"/>
  <c r="L17" i="19"/>
  <c r="AH18" i="11"/>
  <c r="R17" i="19" s="1"/>
  <c r="L10" i="19"/>
  <c r="AH11" i="11"/>
  <c r="L22" i="19"/>
  <c r="AH23" i="11"/>
  <c r="R22" i="19" s="1"/>
  <c r="AB21" i="11"/>
  <c r="T20" i="19" s="1"/>
  <c r="T36" i="17"/>
  <c r="Q36" i="17"/>
  <c r="L66" i="19"/>
  <c r="AH73" i="11"/>
  <c r="R66" i="19" s="1"/>
  <c r="V28" i="19"/>
  <c r="AB28" i="19" s="1"/>
  <c r="AI32" i="11"/>
  <c r="R99" i="17"/>
  <c r="T60" i="17"/>
  <c r="AB56" i="11" s="1"/>
  <c r="T49" i="19" s="1"/>
  <c r="Q60" i="17"/>
  <c r="T20" i="17"/>
  <c r="AB14" i="11" s="1"/>
  <c r="T13" i="19" s="1"/>
  <c r="Q20" i="17"/>
  <c r="AI66" i="11"/>
  <c r="R75" i="17"/>
  <c r="N56" i="20"/>
  <c r="O56" i="20" s="1"/>
  <c r="Z56" i="20"/>
  <c r="AA56" i="20" s="1"/>
  <c r="W56" i="20"/>
  <c r="X56" i="20" s="1"/>
  <c r="T8" i="17"/>
  <c r="AB9" i="11" s="1"/>
  <c r="T8" i="19" s="1"/>
  <c r="Q8" i="17"/>
  <c r="U88" i="17"/>
  <c r="AC67" i="11" s="1"/>
  <c r="Q82" i="17"/>
  <c r="T82" i="17"/>
  <c r="AB65" i="11" s="1"/>
  <c r="T58" i="19" s="1"/>
  <c r="U4" i="17"/>
  <c r="AC7" i="11" s="1"/>
  <c r="V6" i="19" s="1"/>
  <c r="AB6" i="19" s="1"/>
  <c r="L15" i="19"/>
  <c r="AH16" i="11"/>
  <c r="R15" i="19" s="1"/>
  <c r="L20" i="19"/>
  <c r="AH21" i="11"/>
  <c r="R20" i="19" s="1"/>
  <c r="U57" i="11"/>
  <c r="T34" i="11"/>
  <c r="U33" i="11"/>
  <c r="T10" i="11"/>
  <c r="U9" i="11"/>
  <c r="T58" i="11"/>
  <c r="B21" i="6"/>
  <c r="G19" i="6"/>
  <c r="W49" i="19"/>
  <c r="A113" i="17"/>
  <c r="C119" i="17" s="1"/>
  <c r="T34" i="17"/>
  <c r="AB20" i="11" s="1"/>
  <c r="T19" i="19" s="1"/>
  <c r="Q34" i="17"/>
  <c r="AI60" i="11"/>
  <c r="AB27" i="19"/>
  <c r="U20" i="17"/>
  <c r="AC14" i="11" s="1"/>
  <c r="L27" i="19"/>
  <c r="AH31" i="11"/>
  <c r="R27" i="19" s="1"/>
  <c r="R27" i="17"/>
  <c r="L61" i="19"/>
  <c r="AH68" i="11"/>
  <c r="R61" i="19" s="1"/>
  <c r="L60" i="19"/>
  <c r="AH67" i="11"/>
  <c r="R60" i="19" s="1"/>
  <c r="L68" i="19"/>
  <c r="AH75" i="11"/>
  <c r="R68" i="19" s="1"/>
  <c r="Q92" i="17"/>
  <c r="T92" i="17"/>
  <c r="AB69" i="11" s="1"/>
  <c r="T62" i="19" s="1"/>
  <c r="J56" i="11"/>
  <c r="I49" i="19" s="1"/>
  <c r="AB49" i="19" s="1"/>
  <c r="T78" i="17"/>
  <c r="AB63" i="11" s="1"/>
  <c r="T56" i="19" s="1"/>
  <c r="T32" i="17"/>
  <c r="AB19" i="11" s="1"/>
  <c r="T18" i="19" s="1"/>
  <c r="Q32" i="17"/>
  <c r="U82" i="17"/>
  <c r="AC65" i="11" s="1"/>
  <c r="T4" i="17"/>
  <c r="AB7" i="11" s="1"/>
  <c r="T6" i="19" s="1"/>
  <c r="Q4" i="17"/>
  <c r="AI17" i="11"/>
  <c r="T56" i="17"/>
  <c r="AB32" i="11" s="1"/>
  <c r="T28" i="19" s="1"/>
  <c r="Q56" i="17"/>
  <c r="L8" i="19"/>
  <c r="AH9" i="11"/>
  <c r="U40" i="17"/>
  <c r="AC22" i="11" s="1"/>
  <c r="L64" i="19"/>
  <c r="AH71" i="11"/>
  <c r="R64" i="19" s="1"/>
  <c r="N13" i="20"/>
  <c r="O13" i="20" s="1"/>
  <c r="W13" i="20"/>
  <c r="X13" i="20" s="1"/>
  <c r="Z13" i="20"/>
  <c r="AA13" i="20" s="1"/>
  <c r="Q54" i="17"/>
  <c r="T54" i="17"/>
  <c r="AB31" i="11" s="1"/>
  <c r="T27" i="19" s="1"/>
  <c r="T28" i="17"/>
  <c r="AB17" i="11" s="1"/>
  <c r="T16" i="19" s="1"/>
  <c r="Q28" i="17"/>
  <c r="T46" i="17"/>
  <c r="AB25" i="11" s="1"/>
  <c r="T24" i="19" s="1"/>
  <c r="Q46" i="17"/>
  <c r="AI31" i="11"/>
  <c r="Q102" i="17"/>
  <c r="T102" i="17"/>
  <c r="AB73" i="11" s="1"/>
  <c r="T66" i="19" s="1"/>
  <c r="U92" i="17"/>
  <c r="AC69" i="11" s="1"/>
  <c r="T24" i="17"/>
  <c r="AB16" i="11" s="1"/>
  <c r="T15" i="19" s="1"/>
  <c r="Q24" i="17"/>
  <c r="U32" i="17"/>
  <c r="AC19" i="11" s="1"/>
  <c r="T44" i="17"/>
  <c r="AB24" i="11" s="1"/>
  <c r="T23" i="19" s="1"/>
  <c r="Q44" i="17"/>
  <c r="AI12" i="11"/>
  <c r="L25" i="19"/>
  <c r="AH26" i="11"/>
  <c r="L14" i="19"/>
  <c r="AH15" i="11"/>
  <c r="R25" i="19" l="1"/>
  <c r="AI26" i="11"/>
  <c r="U34" i="11"/>
  <c r="T59" i="11"/>
  <c r="U58" i="11"/>
  <c r="T35" i="11"/>
  <c r="T11" i="11"/>
  <c r="U10" i="11"/>
  <c r="G20" i="6"/>
  <c r="B22" i="6"/>
  <c r="AI68" i="11"/>
  <c r="N14" i="20"/>
  <c r="O14" i="20" s="1"/>
  <c r="W14" i="20"/>
  <c r="X14" i="20" s="1"/>
  <c r="Z14" i="20"/>
  <c r="AA14" i="20" s="1"/>
  <c r="AI55" i="20"/>
  <c r="AJ55" i="20" s="1"/>
  <c r="AG48" i="19"/>
  <c r="AL48" i="19" s="1"/>
  <c r="AW48" i="19" s="1"/>
  <c r="AI56" i="11"/>
  <c r="AI75" i="11"/>
  <c r="AF56" i="20"/>
  <c r="AG56" i="20" s="1"/>
  <c r="X49" i="19"/>
  <c r="AK49" i="19" s="1"/>
  <c r="AU49" i="19" s="1"/>
  <c r="R50" i="19"/>
  <c r="AI57" i="11"/>
  <c r="V65" i="19"/>
  <c r="AI72" i="11"/>
  <c r="AI13" i="20"/>
  <c r="AJ13" i="20" s="1"/>
  <c r="AG6" i="19"/>
  <c r="AL6" i="19" s="1"/>
  <c r="AW6" i="19" s="1"/>
  <c r="AC51" i="19"/>
  <c r="J58" i="20" s="1"/>
  <c r="V58" i="11"/>
  <c r="AE51" i="19" s="1"/>
  <c r="L58" i="20" s="1"/>
  <c r="Y7" i="19"/>
  <c r="AH7" i="19" s="1"/>
  <c r="AO7" i="19" s="1"/>
  <c r="Z7" i="19"/>
  <c r="AI7" i="19" s="1"/>
  <c r="AQ7" i="19" s="1"/>
  <c r="L6" i="19"/>
  <c r="AH7" i="11"/>
  <c r="R6" i="19" s="1"/>
  <c r="V58" i="19"/>
  <c r="AI65" i="11"/>
  <c r="AD8" i="19"/>
  <c r="K15" i="20" s="1"/>
  <c r="H9" i="11"/>
  <c r="V9" i="11"/>
  <c r="AE8" i="19" s="1"/>
  <c r="L15" i="20" s="1"/>
  <c r="AI18" i="11"/>
  <c r="V67" i="19"/>
  <c r="AI74" i="11"/>
  <c r="AI7" i="11"/>
  <c r="R26" i="19"/>
  <c r="AI27" i="11"/>
  <c r="C22" i="6"/>
  <c r="H20" i="6"/>
  <c r="AI58" i="11"/>
  <c r="AF34" i="20"/>
  <c r="AG34" i="20" s="1"/>
  <c r="X27" i="19"/>
  <c r="AK27" i="19" s="1"/>
  <c r="AU27" i="19" s="1"/>
  <c r="AC56" i="20"/>
  <c r="AD56" i="20" s="1"/>
  <c r="AA49" i="19"/>
  <c r="AJ49" i="19" s="1"/>
  <c r="AS49" i="19" s="1"/>
  <c r="V64" i="19"/>
  <c r="AI71" i="11"/>
  <c r="V13" i="19"/>
  <c r="AI14" i="11"/>
  <c r="R54" i="19"/>
  <c r="AI61" i="11"/>
  <c r="R8" i="19"/>
  <c r="AI9" i="11"/>
  <c r="V55" i="19"/>
  <c r="AI62" i="11"/>
  <c r="L48" i="19"/>
  <c r="AH55" i="11"/>
  <c r="W6" i="19"/>
  <c r="C115" i="17"/>
  <c r="C116" i="17"/>
  <c r="C118" i="17"/>
  <c r="C113" i="17"/>
  <c r="V20" i="19"/>
  <c r="AI21" i="11"/>
  <c r="X57" i="11"/>
  <c r="V18" i="19"/>
  <c r="AI19" i="11"/>
  <c r="X9" i="11"/>
  <c r="V62" i="19"/>
  <c r="AI69" i="11"/>
  <c r="AC30" i="19"/>
  <c r="J37" i="20" s="1"/>
  <c r="V34" i="11"/>
  <c r="AE30" i="19" s="1"/>
  <c r="L37" i="20" s="1"/>
  <c r="R19" i="19"/>
  <c r="AI20" i="11"/>
  <c r="AF14" i="20"/>
  <c r="AG14" i="20" s="1"/>
  <c r="X7" i="19"/>
  <c r="AK7" i="19" s="1"/>
  <c r="AU7" i="19" s="1"/>
  <c r="AZ7" i="19" s="1"/>
  <c r="AD50" i="19"/>
  <c r="K57" i="20" s="1"/>
  <c r="H57" i="11"/>
  <c r="V57" i="11"/>
  <c r="AE50" i="19" s="1"/>
  <c r="L57" i="20" s="1"/>
  <c r="V60" i="19"/>
  <c r="AI67" i="11"/>
  <c r="AI23" i="11"/>
  <c r="V21" i="19"/>
  <c r="AI22" i="11"/>
  <c r="AC9" i="19"/>
  <c r="J16" i="20" s="1"/>
  <c r="V10" i="11"/>
  <c r="AE9" i="19" s="1"/>
  <c r="L16" i="20" s="1"/>
  <c r="Y49" i="19"/>
  <c r="AH49" i="19" s="1"/>
  <c r="AO49" i="19" s="1"/>
  <c r="Z49" i="19"/>
  <c r="AI49" i="19" s="1"/>
  <c r="AQ49" i="19" s="1"/>
  <c r="AI56" i="20"/>
  <c r="AJ56" i="20" s="1"/>
  <c r="AG49" i="19"/>
  <c r="AL49" i="19" s="1"/>
  <c r="AW49" i="19" s="1"/>
  <c r="R10" i="19"/>
  <c r="AI11" i="11"/>
  <c r="AI73" i="11"/>
  <c r="Z27" i="19"/>
  <c r="AI27" i="19" s="1"/>
  <c r="AQ27" i="19" s="1"/>
  <c r="Y27" i="19"/>
  <c r="AH27" i="19" s="1"/>
  <c r="AO27" i="19" s="1"/>
  <c r="C117" i="17"/>
  <c r="AG7" i="19"/>
  <c r="AL7" i="19" s="1"/>
  <c r="AW7" i="19" s="1"/>
  <c r="C121" i="17"/>
  <c r="AI34" i="20"/>
  <c r="AJ34" i="20" s="1"/>
  <c r="AG27" i="19"/>
  <c r="AL27" i="19" s="1"/>
  <c r="AW27" i="19" s="1"/>
  <c r="AD29" i="19"/>
  <c r="K36" i="20" s="1"/>
  <c r="H33" i="11"/>
  <c r="V33" i="11"/>
  <c r="AE29" i="19" s="1"/>
  <c r="L36" i="20" s="1"/>
  <c r="Z6" i="19"/>
  <c r="AI6" i="19" s="1"/>
  <c r="AQ6" i="19" s="1"/>
  <c r="Y6" i="19"/>
  <c r="AH6" i="19" s="1"/>
  <c r="AO6" i="19" s="1"/>
  <c r="R14" i="19"/>
  <c r="AI15" i="11"/>
  <c r="C114" i="17"/>
  <c r="AI25" i="11"/>
  <c r="AI35" i="20"/>
  <c r="AJ35" i="20" s="1"/>
  <c r="AG28" i="19"/>
  <c r="AL28" i="19" s="1"/>
  <c r="AW28" i="19" s="1"/>
  <c r="AC34" i="20"/>
  <c r="AD34" i="20" s="1"/>
  <c r="AA27" i="19"/>
  <c r="AJ27" i="19" s="1"/>
  <c r="AS27" i="19" s="1"/>
  <c r="AY27" i="19" s="1"/>
  <c r="AK31" i="11" s="1"/>
  <c r="C120" i="17"/>
  <c r="R7" i="19"/>
  <c r="AI8" i="11"/>
  <c r="AI16" i="11"/>
  <c r="AI13" i="11"/>
  <c r="V57" i="19"/>
  <c r="AI64" i="11"/>
  <c r="AI63" i="11"/>
  <c r="AI14" i="20"/>
  <c r="AJ14" i="20" s="1"/>
  <c r="U59" i="11" l="1"/>
  <c r="T36" i="11"/>
  <c r="U35" i="11"/>
  <c r="T12" i="11"/>
  <c r="U11" i="11"/>
  <c r="T60" i="11"/>
  <c r="B23" i="6"/>
  <c r="G21" i="6"/>
  <c r="AY49" i="19"/>
  <c r="AK56" i="11" s="1"/>
  <c r="C23" i="6"/>
  <c r="H21" i="6"/>
  <c r="AD9" i="19"/>
  <c r="K16" i="20" s="1"/>
  <c r="H10" i="11"/>
  <c r="AF29" i="19"/>
  <c r="M36" i="20" s="1"/>
  <c r="W33" i="11"/>
  <c r="Y33" i="11"/>
  <c r="J33" i="11"/>
  <c r="I29" i="19" s="1"/>
  <c r="I33" i="11"/>
  <c r="H29" i="19" s="1"/>
  <c r="N36" i="20" s="1"/>
  <c r="O36" i="20" s="1"/>
  <c r="X58" i="11"/>
  <c r="AC10" i="19"/>
  <c r="J17" i="20" s="1"/>
  <c r="V11" i="11"/>
  <c r="AE10" i="19" s="1"/>
  <c r="L17" i="20" s="1"/>
  <c r="AC31" i="19"/>
  <c r="J38" i="20" s="1"/>
  <c r="V35" i="11"/>
  <c r="AE31" i="19" s="1"/>
  <c r="L38" i="20" s="1"/>
  <c r="AC14" i="20"/>
  <c r="AD14" i="20" s="1"/>
  <c r="AA7" i="19"/>
  <c r="AJ7" i="19" s="1"/>
  <c r="AS7" i="19" s="1"/>
  <c r="AY7" i="19" s="1"/>
  <c r="AK8" i="11" s="1"/>
  <c r="R48" i="19"/>
  <c r="AI55" i="11"/>
  <c r="X33" i="11"/>
  <c r="AZ27" i="19"/>
  <c r="AF8" i="19"/>
  <c r="M15" i="20" s="1"/>
  <c r="Y9" i="11"/>
  <c r="W9" i="11"/>
  <c r="J9" i="11"/>
  <c r="I8" i="19" s="1"/>
  <c r="I9" i="11"/>
  <c r="H8" i="19" s="1"/>
  <c r="AC15" i="20" s="1"/>
  <c r="AD15" i="20" s="1"/>
  <c r="AD51" i="19"/>
  <c r="K58" i="20" s="1"/>
  <c r="H58" i="11"/>
  <c r="AF55" i="20"/>
  <c r="AG55" i="20" s="1"/>
  <c r="X48" i="19"/>
  <c r="AK48" i="19" s="1"/>
  <c r="AU48" i="19" s="1"/>
  <c r="AZ48" i="19" s="1"/>
  <c r="AC52" i="19"/>
  <c r="J59" i="20" s="1"/>
  <c r="V59" i="11"/>
  <c r="AE52" i="19" s="1"/>
  <c r="L59" i="20" s="1"/>
  <c r="AF50" i="19"/>
  <c r="M57" i="20" s="1"/>
  <c r="Y57" i="11"/>
  <c r="W57" i="11"/>
  <c r="J57" i="11"/>
  <c r="I50" i="19" s="1"/>
  <c r="I57" i="11"/>
  <c r="H50" i="19" s="1"/>
  <c r="AC57" i="20" s="1"/>
  <c r="AD57" i="20" s="1"/>
  <c r="AA50" i="19"/>
  <c r="AJ50" i="19" s="1"/>
  <c r="AS50" i="19" s="1"/>
  <c r="AD30" i="19"/>
  <c r="K37" i="20" s="1"/>
  <c r="H34" i="11"/>
  <c r="AC13" i="20"/>
  <c r="AD13" i="20" s="1"/>
  <c r="AA6" i="19"/>
  <c r="AJ6" i="19" s="1"/>
  <c r="AS6" i="19" s="1"/>
  <c r="AY6" i="19" s="1"/>
  <c r="AK7" i="11" s="1"/>
  <c r="AZ49" i="19"/>
  <c r="AF13" i="20"/>
  <c r="AG13" i="20" s="1"/>
  <c r="X6" i="19"/>
  <c r="AK6" i="19" s="1"/>
  <c r="AU6" i="19" s="1"/>
  <c r="AZ6" i="19" s="1"/>
  <c r="T61" i="11" l="1"/>
  <c r="T37" i="11"/>
  <c r="U36" i="11"/>
  <c r="T13" i="11"/>
  <c r="U12" i="11"/>
  <c r="U60" i="11"/>
  <c r="B24" i="6"/>
  <c r="G22" i="6"/>
  <c r="AC53" i="19"/>
  <c r="J60" i="20" s="1"/>
  <c r="V60" i="11"/>
  <c r="AE53" i="19" s="1"/>
  <c r="L60" i="20" s="1"/>
  <c r="AF9" i="19"/>
  <c r="M16" i="20" s="1"/>
  <c r="W10" i="11"/>
  <c r="J10" i="11"/>
  <c r="I9" i="19" s="1"/>
  <c r="Y10" i="11"/>
  <c r="I10" i="11"/>
  <c r="H9" i="19" s="1"/>
  <c r="AD10" i="19"/>
  <c r="K17" i="20" s="1"/>
  <c r="H11" i="11"/>
  <c r="AF30" i="19"/>
  <c r="M37" i="20" s="1"/>
  <c r="W34" i="11"/>
  <c r="Y34" i="11"/>
  <c r="J34" i="11"/>
  <c r="I30" i="19" s="1"/>
  <c r="I34" i="11"/>
  <c r="H30" i="19" s="1"/>
  <c r="N37" i="20" s="1"/>
  <c r="O37" i="20" s="1"/>
  <c r="Z8" i="19"/>
  <c r="AI8" i="19" s="1"/>
  <c r="AQ8" i="19" s="1"/>
  <c r="Y8" i="19"/>
  <c r="AH8" i="19" s="1"/>
  <c r="AO8" i="19" s="1"/>
  <c r="AB8" i="19"/>
  <c r="W8" i="19"/>
  <c r="AG8" i="19"/>
  <c r="AL8" i="19" s="1"/>
  <c r="AW8" i="19" s="1"/>
  <c r="X8" i="19"/>
  <c r="AK8" i="19" s="1"/>
  <c r="AU8" i="19" s="1"/>
  <c r="AC11" i="19"/>
  <c r="J18" i="20" s="1"/>
  <c r="V12" i="11"/>
  <c r="AE11" i="19" s="1"/>
  <c r="L18" i="20" s="1"/>
  <c r="AA8" i="19"/>
  <c r="AJ8" i="19" s="1"/>
  <c r="AS8" i="19" s="1"/>
  <c r="AY8" i="19" s="1"/>
  <c r="AK9" i="11" s="1"/>
  <c r="X10" i="11"/>
  <c r="X11" i="11" s="1"/>
  <c r="AD31" i="19"/>
  <c r="K38" i="20" s="1"/>
  <c r="H35" i="11"/>
  <c r="AC32" i="19"/>
  <c r="J39" i="20" s="1"/>
  <c r="V36" i="11"/>
  <c r="AE32" i="19" s="1"/>
  <c r="L39" i="20" s="1"/>
  <c r="N57" i="20"/>
  <c r="O57" i="20" s="1"/>
  <c r="Z57" i="20"/>
  <c r="AA57" i="20" s="1"/>
  <c r="W57" i="20"/>
  <c r="X57" i="20" s="1"/>
  <c r="AI57" i="20"/>
  <c r="AJ57" i="20" s="1"/>
  <c r="AF57" i="20"/>
  <c r="AG57" i="20" s="1"/>
  <c r="AF51" i="19"/>
  <c r="M58" i="20" s="1"/>
  <c r="W58" i="11"/>
  <c r="Y58" i="11"/>
  <c r="J58" i="11"/>
  <c r="I51" i="19" s="1"/>
  <c r="I58" i="11"/>
  <c r="H51" i="19" s="1"/>
  <c r="X34" i="11"/>
  <c r="Z50" i="19"/>
  <c r="AI50" i="19" s="1"/>
  <c r="AQ50" i="19" s="1"/>
  <c r="Y50" i="19"/>
  <c r="AH50" i="19" s="1"/>
  <c r="AO50" i="19" s="1"/>
  <c r="W50" i="19"/>
  <c r="AB50" i="19"/>
  <c r="AG50" i="19"/>
  <c r="AL50" i="19" s="1"/>
  <c r="AW50" i="19" s="1"/>
  <c r="X50" i="19"/>
  <c r="AK50" i="19" s="1"/>
  <c r="AU50" i="19" s="1"/>
  <c r="AD52" i="19"/>
  <c r="K59" i="20" s="1"/>
  <c r="H59" i="11"/>
  <c r="AC55" i="20"/>
  <c r="AD55" i="20" s="1"/>
  <c r="AA48" i="19"/>
  <c r="AJ48" i="19" s="1"/>
  <c r="AS48" i="19" s="1"/>
  <c r="AY48" i="19" s="1"/>
  <c r="AK55" i="11" s="1"/>
  <c r="AY50" i="19"/>
  <c r="AK57" i="11" s="1"/>
  <c r="C24" i="6"/>
  <c r="H22" i="6"/>
  <c r="N15" i="20"/>
  <c r="O15" i="20" s="1"/>
  <c r="Z15" i="20"/>
  <c r="AA15" i="20" s="1"/>
  <c r="W15" i="20"/>
  <c r="X15" i="20" s="1"/>
  <c r="AI15" i="20"/>
  <c r="AJ15" i="20" s="1"/>
  <c r="AF15" i="20"/>
  <c r="AG15" i="20" s="1"/>
  <c r="U61" i="11" l="1"/>
  <c r="T38" i="11"/>
  <c r="U37" i="11"/>
  <c r="T62" i="11"/>
  <c r="U13" i="11"/>
  <c r="T14" i="11"/>
  <c r="G23" i="6"/>
  <c r="B25" i="6"/>
  <c r="AD53" i="19"/>
  <c r="K60" i="20" s="1"/>
  <c r="H60" i="11"/>
  <c r="AF10" i="19"/>
  <c r="M17" i="20" s="1"/>
  <c r="W11" i="11"/>
  <c r="J11" i="11"/>
  <c r="I10" i="19" s="1"/>
  <c r="I11" i="11"/>
  <c r="H10" i="19" s="1"/>
  <c r="Y11" i="11"/>
  <c r="AD11" i="19"/>
  <c r="K18" i="20" s="1"/>
  <c r="H12" i="11"/>
  <c r="AZ8" i="19"/>
  <c r="AC12" i="19"/>
  <c r="J19" i="20" s="1"/>
  <c r="V13" i="11"/>
  <c r="AE12" i="19" s="1"/>
  <c r="L19" i="20" s="1"/>
  <c r="AF52" i="19"/>
  <c r="M59" i="20" s="1"/>
  <c r="W59" i="11"/>
  <c r="I59" i="11"/>
  <c r="H52" i="19" s="1"/>
  <c r="J59" i="11"/>
  <c r="I52" i="19" s="1"/>
  <c r="Y59" i="11"/>
  <c r="AZ50" i="19"/>
  <c r="N16" i="20"/>
  <c r="O16" i="20" s="1"/>
  <c r="Z16" i="20"/>
  <c r="AA16" i="20" s="1"/>
  <c r="W16" i="20"/>
  <c r="X16" i="20" s="1"/>
  <c r="AC16" i="20"/>
  <c r="AD16" i="20" s="1"/>
  <c r="AI16" i="20"/>
  <c r="AJ16" i="20" s="1"/>
  <c r="AF16" i="20"/>
  <c r="AG16" i="20" s="1"/>
  <c r="AD32" i="19"/>
  <c r="K39" i="20" s="1"/>
  <c r="H36" i="11"/>
  <c r="H23" i="6"/>
  <c r="C25" i="6"/>
  <c r="AC33" i="19"/>
  <c r="J40" i="20" s="1"/>
  <c r="V37" i="11"/>
  <c r="AE33" i="19" s="1"/>
  <c r="L40" i="20" s="1"/>
  <c r="Z51" i="19"/>
  <c r="AI51" i="19" s="1"/>
  <c r="AQ51" i="19" s="1"/>
  <c r="Y51" i="19"/>
  <c r="AH51" i="19" s="1"/>
  <c r="AO51" i="19" s="1"/>
  <c r="AG51" i="19"/>
  <c r="AL51" i="19" s="1"/>
  <c r="AW51" i="19" s="1"/>
  <c r="W51" i="19"/>
  <c r="AA51" i="19"/>
  <c r="AJ51" i="19" s="1"/>
  <c r="AS51" i="19" s="1"/>
  <c r="AY51" i="19" s="1"/>
  <c r="AK58" i="11" s="1"/>
  <c r="X51" i="19"/>
  <c r="AK51" i="19" s="1"/>
  <c r="AU51" i="19" s="1"/>
  <c r="AZ51" i="19" s="1"/>
  <c r="AB51" i="19"/>
  <c r="AF31" i="19"/>
  <c r="M38" i="20" s="1"/>
  <c r="W35" i="11"/>
  <c r="Y35" i="11"/>
  <c r="J35" i="11"/>
  <c r="I31" i="19" s="1"/>
  <c r="I35" i="11"/>
  <c r="H31" i="19" s="1"/>
  <c r="N38" i="20" s="1"/>
  <c r="O38" i="20" s="1"/>
  <c r="Z9" i="19"/>
  <c r="AI9" i="19" s="1"/>
  <c r="AQ9" i="19" s="1"/>
  <c r="Y9" i="19"/>
  <c r="AH9" i="19" s="1"/>
  <c r="AO9" i="19" s="1"/>
  <c r="W9" i="19"/>
  <c r="AB9" i="19"/>
  <c r="X9" i="19"/>
  <c r="AK9" i="19" s="1"/>
  <c r="AU9" i="19" s="1"/>
  <c r="AZ9" i="19" s="1"/>
  <c r="AA9" i="19"/>
  <c r="AJ9" i="19" s="1"/>
  <c r="AS9" i="19" s="1"/>
  <c r="AY9" i="19" s="1"/>
  <c r="AK10" i="11" s="1"/>
  <c r="AG9" i="19"/>
  <c r="AL9" i="19" s="1"/>
  <c r="AW9" i="19" s="1"/>
  <c r="AC54" i="19"/>
  <c r="J61" i="20" s="1"/>
  <c r="V61" i="11"/>
  <c r="AE54" i="19" s="1"/>
  <c r="L61" i="20" s="1"/>
  <c r="X35" i="11"/>
  <c r="N58" i="20"/>
  <c r="O58" i="20" s="1"/>
  <c r="W58" i="20"/>
  <c r="X58" i="20" s="1"/>
  <c r="Z58" i="20"/>
  <c r="AA58" i="20" s="1"/>
  <c r="AI58" i="20"/>
  <c r="AJ58" i="20" s="1"/>
  <c r="AC58" i="20"/>
  <c r="AD58" i="20" s="1"/>
  <c r="AF58" i="20"/>
  <c r="AG58" i="20" s="1"/>
  <c r="X59" i="11"/>
  <c r="X60" i="11" l="1"/>
  <c r="AC13" i="19"/>
  <c r="J20" i="20" s="1"/>
  <c r="AF11" i="19"/>
  <c r="M18" i="20" s="1"/>
  <c r="Y12" i="11"/>
  <c r="W12" i="11"/>
  <c r="J12" i="11"/>
  <c r="I11" i="19" s="1"/>
  <c r="I12" i="11"/>
  <c r="H11" i="19" s="1"/>
  <c r="AD12" i="19"/>
  <c r="K19" i="20" s="1"/>
  <c r="H13" i="11"/>
  <c r="AC55" i="19"/>
  <c r="J62" i="20" s="1"/>
  <c r="T39" i="11"/>
  <c r="T63" i="11"/>
  <c r="U38" i="11"/>
  <c r="U62" i="11"/>
  <c r="U14" i="11"/>
  <c r="T15" i="11"/>
  <c r="B26" i="6"/>
  <c r="G24" i="6"/>
  <c r="AD33" i="19"/>
  <c r="K40" i="20" s="1"/>
  <c r="H37" i="11"/>
  <c r="AF53" i="19"/>
  <c r="M60" i="20" s="1"/>
  <c r="W60" i="11"/>
  <c r="Y60" i="11"/>
  <c r="J60" i="11"/>
  <c r="I53" i="19" s="1"/>
  <c r="I60" i="11"/>
  <c r="H53" i="19" s="1"/>
  <c r="N17" i="20"/>
  <c r="O17" i="20" s="1"/>
  <c r="Z17" i="20"/>
  <c r="AA17" i="20" s="1"/>
  <c r="W17" i="20"/>
  <c r="X17" i="20" s="1"/>
  <c r="AI17" i="20"/>
  <c r="AJ17" i="20" s="1"/>
  <c r="AF17" i="20"/>
  <c r="AG17" i="20" s="1"/>
  <c r="AC17" i="20"/>
  <c r="AD17" i="20" s="1"/>
  <c r="AC34" i="19"/>
  <c r="J41" i="20" s="1"/>
  <c r="V38" i="11"/>
  <c r="AE34" i="19" s="1"/>
  <c r="L41" i="20" s="1"/>
  <c r="Y10" i="19"/>
  <c r="AH10" i="19" s="1"/>
  <c r="AO10" i="19" s="1"/>
  <c r="Z10" i="19"/>
  <c r="AI10" i="19" s="1"/>
  <c r="AQ10" i="19" s="1"/>
  <c r="AB10" i="19"/>
  <c r="W10" i="19"/>
  <c r="AG10" i="19"/>
  <c r="AL10" i="19" s="1"/>
  <c r="AW10" i="19" s="1"/>
  <c r="X10" i="19"/>
  <c r="AK10" i="19" s="1"/>
  <c r="AU10" i="19" s="1"/>
  <c r="AA10" i="19"/>
  <c r="AJ10" i="19" s="1"/>
  <c r="AS10" i="19" s="1"/>
  <c r="AY10" i="19" s="1"/>
  <c r="AK11" i="11" s="1"/>
  <c r="AD54" i="19"/>
  <c r="K61" i="20" s="1"/>
  <c r="H61" i="11"/>
  <c r="X36" i="11"/>
  <c r="X37" i="11" s="1"/>
  <c r="C26" i="6"/>
  <c r="H24" i="6"/>
  <c r="Z52" i="19"/>
  <c r="AI52" i="19" s="1"/>
  <c r="AQ52" i="19" s="1"/>
  <c r="Y52" i="19"/>
  <c r="AH52" i="19" s="1"/>
  <c r="AO52" i="19" s="1"/>
  <c r="AB52" i="19"/>
  <c r="W52" i="19"/>
  <c r="AA52" i="19"/>
  <c r="AJ52" i="19" s="1"/>
  <c r="AS52" i="19" s="1"/>
  <c r="AY52" i="19" s="1"/>
  <c r="AK59" i="11" s="1"/>
  <c r="AG52" i="19"/>
  <c r="AL52" i="19" s="1"/>
  <c r="AW52" i="19" s="1"/>
  <c r="X52" i="19"/>
  <c r="AK52" i="19" s="1"/>
  <c r="AU52" i="19" s="1"/>
  <c r="AZ52" i="19" s="1"/>
  <c r="X12" i="11"/>
  <c r="X13" i="11" s="1"/>
  <c r="AF32" i="19"/>
  <c r="M39" i="20" s="1"/>
  <c r="W36" i="11"/>
  <c r="J36" i="11"/>
  <c r="I32" i="19" s="1"/>
  <c r="Y36" i="11"/>
  <c r="I36" i="11"/>
  <c r="H32" i="19" s="1"/>
  <c r="N39" i="20" s="1"/>
  <c r="O39" i="20" s="1"/>
  <c r="N59" i="20"/>
  <c r="O59" i="20" s="1"/>
  <c r="Z59" i="20"/>
  <c r="AA59" i="20" s="1"/>
  <c r="W59" i="20"/>
  <c r="X59" i="20" s="1"/>
  <c r="AI59" i="20"/>
  <c r="AJ59" i="20" s="1"/>
  <c r="AC59" i="20"/>
  <c r="AD59" i="20" s="1"/>
  <c r="AF59" i="20"/>
  <c r="AG59" i="20" s="1"/>
  <c r="C27" i="6" l="1"/>
  <c r="H25" i="6"/>
  <c r="AF12" i="19"/>
  <c r="M19" i="20" s="1"/>
  <c r="W13" i="11"/>
  <c r="Y13" i="11"/>
  <c r="J13" i="11"/>
  <c r="I12" i="19" s="1"/>
  <c r="I13" i="11"/>
  <c r="H12" i="19" s="1"/>
  <c r="U63" i="11"/>
  <c r="T64" i="11"/>
  <c r="U15" i="11"/>
  <c r="V15" i="11" s="1"/>
  <c r="AE14" i="19" s="1"/>
  <c r="L21" i="20" s="1"/>
  <c r="T40" i="11"/>
  <c r="U39" i="11"/>
  <c r="T16" i="11"/>
  <c r="B27" i="6"/>
  <c r="G25" i="6"/>
  <c r="N18" i="20"/>
  <c r="O18" i="20" s="1"/>
  <c r="Z18" i="20"/>
  <c r="AA18" i="20" s="1"/>
  <c r="W18" i="20"/>
  <c r="X18" i="20" s="1"/>
  <c r="AI18" i="20"/>
  <c r="AJ18" i="20" s="1"/>
  <c r="AC18" i="20"/>
  <c r="AD18" i="20" s="1"/>
  <c r="AF18" i="20"/>
  <c r="AG18" i="20" s="1"/>
  <c r="AF54" i="19"/>
  <c r="M61" i="20" s="1"/>
  <c r="Y61" i="11"/>
  <c r="W61" i="11"/>
  <c r="I61" i="11"/>
  <c r="H54" i="19" s="1"/>
  <c r="J61" i="11"/>
  <c r="I54" i="19" s="1"/>
  <c r="AC14" i="19"/>
  <c r="J21" i="20" s="1"/>
  <c r="Z11" i="19"/>
  <c r="AI11" i="19" s="1"/>
  <c r="AQ11" i="19" s="1"/>
  <c r="Y11" i="19"/>
  <c r="AH11" i="19" s="1"/>
  <c r="AO11" i="19" s="1"/>
  <c r="AB11" i="19"/>
  <c r="W11" i="19"/>
  <c r="AG11" i="19"/>
  <c r="AL11" i="19" s="1"/>
  <c r="AW11" i="19" s="1"/>
  <c r="AA11" i="19"/>
  <c r="AJ11" i="19" s="1"/>
  <c r="AS11" i="19" s="1"/>
  <c r="AY11" i="19" s="1"/>
  <c r="AK12" i="11" s="1"/>
  <c r="X11" i="19"/>
  <c r="AK11" i="19" s="1"/>
  <c r="AU11" i="19" s="1"/>
  <c r="AZ10" i="19"/>
  <c r="AD13" i="19"/>
  <c r="K20" i="20" s="1"/>
  <c r="H14" i="11"/>
  <c r="AD55" i="19"/>
  <c r="K62" i="20" s="1"/>
  <c r="H62" i="11"/>
  <c r="N60" i="20"/>
  <c r="O60" i="20" s="1"/>
  <c r="Z60" i="20"/>
  <c r="AA60" i="20" s="1"/>
  <c r="W60" i="20"/>
  <c r="X60" i="20" s="1"/>
  <c r="AI60" i="20"/>
  <c r="AJ60" i="20" s="1"/>
  <c r="AC60" i="20"/>
  <c r="AD60" i="20" s="1"/>
  <c r="AF60" i="20"/>
  <c r="AG60" i="20" s="1"/>
  <c r="AD34" i="19"/>
  <c r="K41" i="20" s="1"/>
  <c r="H38" i="11"/>
  <c r="AF33" i="19"/>
  <c r="M40" i="20" s="1"/>
  <c r="W37" i="11"/>
  <c r="I37" i="11"/>
  <c r="H33" i="19" s="1"/>
  <c r="N40" i="20" s="1"/>
  <c r="O40" i="20" s="1"/>
  <c r="J37" i="11"/>
  <c r="I33" i="19" s="1"/>
  <c r="Y37" i="11"/>
  <c r="Z53" i="19"/>
  <c r="AI53" i="19" s="1"/>
  <c r="AQ53" i="19" s="1"/>
  <c r="Y53" i="19"/>
  <c r="AH53" i="19" s="1"/>
  <c r="AO53" i="19" s="1"/>
  <c r="W53" i="19"/>
  <c r="AB53" i="19"/>
  <c r="AG53" i="19"/>
  <c r="AL53" i="19" s="1"/>
  <c r="AW53" i="19" s="1"/>
  <c r="AA53" i="19"/>
  <c r="AJ53" i="19" s="1"/>
  <c r="AS53" i="19" s="1"/>
  <c r="X53" i="19"/>
  <c r="AK53" i="19" s="1"/>
  <c r="AU53" i="19" s="1"/>
  <c r="AC56" i="19"/>
  <c r="J63" i="20" s="1"/>
  <c r="V14" i="11"/>
  <c r="AE13" i="19" s="1"/>
  <c r="L20" i="20" s="1"/>
  <c r="X14" i="11"/>
  <c r="AC35" i="19"/>
  <c r="J42" i="20" s="1"/>
  <c r="V39" i="11"/>
  <c r="AE35" i="19" s="1"/>
  <c r="L42" i="20" s="1"/>
  <c r="V62" i="11"/>
  <c r="AE55" i="19" s="1"/>
  <c r="L62" i="20" s="1"/>
  <c r="X61" i="11"/>
  <c r="X62" i="11" s="1"/>
  <c r="AC57" i="19" l="1"/>
  <c r="J64" i="20" s="1"/>
  <c r="N19" i="20"/>
  <c r="O19" i="20" s="1"/>
  <c r="Z19" i="20"/>
  <c r="AA19" i="20" s="1"/>
  <c r="W19" i="20"/>
  <c r="X19" i="20" s="1"/>
  <c r="AF19" i="20"/>
  <c r="AG19" i="20" s="1"/>
  <c r="AI19" i="20"/>
  <c r="AJ19" i="20" s="1"/>
  <c r="AC19" i="20"/>
  <c r="AD19" i="20" s="1"/>
  <c r="AD56" i="19"/>
  <c r="K63" i="20" s="1"/>
  <c r="H63" i="11"/>
  <c r="Z12" i="19"/>
  <c r="AI12" i="19" s="1"/>
  <c r="AQ12" i="19" s="1"/>
  <c r="Y12" i="19"/>
  <c r="AH12" i="19" s="1"/>
  <c r="AO12" i="19" s="1"/>
  <c r="AB12" i="19"/>
  <c r="W12" i="19"/>
  <c r="AA12" i="19"/>
  <c r="AJ12" i="19" s="1"/>
  <c r="AS12" i="19" s="1"/>
  <c r="X12" i="19"/>
  <c r="AK12" i="19" s="1"/>
  <c r="AU12" i="19" s="1"/>
  <c r="AG12" i="19"/>
  <c r="AL12" i="19" s="1"/>
  <c r="AW12" i="19" s="1"/>
  <c r="AF55" i="19"/>
  <c r="M62" i="20" s="1"/>
  <c r="W62" i="11"/>
  <c r="Y62" i="11"/>
  <c r="J62" i="11"/>
  <c r="I55" i="19" s="1"/>
  <c r="I62" i="11"/>
  <c r="H55" i="19" s="1"/>
  <c r="V63" i="11"/>
  <c r="AE56" i="19" s="1"/>
  <c r="L63" i="20" s="1"/>
  <c r="AF13" i="19"/>
  <c r="M20" i="20" s="1"/>
  <c r="W14" i="11"/>
  <c r="Y14" i="11"/>
  <c r="I14" i="11"/>
  <c r="H13" i="19" s="1"/>
  <c r="J14" i="11"/>
  <c r="I13" i="19" s="1"/>
  <c r="Y54" i="19"/>
  <c r="AH54" i="19" s="1"/>
  <c r="AO54" i="19" s="1"/>
  <c r="Z54" i="19"/>
  <c r="AI54" i="19" s="1"/>
  <c r="AQ54" i="19" s="1"/>
  <c r="W54" i="19"/>
  <c r="AB54" i="19"/>
  <c r="X54" i="19"/>
  <c r="AK54" i="19" s="1"/>
  <c r="AU54" i="19" s="1"/>
  <c r="AZ54" i="19" s="1"/>
  <c r="AG54" i="19"/>
  <c r="AL54" i="19" s="1"/>
  <c r="AW54" i="19" s="1"/>
  <c r="AA54" i="19"/>
  <c r="AJ54" i="19" s="1"/>
  <c r="AS54" i="19" s="1"/>
  <c r="AY54" i="19" s="1"/>
  <c r="AK61" i="11" s="1"/>
  <c r="T65" i="11"/>
  <c r="U64" i="11"/>
  <c r="V64" i="11" s="1"/>
  <c r="AE57" i="19" s="1"/>
  <c r="L64" i="20" s="1"/>
  <c r="U16" i="11"/>
  <c r="U40" i="11"/>
  <c r="T41" i="11"/>
  <c r="T17" i="11"/>
  <c r="G26" i="6"/>
  <c r="B28" i="6"/>
  <c r="AD14" i="19"/>
  <c r="K21" i="20" s="1"/>
  <c r="H15" i="11"/>
  <c r="N61" i="20"/>
  <c r="O61" i="20" s="1"/>
  <c r="Z61" i="20"/>
  <c r="AA61" i="20" s="1"/>
  <c r="W61" i="20"/>
  <c r="X61" i="20" s="1"/>
  <c r="AI61" i="20"/>
  <c r="AJ61" i="20" s="1"/>
  <c r="AF61" i="20"/>
  <c r="AG61" i="20" s="1"/>
  <c r="AC61" i="20"/>
  <c r="AD61" i="20" s="1"/>
  <c r="AC15" i="19"/>
  <c r="J22" i="20" s="1"/>
  <c r="V16" i="11"/>
  <c r="AE15" i="19" s="1"/>
  <c r="L22" i="20" s="1"/>
  <c r="H26" i="6"/>
  <c r="C28" i="6"/>
  <c r="AZ53" i="19"/>
  <c r="AF34" i="19"/>
  <c r="M41" i="20" s="1"/>
  <c r="Y38" i="11"/>
  <c r="W38" i="11"/>
  <c r="J38" i="11"/>
  <c r="I34" i="19" s="1"/>
  <c r="I38" i="11"/>
  <c r="H34" i="19" s="1"/>
  <c r="N41" i="20" s="1"/>
  <c r="O41" i="20" s="1"/>
  <c r="AD35" i="19"/>
  <c r="K42" i="20" s="1"/>
  <c r="H39" i="11"/>
  <c r="X38" i="11"/>
  <c r="X63" i="11"/>
  <c r="AY53" i="19"/>
  <c r="AK60" i="11" s="1"/>
  <c r="AZ11" i="19"/>
  <c r="AC36" i="19"/>
  <c r="J43" i="20" s="1"/>
  <c r="V40" i="11"/>
  <c r="AE36" i="19" s="1"/>
  <c r="L43" i="20" s="1"/>
  <c r="N62" i="20" l="1"/>
  <c r="O62" i="20" s="1"/>
  <c r="Z62" i="20"/>
  <c r="AA62" i="20" s="1"/>
  <c r="W62" i="20"/>
  <c r="X62" i="20" s="1"/>
  <c r="AI62" i="20"/>
  <c r="AJ62" i="20" s="1"/>
  <c r="AC62" i="20"/>
  <c r="AD62" i="20" s="1"/>
  <c r="AF62" i="20"/>
  <c r="AG62" i="20" s="1"/>
  <c r="AF56" i="19"/>
  <c r="M63" i="20" s="1"/>
  <c r="Y63" i="11"/>
  <c r="W63" i="11"/>
  <c r="I63" i="11"/>
  <c r="H56" i="19" s="1"/>
  <c r="J63" i="11"/>
  <c r="I56" i="19" s="1"/>
  <c r="Z55" i="19"/>
  <c r="AI55" i="19" s="1"/>
  <c r="AQ55" i="19" s="1"/>
  <c r="Y55" i="19"/>
  <c r="AH55" i="19" s="1"/>
  <c r="AO55" i="19" s="1"/>
  <c r="W55" i="19"/>
  <c r="AA55" i="19"/>
  <c r="AJ55" i="19" s="1"/>
  <c r="AS55" i="19" s="1"/>
  <c r="AG55" i="19"/>
  <c r="AL55" i="19" s="1"/>
  <c r="AW55" i="19" s="1"/>
  <c r="X55" i="19"/>
  <c r="AK55" i="19" s="1"/>
  <c r="AU55" i="19" s="1"/>
  <c r="AB55" i="19"/>
  <c r="AC16" i="19"/>
  <c r="J23" i="20" s="1"/>
  <c r="C29" i="6"/>
  <c r="H27" i="6"/>
  <c r="X39" i="11"/>
  <c r="AC37" i="19"/>
  <c r="J44" i="20" s="1"/>
  <c r="Z13" i="19"/>
  <c r="AI13" i="19" s="1"/>
  <c r="AQ13" i="19" s="1"/>
  <c r="Y13" i="19"/>
  <c r="AH13" i="19" s="1"/>
  <c r="AO13" i="19" s="1"/>
  <c r="W13" i="19"/>
  <c r="X13" i="19"/>
  <c r="AK13" i="19" s="1"/>
  <c r="AU13" i="19" s="1"/>
  <c r="AZ13" i="19" s="1"/>
  <c r="AG13" i="19"/>
  <c r="AL13" i="19" s="1"/>
  <c r="AW13" i="19" s="1"/>
  <c r="AA13" i="19"/>
  <c r="AJ13" i="19" s="1"/>
  <c r="AS13" i="19" s="1"/>
  <c r="AY13" i="19" s="1"/>
  <c r="AK14" i="11" s="1"/>
  <c r="AB13" i="19"/>
  <c r="AZ12" i="19"/>
  <c r="AF14" i="19"/>
  <c r="M21" i="20" s="1"/>
  <c r="W15" i="11"/>
  <c r="Y15" i="11"/>
  <c r="J15" i="11"/>
  <c r="I14" i="19" s="1"/>
  <c r="I15" i="11"/>
  <c r="H14" i="19" s="1"/>
  <c r="U41" i="11"/>
  <c r="U65" i="11"/>
  <c r="T18" i="11"/>
  <c r="T66" i="11"/>
  <c r="U17" i="11"/>
  <c r="V17" i="11" s="1"/>
  <c r="AE16" i="19" s="1"/>
  <c r="L23" i="20" s="1"/>
  <c r="T42" i="11"/>
  <c r="B29" i="6"/>
  <c r="G27" i="6"/>
  <c r="X15" i="11"/>
  <c r="X16" i="11" s="1"/>
  <c r="AD36" i="19"/>
  <c r="K43" i="20" s="1"/>
  <c r="H40" i="11"/>
  <c r="N20" i="20"/>
  <c r="O20" i="20" s="1"/>
  <c r="W20" i="20"/>
  <c r="X20" i="20" s="1"/>
  <c r="Z20" i="20"/>
  <c r="AA20" i="20" s="1"/>
  <c r="AF20" i="20"/>
  <c r="AG20" i="20" s="1"/>
  <c r="AI20" i="20"/>
  <c r="AJ20" i="20" s="1"/>
  <c r="AC20" i="20"/>
  <c r="AD20" i="20" s="1"/>
  <c r="AY12" i="19"/>
  <c r="AK13" i="11" s="1"/>
  <c r="AF35" i="19"/>
  <c r="M42" i="20" s="1"/>
  <c r="W39" i="11"/>
  <c r="Y39" i="11"/>
  <c r="J39" i="11"/>
  <c r="I35" i="19" s="1"/>
  <c r="I39" i="11"/>
  <c r="H35" i="19" s="1"/>
  <c r="N42" i="20" s="1"/>
  <c r="O42" i="20" s="1"/>
  <c r="AD15" i="19"/>
  <c r="K22" i="20" s="1"/>
  <c r="H16" i="11"/>
  <c r="AC58" i="19"/>
  <c r="J65" i="20" s="1"/>
  <c r="V65" i="11"/>
  <c r="AE58" i="19" s="1"/>
  <c r="L65" i="20" s="1"/>
  <c r="AD57" i="19"/>
  <c r="K64" i="20" s="1"/>
  <c r="H64" i="11"/>
  <c r="C30" i="6" l="1"/>
  <c r="H28" i="6"/>
  <c r="AF57" i="19"/>
  <c r="M64" i="20" s="1"/>
  <c r="W64" i="11"/>
  <c r="Y64" i="11"/>
  <c r="J64" i="11"/>
  <c r="I57" i="19" s="1"/>
  <c r="I64" i="11"/>
  <c r="H57" i="19" s="1"/>
  <c r="AC38" i="19"/>
  <c r="J45" i="20" s="1"/>
  <c r="X40" i="11"/>
  <c r="X41" i="11" s="1"/>
  <c r="AD16" i="19"/>
  <c r="K23" i="20" s="1"/>
  <c r="H17" i="11"/>
  <c r="X17" i="11" s="1"/>
  <c r="AC59" i="19"/>
  <c r="J66" i="20" s="1"/>
  <c r="V66" i="11"/>
  <c r="AE59" i="19" s="1"/>
  <c r="L66" i="20" s="1"/>
  <c r="N63" i="20"/>
  <c r="O63" i="20" s="1"/>
  <c r="Z63" i="20"/>
  <c r="AA63" i="20" s="1"/>
  <c r="W63" i="20"/>
  <c r="X63" i="20" s="1"/>
  <c r="AF63" i="20"/>
  <c r="AG63" i="20" s="1"/>
  <c r="AC63" i="20"/>
  <c r="AD63" i="20" s="1"/>
  <c r="AI63" i="20"/>
  <c r="AJ63" i="20" s="1"/>
  <c r="X64" i="11"/>
  <c r="AC17" i="19"/>
  <c r="J24" i="20" s="1"/>
  <c r="V18" i="11"/>
  <c r="AE17" i="19" s="1"/>
  <c r="L24" i="20" s="1"/>
  <c r="AZ55" i="19"/>
  <c r="Z56" i="19"/>
  <c r="AI56" i="19" s="1"/>
  <c r="AQ56" i="19" s="1"/>
  <c r="Y56" i="19"/>
  <c r="AH56" i="19" s="1"/>
  <c r="AO56" i="19" s="1"/>
  <c r="W56" i="19"/>
  <c r="X56" i="19"/>
  <c r="AK56" i="19" s="1"/>
  <c r="AU56" i="19" s="1"/>
  <c r="AB56" i="19"/>
  <c r="AA56" i="19"/>
  <c r="AJ56" i="19" s="1"/>
  <c r="AS56" i="19" s="1"/>
  <c r="AG56" i="19"/>
  <c r="AL56" i="19" s="1"/>
  <c r="AW56" i="19" s="1"/>
  <c r="AD58" i="19"/>
  <c r="K65" i="20" s="1"/>
  <c r="H65" i="11"/>
  <c r="T43" i="11"/>
  <c r="U42" i="11"/>
  <c r="T67" i="11"/>
  <c r="T19" i="11"/>
  <c r="U18" i="11"/>
  <c r="U66" i="11"/>
  <c r="B30" i="6"/>
  <c r="G28" i="6"/>
  <c r="AF15" i="19"/>
  <c r="M22" i="20" s="1"/>
  <c r="Y16" i="11"/>
  <c r="W16" i="11"/>
  <c r="I16" i="11"/>
  <c r="H15" i="19" s="1"/>
  <c r="J16" i="11"/>
  <c r="I15" i="19" s="1"/>
  <c r="AD37" i="19"/>
  <c r="K44" i="20" s="1"/>
  <c r="H41" i="11"/>
  <c r="AY55" i="19"/>
  <c r="AK62" i="11" s="1"/>
  <c r="N21" i="20"/>
  <c r="O21" i="20" s="1"/>
  <c r="W21" i="20"/>
  <c r="X21" i="20" s="1"/>
  <c r="Z21" i="20"/>
  <c r="AA21" i="20" s="1"/>
  <c r="AF21" i="20"/>
  <c r="AG21" i="20" s="1"/>
  <c r="AI21" i="20"/>
  <c r="AJ21" i="20" s="1"/>
  <c r="AC21" i="20"/>
  <c r="AD21" i="20" s="1"/>
  <c r="AF36" i="19"/>
  <c r="M43" i="20" s="1"/>
  <c r="W40" i="11"/>
  <c r="I36" i="19"/>
  <c r="H36" i="19"/>
  <c r="N43" i="20" s="1"/>
  <c r="O43" i="20" s="1"/>
  <c r="Y14" i="19"/>
  <c r="AH14" i="19" s="1"/>
  <c r="AO14" i="19" s="1"/>
  <c r="Z14" i="19"/>
  <c r="AI14" i="19" s="1"/>
  <c r="AQ14" i="19" s="1"/>
  <c r="AB14" i="19"/>
  <c r="W14" i="19"/>
  <c r="X14" i="19"/>
  <c r="AK14" i="19" s="1"/>
  <c r="AU14" i="19" s="1"/>
  <c r="AG14" i="19"/>
  <c r="AL14" i="19" s="1"/>
  <c r="AW14" i="19" s="1"/>
  <c r="AA14" i="19"/>
  <c r="AJ14" i="19" s="1"/>
  <c r="AS14" i="19" s="1"/>
  <c r="AY14" i="19" s="1"/>
  <c r="AK15" i="11" s="1"/>
  <c r="V41" i="11"/>
  <c r="AE37" i="19" s="1"/>
  <c r="L44" i="20" s="1"/>
  <c r="N64" i="20" l="1"/>
  <c r="O64" i="20" s="1"/>
  <c r="W64" i="20"/>
  <c r="X64" i="20" s="1"/>
  <c r="Z64" i="20"/>
  <c r="AA64" i="20" s="1"/>
  <c r="AC64" i="20"/>
  <c r="AD64" i="20" s="1"/>
  <c r="AI64" i="20"/>
  <c r="AJ64" i="20" s="1"/>
  <c r="AF64" i="20"/>
  <c r="AG64" i="20" s="1"/>
  <c r="AC39" i="19"/>
  <c r="J46" i="20" s="1"/>
  <c r="AY56" i="19"/>
  <c r="AK63" i="11" s="1"/>
  <c r="Z57" i="19"/>
  <c r="AI57" i="19" s="1"/>
  <c r="AQ57" i="19" s="1"/>
  <c r="Y57" i="19"/>
  <c r="AH57" i="19" s="1"/>
  <c r="AO57" i="19" s="1"/>
  <c r="W57" i="19"/>
  <c r="AG57" i="19"/>
  <c r="AL57" i="19" s="1"/>
  <c r="AW57" i="19" s="1"/>
  <c r="X57" i="19"/>
  <c r="AK57" i="19" s="1"/>
  <c r="AU57" i="19" s="1"/>
  <c r="AA57" i="19"/>
  <c r="AJ57" i="19" s="1"/>
  <c r="AS57" i="19" s="1"/>
  <c r="AB57" i="19"/>
  <c r="AF16" i="19"/>
  <c r="M23" i="20" s="1"/>
  <c r="Y17" i="11"/>
  <c r="W17" i="11"/>
  <c r="J17" i="11"/>
  <c r="I16" i="19" s="1"/>
  <c r="I17" i="11"/>
  <c r="H16" i="19" s="1"/>
  <c r="N22" i="20"/>
  <c r="O22" i="20" s="1"/>
  <c r="Z22" i="20"/>
  <c r="AA22" i="20" s="1"/>
  <c r="W22" i="20"/>
  <c r="X22" i="20" s="1"/>
  <c r="AF22" i="20"/>
  <c r="AG22" i="20" s="1"/>
  <c r="AI22" i="20"/>
  <c r="AJ22" i="20" s="1"/>
  <c r="AC22" i="20"/>
  <c r="AD22" i="20" s="1"/>
  <c r="X65" i="11"/>
  <c r="AZ14" i="19"/>
  <c r="T44" i="11"/>
  <c r="U43" i="11"/>
  <c r="U67" i="11"/>
  <c r="U19" i="11"/>
  <c r="T68" i="11"/>
  <c r="T20" i="11"/>
  <c r="B31" i="6"/>
  <c r="G29" i="6"/>
  <c r="AD38" i="19"/>
  <c r="K45" i="20" s="1"/>
  <c r="H42" i="11"/>
  <c r="AF58" i="19"/>
  <c r="M65" i="20" s="1"/>
  <c r="W65" i="11"/>
  <c r="Y65" i="11"/>
  <c r="I65" i="11"/>
  <c r="H58" i="19" s="1"/>
  <c r="J65" i="11"/>
  <c r="I58" i="19" s="1"/>
  <c r="AD59" i="19"/>
  <c r="K66" i="20" s="1"/>
  <c r="H66" i="11"/>
  <c r="AZ56" i="19"/>
  <c r="AD17" i="19"/>
  <c r="K24" i="20" s="1"/>
  <c r="H18" i="11"/>
  <c r="Y15" i="19"/>
  <c r="AH15" i="19" s="1"/>
  <c r="AO15" i="19" s="1"/>
  <c r="Z15" i="19"/>
  <c r="AI15" i="19" s="1"/>
  <c r="AQ15" i="19" s="1"/>
  <c r="AB15" i="19"/>
  <c r="W15" i="19"/>
  <c r="AG15" i="19"/>
  <c r="AL15" i="19" s="1"/>
  <c r="AW15" i="19" s="1"/>
  <c r="AA15" i="19"/>
  <c r="AJ15" i="19" s="1"/>
  <c r="AS15" i="19" s="1"/>
  <c r="AY15" i="19" s="1"/>
  <c r="AK16" i="11" s="1"/>
  <c r="X15" i="19"/>
  <c r="AK15" i="19" s="1"/>
  <c r="AU15" i="19" s="1"/>
  <c r="AZ15" i="19" s="1"/>
  <c r="V42" i="11"/>
  <c r="AE38" i="19" s="1"/>
  <c r="L45" i="20" s="1"/>
  <c r="AC18" i="19"/>
  <c r="J25" i="20" s="1"/>
  <c r="AF37" i="19"/>
  <c r="M44" i="20" s="1"/>
  <c r="W41" i="11"/>
  <c r="AC60" i="19"/>
  <c r="J67" i="20" s="1"/>
  <c r="C31" i="6"/>
  <c r="H29" i="6"/>
  <c r="Z58" i="19" l="1"/>
  <c r="AI58" i="19" s="1"/>
  <c r="AQ58" i="19" s="1"/>
  <c r="Y58" i="19"/>
  <c r="AH58" i="19" s="1"/>
  <c r="AO58" i="19" s="1"/>
  <c r="W58" i="19"/>
  <c r="AA58" i="19"/>
  <c r="AJ58" i="19" s="1"/>
  <c r="AS58" i="19" s="1"/>
  <c r="X58" i="19"/>
  <c r="AK58" i="19" s="1"/>
  <c r="AU58" i="19" s="1"/>
  <c r="AZ58" i="19" s="1"/>
  <c r="AG58" i="19"/>
  <c r="AL58" i="19" s="1"/>
  <c r="AW58" i="19" s="1"/>
  <c r="AB58" i="19"/>
  <c r="N23" i="20"/>
  <c r="O23" i="20" s="1"/>
  <c r="W23" i="20"/>
  <c r="X23" i="20" s="1"/>
  <c r="Z23" i="20"/>
  <c r="AA23" i="20" s="1"/>
  <c r="AF23" i="20"/>
  <c r="AG23" i="20" s="1"/>
  <c r="AI23" i="20"/>
  <c r="AJ23" i="20" s="1"/>
  <c r="AC23" i="20"/>
  <c r="AD23" i="20" s="1"/>
  <c r="N65" i="20"/>
  <c r="O65" i="20" s="1"/>
  <c r="Z65" i="20"/>
  <c r="AA65" i="20" s="1"/>
  <c r="W65" i="20"/>
  <c r="X65" i="20" s="1"/>
  <c r="AC65" i="20"/>
  <c r="AD65" i="20" s="1"/>
  <c r="AF65" i="20"/>
  <c r="AG65" i="20" s="1"/>
  <c r="AI65" i="20"/>
  <c r="AJ65" i="20" s="1"/>
  <c r="AD39" i="19"/>
  <c r="K46" i="20" s="1"/>
  <c r="H43" i="11"/>
  <c r="Y16" i="19"/>
  <c r="AH16" i="19" s="1"/>
  <c r="AO16" i="19" s="1"/>
  <c r="Z16" i="19"/>
  <c r="AI16" i="19" s="1"/>
  <c r="AQ16" i="19" s="1"/>
  <c r="W16" i="19"/>
  <c r="AB16" i="19"/>
  <c r="X16" i="19"/>
  <c r="AK16" i="19" s="1"/>
  <c r="AU16" i="19" s="1"/>
  <c r="AG16" i="19"/>
  <c r="AL16" i="19" s="1"/>
  <c r="AW16" i="19" s="1"/>
  <c r="AA16" i="19"/>
  <c r="AJ16" i="19" s="1"/>
  <c r="AS16" i="19" s="1"/>
  <c r="V43" i="11"/>
  <c r="AE39" i="19" s="1"/>
  <c r="L46" i="20" s="1"/>
  <c r="AD60" i="19"/>
  <c r="K67" i="20" s="1"/>
  <c r="H67" i="11"/>
  <c r="AC40" i="19"/>
  <c r="J47" i="20" s="1"/>
  <c r="AD18" i="19"/>
  <c r="K25" i="20" s="1"/>
  <c r="H19" i="11"/>
  <c r="AF59" i="19"/>
  <c r="M66" i="20" s="1"/>
  <c r="W66" i="11"/>
  <c r="Y66" i="11"/>
  <c r="J66" i="11"/>
  <c r="I59" i="19" s="1"/>
  <c r="I66" i="11"/>
  <c r="H59" i="19" s="1"/>
  <c r="AC61" i="19"/>
  <c r="J68" i="20" s="1"/>
  <c r="V67" i="11"/>
  <c r="AE60" i="19" s="1"/>
  <c r="L67" i="20" s="1"/>
  <c r="AF38" i="19"/>
  <c r="M45" i="20" s="1"/>
  <c r="W42" i="11"/>
  <c r="H38" i="19"/>
  <c r="N45" i="20" s="1"/>
  <c r="O45" i="20" s="1"/>
  <c r="I38" i="19"/>
  <c r="X42" i="11"/>
  <c r="X43" i="11" s="1"/>
  <c r="AY57" i="19"/>
  <c r="AK64" i="11" s="1"/>
  <c r="AF17" i="19"/>
  <c r="M24" i="20" s="1"/>
  <c r="W18" i="11"/>
  <c r="Y18" i="11"/>
  <c r="J18" i="11"/>
  <c r="I17" i="19" s="1"/>
  <c r="I18" i="11"/>
  <c r="H17" i="19" s="1"/>
  <c r="AZ57" i="19"/>
  <c r="T69" i="11"/>
  <c r="T21" i="11"/>
  <c r="U44" i="11"/>
  <c r="V44" i="11" s="1"/>
  <c r="AE40" i="19" s="1"/>
  <c r="L47" i="20" s="1"/>
  <c r="T45" i="11"/>
  <c r="U68" i="11"/>
  <c r="U20" i="11"/>
  <c r="B32" i="6"/>
  <c r="G30" i="6"/>
  <c r="C32" i="6"/>
  <c r="H30" i="6"/>
  <c r="X66" i="11"/>
  <c r="X67" i="11" s="1"/>
  <c r="V19" i="11"/>
  <c r="AE18" i="19" s="1"/>
  <c r="L25" i="20" s="1"/>
  <c r="AC19" i="19"/>
  <c r="J26" i="20" s="1"/>
  <c r="V20" i="11"/>
  <c r="AE19" i="19" s="1"/>
  <c r="L26" i="20" s="1"/>
  <c r="X18" i="11"/>
  <c r="AF39" i="19" l="1"/>
  <c r="M46" i="20" s="1"/>
  <c r="W43" i="11"/>
  <c r="AC62" i="19"/>
  <c r="J69" i="20" s="1"/>
  <c r="AF60" i="19"/>
  <c r="M67" i="20" s="1"/>
  <c r="Y67" i="11"/>
  <c r="W67" i="11"/>
  <c r="I67" i="11"/>
  <c r="H60" i="19" s="1"/>
  <c r="J67" i="11"/>
  <c r="I60" i="19" s="1"/>
  <c r="AF18" i="19"/>
  <c r="M25" i="20" s="1"/>
  <c r="W19" i="11"/>
  <c r="Y19" i="11"/>
  <c r="I19" i="11"/>
  <c r="H18" i="19" s="1"/>
  <c r="J19" i="11"/>
  <c r="I18" i="19" s="1"/>
  <c r="X19" i="11"/>
  <c r="AD61" i="19"/>
  <c r="K68" i="20" s="1"/>
  <c r="H68" i="11"/>
  <c r="N66" i="20"/>
  <c r="O66" i="20" s="1"/>
  <c r="W66" i="20"/>
  <c r="X66" i="20" s="1"/>
  <c r="Z66" i="20"/>
  <c r="AA66" i="20" s="1"/>
  <c r="AC66" i="20"/>
  <c r="AD66" i="20" s="1"/>
  <c r="AI66" i="20"/>
  <c r="AJ66" i="20" s="1"/>
  <c r="AF66" i="20"/>
  <c r="AG66" i="20" s="1"/>
  <c r="AY16" i="19"/>
  <c r="AK17" i="11" s="1"/>
  <c r="AY58" i="19"/>
  <c r="AK65" i="11" s="1"/>
  <c r="AC20" i="19"/>
  <c r="J27" i="20" s="1"/>
  <c r="N24" i="20"/>
  <c r="O24" i="20" s="1"/>
  <c r="Z24" i="20"/>
  <c r="AA24" i="20" s="1"/>
  <c r="W24" i="20"/>
  <c r="X24" i="20" s="1"/>
  <c r="AC24" i="20"/>
  <c r="AD24" i="20" s="1"/>
  <c r="AI24" i="20"/>
  <c r="AJ24" i="20" s="1"/>
  <c r="AF24" i="20"/>
  <c r="AG24" i="20" s="1"/>
  <c r="V68" i="11"/>
  <c r="AE61" i="19" s="1"/>
  <c r="L68" i="20" s="1"/>
  <c r="Z59" i="19"/>
  <c r="AI59" i="19" s="1"/>
  <c r="AQ59" i="19" s="1"/>
  <c r="Y59" i="19"/>
  <c r="AH59" i="19" s="1"/>
  <c r="AO59" i="19" s="1"/>
  <c r="W59" i="19"/>
  <c r="AB59" i="19"/>
  <c r="AA59" i="19"/>
  <c r="AJ59" i="19" s="1"/>
  <c r="AS59" i="19" s="1"/>
  <c r="AG59" i="19"/>
  <c r="AL59" i="19" s="1"/>
  <c r="AW59" i="19" s="1"/>
  <c r="X59" i="19"/>
  <c r="AK59" i="19" s="1"/>
  <c r="AU59" i="19" s="1"/>
  <c r="X68" i="11"/>
  <c r="AZ16" i="19"/>
  <c r="AC41" i="19"/>
  <c r="J48" i="20" s="1"/>
  <c r="V45" i="11"/>
  <c r="AE41" i="19" s="1"/>
  <c r="L48" i="20" s="1"/>
  <c r="AD40" i="19"/>
  <c r="K47" i="20" s="1"/>
  <c r="H44" i="11"/>
  <c r="Y17" i="19"/>
  <c r="AH17" i="19" s="1"/>
  <c r="AO17" i="19" s="1"/>
  <c r="Z17" i="19"/>
  <c r="AI17" i="19" s="1"/>
  <c r="AQ17" i="19" s="1"/>
  <c r="AB17" i="19"/>
  <c r="W17" i="19"/>
  <c r="X17" i="19"/>
  <c r="AK17" i="19" s="1"/>
  <c r="AU17" i="19" s="1"/>
  <c r="AZ17" i="19" s="1"/>
  <c r="AA17" i="19"/>
  <c r="AJ17" i="19" s="1"/>
  <c r="AS17" i="19" s="1"/>
  <c r="AY17" i="19" s="1"/>
  <c r="AK18" i="11" s="1"/>
  <c r="AG17" i="19"/>
  <c r="AL17" i="19" s="1"/>
  <c r="AW17" i="19" s="1"/>
  <c r="H31" i="6"/>
  <c r="C33" i="6"/>
  <c r="U69" i="11"/>
  <c r="V69" i="11" s="1"/>
  <c r="AE62" i="19" s="1"/>
  <c r="L69" i="20" s="1"/>
  <c r="U21" i="11"/>
  <c r="T46" i="11"/>
  <c r="U45" i="11"/>
  <c r="T22" i="11"/>
  <c r="T70" i="11"/>
  <c r="B33" i="6"/>
  <c r="G31" i="6"/>
  <c r="AD19" i="19"/>
  <c r="K26" i="20" s="1"/>
  <c r="H20" i="11"/>
  <c r="N67" i="20" l="1"/>
  <c r="O67" i="20" s="1"/>
  <c r="W67" i="20"/>
  <c r="X67" i="20" s="1"/>
  <c r="Z67" i="20"/>
  <c r="AA67" i="20" s="1"/>
  <c r="AI67" i="20"/>
  <c r="AJ67" i="20" s="1"/>
  <c r="AC67" i="20"/>
  <c r="AD67" i="20" s="1"/>
  <c r="AF67" i="20"/>
  <c r="AG67" i="20" s="1"/>
  <c r="AF19" i="19"/>
  <c r="M26" i="20" s="1"/>
  <c r="W20" i="11"/>
  <c r="Y20" i="11"/>
  <c r="I20" i="11"/>
  <c r="H19" i="19" s="1"/>
  <c r="J20" i="11"/>
  <c r="I19" i="19" s="1"/>
  <c r="X69" i="11"/>
  <c r="Z60" i="19"/>
  <c r="AI60" i="19" s="1"/>
  <c r="AQ60" i="19" s="1"/>
  <c r="Y60" i="19"/>
  <c r="AH60" i="19" s="1"/>
  <c r="AO60" i="19" s="1"/>
  <c r="W60" i="19"/>
  <c r="AG60" i="19"/>
  <c r="AL60" i="19" s="1"/>
  <c r="AW60" i="19" s="1"/>
  <c r="AA60" i="19"/>
  <c r="AJ60" i="19" s="1"/>
  <c r="AS60" i="19" s="1"/>
  <c r="AY60" i="19" s="1"/>
  <c r="AK67" i="11" s="1"/>
  <c r="X60" i="19"/>
  <c r="AK60" i="19" s="1"/>
  <c r="AU60" i="19" s="1"/>
  <c r="AZ60" i="19" s="1"/>
  <c r="AB60" i="19"/>
  <c r="AZ59" i="19"/>
  <c r="AF61" i="19"/>
  <c r="M68" i="20" s="1"/>
  <c r="W68" i="11"/>
  <c r="Y68" i="11"/>
  <c r="J68" i="11"/>
  <c r="I61" i="19" s="1"/>
  <c r="I68" i="11"/>
  <c r="H61" i="19" s="1"/>
  <c r="AC42" i="19"/>
  <c r="J49" i="20" s="1"/>
  <c r="AD20" i="19"/>
  <c r="K27" i="20" s="1"/>
  <c r="H21" i="11"/>
  <c r="T71" i="11"/>
  <c r="T47" i="11"/>
  <c r="U46" i="11"/>
  <c r="U70" i="11"/>
  <c r="U22" i="11"/>
  <c r="V22" i="11" s="1"/>
  <c r="AE21" i="19" s="1"/>
  <c r="L28" i="20" s="1"/>
  <c r="T23" i="11"/>
  <c r="B34" i="6"/>
  <c r="G32" i="6"/>
  <c r="AY59" i="19"/>
  <c r="AK66" i="11" s="1"/>
  <c r="V21" i="11"/>
  <c r="AE20" i="19" s="1"/>
  <c r="L27" i="20" s="1"/>
  <c r="X20" i="11"/>
  <c r="X21" i="11" s="1"/>
  <c r="AF40" i="19"/>
  <c r="M47" i="20" s="1"/>
  <c r="W44" i="11"/>
  <c r="X44" i="11"/>
  <c r="X45" i="11" s="1"/>
  <c r="AC63" i="19"/>
  <c r="J70" i="20" s="1"/>
  <c r="V70" i="11"/>
  <c r="AE63" i="19" s="1"/>
  <c r="L70" i="20" s="1"/>
  <c r="Z18" i="19"/>
  <c r="AI18" i="19" s="1"/>
  <c r="AQ18" i="19" s="1"/>
  <c r="Y18" i="19"/>
  <c r="AH18" i="19" s="1"/>
  <c r="AO18" i="19" s="1"/>
  <c r="W18" i="19"/>
  <c r="X18" i="19"/>
  <c r="AK18" i="19" s="1"/>
  <c r="AU18" i="19" s="1"/>
  <c r="AG18" i="19"/>
  <c r="AL18" i="19" s="1"/>
  <c r="AW18" i="19" s="1"/>
  <c r="AA18" i="19"/>
  <c r="AJ18" i="19" s="1"/>
  <c r="AS18" i="19" s="1"/>
  <c r="AB18" i="19"/>
  <c r="H32" i="6"/>
  <c r="C34" i="6"/>
  <c r="AC21" i="19"/>
  <c r="J28" i="20" s="1"/>
  <c r="N25" i="20"/>
  <c r="O25" i="20" s="1"/>
  <c r="W25" i="20"/>
  <c r="X25" i="20" s="1"/>
  <c r="Z25" i="20"/>
  <c r="AA25" i="20" s="1"/>
  <c r="AI25" i="20"/>
  <c r="AJ25" i="20" s="1"/>
  <c r="AF25" i="20"/>
  <c r="AG25" i="20" s="1"/>
  <c r="AC25" i="20"/>
  <c r="AD25" i="20" s="1"/>
  <c r="AD62" i="19"/>
  <c r="K69" i="20" s="1"/>
  <c r="H69" i="11"/>
  <c r="AD41" i="19"/>
  <c r="K48" i="20" s="1"/>
  <c r="H45" i="11"/>
  <c r="AC22" i="19" l="1"/>
  <c r="J29" i="20" s="1"/>
  <c r="AD42" i="19"/>
  <c r="K49" i="20" s="1"/>
  <c r="H46" i="11"/>
  <c r="AC43" i="19"/>
  <c r="J50" i="20" s="1"/>
  <c r="V47" i="11"/>
  <c r="AE43" i="19" s="1"/>
  <c r="L50" i="20" s="1"/>
  <c r="AD63" i="19"/>
  <c r="K70" i="20" s="1"/>
  <c r="H70" i="11"/>
  <c r="AC64" i="19"/>
  <c r="J71" i="20" s="1"/>
  <c r="V71" i="11"/>
  <c r="AE64" i="19" s="1"/>
  <c r="L71" i="20" s="1"/>
  <c r="T72" i="11"/>
  <c r="U71" i="11"/>
  <c r="T24" i="11"/>
  <c r="U23" i="11"/>
  <c r="U47" i="11"/>
  <c r="T48" i="11"/>
  <c r="B35" i="6"/>
  <c r="G33" i="6"/>
  <c r="C35" i="6"/>
  <c r="H33" i="6"/>
  <c r="AF20" i="19"/>
  <c r="M27" i="20" s="1"/>
  <c r="W21" i="11"/>
  <c r="Y21" i="11"/>
  <c r="J21" i="11"/>
  <c r="I20" i="19" s="1"/>
  <c r="I21" i="11"/>
  <c r="H20" i="19" s="1"/>
  <c r="X46" i="11"/>
  <c r="AF41" i="19"/>
  <c r="M48" i="20" s="1"/>
  <c r="W45" i="11"/>
  <c r="AF62" i="19"/>
  <c r="M69" i="20" s="1"/>
  <c r="Y69" i="11"/>
  <c r="W69" i="11"/>
  <c r="I69" i="11"/>
  <c r="H62" i="19" s="1"/>
  <c r="J69" i="11"/>
  <c r="I62" i="19" s="1"/>
  <c r="X22" i="11"/>
  <c r="AD21" i="19"/>
  <c r="K28" i="20" s="1"/>
  <c r="H22" i="11"/>
  <c r="AY18" i="19"/>
  <c r="AK19" i="11" s="1"/>
  <c r="V46" i="11"/>
  <c r="AE42" i="19" s="1"/>
  <c r="L49" i="20" s="1"/>
  <c r="Z61" i="19"/>
  <c r="AI61" i="19" s="1"/>
  <c r="AQ61" i="19" s="1"/>
  <c r="Y61" i="19"/>
  <c r="AH61" i="19" s="1"/>
  <c r="AO61" i="19" s="1"/>
  <c r="AB61" i="19"/>
  <c r="W61" i="19"/>
  <c r="AA61" i="19"/>
  <c r="AJ61" i="19" s="1"/>
  <c r="AS61" i="19" s="1"/>
  <c r="AY61" i="19" s="1"/>
  <c r="AK68" i="11" s="1"/>
  <c r="AG61" i="19"/>
  <c r="AL61" i="19" s="1"/>
  <c r="AW61" i="19" s="1"/>
  <c r="X61" i="19"/>
  <c r="AK61" i="19" s="1"/>
  <c r="AU61" i="19" s="1"/>
  <c r="AZ61" i="19" s="1"/>
  <c r="N26" i="20"/>
  <c r="O26" i="20" s="1"/>
  <c r="W26" i="20"/>
  <c r="X26" i="20" s="1"/>
  <c r="Z26" i="20"/>
  <c r="AA26" i="20" s="1"/>
  <c r="AI26" i="20"/>
  <c r="AJ26" i="20" s="1"/>
  <c r="AF26" i="20"/>
  <c r="AG26" i="20" s="1"/>
  <c r="AC26" i="20"/>
  <c r="AD26" i="20" s="1"/>
  <c r="Y19" i="19"/>
  <c r="AH19" i="19" s="1"/>
  <c r="AO19" i="19" s="1"/>
  <c r="Z19" i="19"/>
  <c r="AI19" i="19" s="1"/>
  <c r="AQ19" i="19" s="1"/>
  <c r="W19" i="19"/>
  <c r="AB19" i="19"/>
  <c r="AG19" i="19"/>
  <c r="AL19" i="19" s="1"/>
  <c r="AW19" i="19" s="1"/>
  <c r="X19" i="19"/>
  <c r="AK19" i="19" s="1"/>
  <c r="AU19" i="19" s="1"/>
  <c r="AZ19" i="19" s="1"/>
  <c r="AA19" i="19"/>
  <c r="AJ19" i="19" s="1"/>
  <c r="AS19" i="19" s="1"/>
  <c r="AY19" i="19" s="1"/>
  <c r="AK20" i="11" s="1"/>
  <c r="AZ18" i="19"/>
  <c r="N68" i="20"/>
  <c r="O68" i="20" s="1"/>
  <c r="Z68" i="20"/>
  <c r="AA68" i="20" s="1"/>
  <c r="W68" i="20"/>
  <c r="X68" i="20" s="1"/>
  <c r="AF68" i="20"/>
  <c r="AG68" i="20" s="1"/>
  <c r="AC68" i="20"/>
  <c r="AD68" i="20" s="1"/>
  <c r="AI68" i="20"/>
  <c r="AJ68" i="20" s="1"/>
  <c r="C36" i="6" l="1"/>
  <c r="H34" i="6"/>
  <c r="N69" i="20"/>
  <c r="O69" i="20" s="1"/>
  <c r="Z69" i="20"/>
  <c r="AA69" i="20" s="1"/>
  <c r="W69" i="20"/>
  <c r="X69" i="20" s="1"/>
  <c r="AI69" i="20"/>
  <c r="AJ69" i="20" s="1"/>
  <c r="AC69" i="20"/>
  <c r="AD69" i="20" s="1"/>
  <c r="AF69" i="20"/>
  <c r="AG69" i="20" s="1"/>
  <c r="AF63" i="19"/>
  <c r="M70" i="20" s="1"/>
  <c r="W70" i="11"/>
  <c r="Y70" i="11"/>
  <c r="J70" i="11"/>
  <c r="I63" i="19" s="1"/>
  <c r="I70" i="11"/>
  <c r="H63" i="19" s="1"/>
  <c r="X70" i="11"/>
  <c r="T73" i="11"/>
  <c r="T25" i="11"/>
  <c r="T49" i="11"/>
  <c r="U24" i="11"/>
  <c r="U72" i="11"/>
  <c r="U48" i="11"/>
  <c r="B36" i="6"/>
  <c r="G34" i="6"/>
  <c r="Z62" i="19"/>
  <c r="AI62" i="19" s="1"/>
  <c r="AQ62" i="19" s="1"/>
  <c r="Y62" i="19"/>
  <c r="AH62" i="19" s="1"/>
  <c r="AO62" i="19" s="1"/>
  <c r="W62" i="19"/>
  <c r="AG62" i="19"/>
  <c r="AL62" i="19" s="1"/>
  <c r="AW62" i="19" s="1"/>
  <c r="AA62" i="19"/>
  <c r="AJ62" i="19" s="1"/>
  <c r="AS62" i="19" s="1"/>
  <c r="X62" i="19"/>
  <c r="AK62" i="19" s="1"/>
  <c r="AU62" i="19" s="1"/>
  <c r="AB62" i="19"/>
  <c r="AC44" i="19"/>
  <c r="J51" i="20" s="1"/>
  <c r="V48" i="11"/>
  <c r="AE44" i="19" s="1"/>
  <c r="L51" i="20" s="1"/>
  <c r="AC65" i="19"/>
  <c r="J72" i="20" s="1"/>
  <c r="V72" i="11"/>
  <c r="AE65" i="19" s="1"/>
  <c r="L72" i="20" s="1"/>
  <c r="AD43" i="19"/>
  <c r="K50" i="20" s="1"/>
  <c r="H47" i="11"/>
  <c r="AF42" i="19"/>
  <c r="M49" i="20" s="1"/>
  <c r="W46" i="11"/>
  <c r="AD22" i="19"/>
  <c r="K29" i="20" s="1"/>
  <c r="H23" i="11"/>
  <c r="N27" i="20"/>
  <c r="O27" i="20" s="1"/>
  <c r="Z27" i="20"/>
  <c r="AA27" i="20" s="1"/>
  <c r="W27" i="20"/>
  <c r="X27" i="20" s="1"/>
  <c r="AF27" i="20"/>
  <c r="AG27" i="20" s="1"/>
  <c r="AI27" i="20"/>
  <c r="AJ27" i="20" s="1"/>
  <c r="AC27" i="20"/>
  <c r="AD27" i="20" s="1"/>
  <c r="AC23" i="19"/>
  <c r="J30" i="20" s="1"/>
  <c r="V24" i="11"/>
  <c r="AE23" i="19" s="1"/>
  <c r="L30" i="20" s="1"/>
  <c r="V23" i="11"/>
  <c r="AE22" i="19" s="1"/>
  <c r="L29" i="20" s="1"/>
  <c r="AF21" i="19"/>
  <c r="M28" i="20" s="1"/>
  <c r="Y22" i="11"/>
  <c r="W22" i="11"/>
  <c r="J22" i="11"/>
  <c r="I21" i="19" s="1"/>
  <c r="I22" i="11"/>
  <c r="H21" i="19" s="1"/>
  <c r="Z20" i="19"/>
  <c r="AI20" i="19" s="1"/>
  <c r="AQ20" i="19" s="1"/>
  <c r="Y20" i="19"/>
  <c r="AH20" i="19" s="1"/>
  <c r="AO20" i="19" s="1"/>
  <c r="W20" i="19"/>
  <c r="AG20" i="19"/>
  <c r="AL20" i="19" s="1"/>
  <c r="AW20" i="19" s="1"/>
  <c r="AA20" i="19"/>
  <c r="AJ20" i="19" s="1"/>
  <c r="AS20" i="19" s="1"/>
  <c r="AY20" i="19" s="1"/>
  <c r="AK21" i="11" s="1"/>
  <c r="X20" i="19"/>
  <c r="AK20" i="19" s="1"/>
  <c r="AU20" i="19" s="1"/>
  <c r="AZ20" i="19" s="1"/>
  <c r="AB20" i="19"/>
  <c r="AD64" i="19"/>
  <c r="K71" i="20" s="1"/>
  <c r="H71" i="11"/>
  <c r="AD44" i="19" l="1"/>
  <c r="K51" i="20" s="1"/>
  <c r="H48" i="11"/>
  <c r="AD65" i="19"/>
  <c r="K72" i="20" s="1"/>
  <c r="H72" i="11"/>
  <c r="N28" i="20"/>
  <c r="O28" i="20" s="1"/>
  <c r="Z28" i="20"/>
  <c r="AA28" i="20" s="1"/>
  <c r="W28" i="20"/>
  <c r="X28" i="20" s="1"/>
  <c r="AC28" i="20"/>
  <c r="AD28" i="20" s="1"/>
  <c r="AF28" i="20"/>
  <c r="AG28" i="20" s="1"/>
  <c r="AI28" i="20"/>
  <c r="AJ28" i="20" s="1"/>
  <c r="AD23" i="19"/>
  <c r="K30" i="20" s="1"/>
  <c r="H24" i="11"/>
  <c r="T74" i="11"/>
  <c r="U73" i="11"/>
  <c r="U25" i="11"/>
  <c r="U49" i="11"/>
  <c r="T26" i="11"/>
  <c r="T50" i="11"/>
  <c r="G35" i="6"/>
  <c r="B37" i="6"/>
  <c r="Z21" i="19"/>
  <c r="AI21" i="19" s="1"/>
  <c r="AQ21" i="19" s="1"/>
  <c r="Y21" i="19"/>
  <c r="AH21" i="19" s="1"/>
  <c r="AO21" i="19" s="1"/>
  <c r="W21" i="19"/>
  <c r="AA21" i="19"/>
  <c r="AJ21" i="19" s="1"/>
  <c r="AS21" i="19" s="1"/>
  <c r="AY21" i="19" s="1"/>
  <c r="AK22" i="11" s="1"/>
  <c r="X21" i="19"/>
  <c r="AK21" i="19" s="1"/>
  <c r="AU21" i="19" s="1"/>
  <c r="AG21" i="19"/>
  <c r="AL21" i="19" s="1"/>
  <c r="AW21" i="19" s="1"/>
  <c r="AB21" i="19"/>
  <c r="AC45" i="19"/>
  <c r="J52" i="20" s="1"/>
  <c r="V49" i="11"/>
  <c r="AE45" i="19" s="1"/>
  <c r="L52" i="20" s="1"/>
  <c r="AF64" i="19"/>
  <c r="M71" i="20" s="1"/>
  <c r="W71" i="11"/>
  <c r="I71" i="11"/>
  <c r="H64" i="19" s="1"/>
  <c r="J71" i="11"/>
  <c r="I64" i="19" s="1"/>
  <c r="Y71" i="11"/>
  <c r="AF22" i="19"/>
  <c r="M29" i="20" s="1"/>
  <c r="W23" i="11"/>
  <c r="Y23" i="11"/>
  <c r="J23" i="11"/>
  <c r="I22" i="19" s="1"/>
  <c r="I23" i="11"/>
  <c r="H22" i="19" s="1"/>
  <c r="AZ62" i="19"/>
  <c r="AC24" i="19"/>
  <c r="J31" i="20" s="1"/>
  <c r="V25" i="11"/>
  <c r="AE24" i="19" s="1"/>
  <c r="L31" i="20" s="1"/>
  <c r="AY62" i="19"/>
  <c r="AK69" i="11" s="1"/>
  <c r="AC66" i="19"/>
  <c r="J73" i="20" s="1"/>
  <c r="V73" i="11"/>
  <c r="AE66" i="19" s="1"/>
  <c r="L73" i="20" s="1"/>
  <c r="AF43" i="19"/>
  <c r="M50" i="20" s="1"/>
  <c r="W47" i="11"/>
  <c r="X23" i="11"/>
  <c r="X24" i="11" s="1"/>
  <c r="X47" i="11"/>
  <c r="X48" i="11" s="1"/>
  <c r="X71" i="11"/>
  <c r="X72" i="11" s="1"/>
  <c r="Y63" i="19"/>
  <c r="AH63" i="19" s="1"/>
  <c r="AO63" i="19" s="1"/>
  <c r="Z63" i="19"/>
  <c r="AI63" i="19" s="1"/>
  <c r="AQ63" i="19" s="1"/>
  <c r="W63" i="19"/>
  <c r="AB63" i="19"/>
  <c r="AG63" i="19"/>
  <c r="AL63" i="19" s="1"/>
  <c r="AW63" i="19" s="1"/>
  <c r="AA63" i="19"/>
  <c r="AJ63" i="19" s="1"/>
  <c r="AS63" i="19" s="1"/>
  <c r="AY63" i="19" s="1"/>
  <c r="AK70" i="11" s="1"/>
  <c r="X63" i="19"/>
  <c r="AK63" i="19" s="1"/>
  <c r="AU63" i="19" s="1"/>
  <c r="AZ63" i="19" s="1"/>
  <c r="N70" i="20"/>
  <c r="O70" i="20" s="1"/>
  <c r="W70" i="20"/>
  <c r="X70" i="20" s="1"/>
  <c r="Z70" i="20"/>
  <c r="AA70" i="20" s="1"/>
  <c r="AI70" i="20"/>
  <c r="AJ70" i="20" s="1"/>
  <c r="AF70" i="20"/>
  <c r="AG70" i="20" s="1"/>
  <c r="AC70" i="20"/>
  <c r="AD70" i="20" s="1"/>
  <c r="C37" i="6"/>
  <c r="H35" i="6"/>
  <c r="N71" i="20" l="1"/>
  <c r="O71" i="20" s="1"/>
  <c r="Z71" i="20"/>
  <c r="AA71" i="20" s="1"/>
  <c r="W71" i="20"/>
  <c r="X71" i="20" s="1"/>
  <c r="AI71" i="20"/>
  <c r="AJ71" i="20" s="1"/>
  <c r="AC71" i="20"/>
  <c r="AD71" i="20" s="1"/>
  <c r="AF71" i="20"/>
  <c r="AG71" i="20" s="1"/>
  <c r="T75" i="11"/>
  <c r="T27" i="11"/>
  <c r="U74" i="11"/>
  <c r="T51" i="11"/>
  <c r="U50" i="11"/>
  <c r="U26" i="11"/>
  <c r="V26" i="11" s="1"/>
  <c r="AE25" i="19" s="1"/>
  <c r="L32" i="20" s="1"/>
  <c r="G36" i="6"/>
  <c r="B38" i="6"/>
  <c r="AC46" i="19"/>
  <c r="J53" i="20" s="1"/>
  <c r="V50" i="11"/>
  <c r="AE46" i="19" s="1"/>
  <c r="L53" i="20" s="1"/>
  <c r="AC25" i="19"/>
  <c r="J32" i="20" s="1"/>
  <c r="Y64" i="19"/>
  <c r="AH64" i="19" s="1"/>
  <c r="AO64" i="19" s="1"/>
  <c r="Z64" i="19"/>
  <c r="AI64" i="19" s="1"/>
  <c r="AQ64" i="19" s="1"/>
  <c r="W64" i="19"/>
  <c r="AG64" i="19"/>
  <c r="AL64" i="19" s="1"/>
  <c r="AW64" i="19" s="1"/>
  <c r="AA64" i="19"/>
  <c r="AJ64" i="19" s="1"/>
  <c r="AS64" i="19" s="1"/>
  <c r="AY64" i="19" s="1"/>
  <c r="AK71" i="11" s="1"/>
  <c r="X64" i="19"/>
  <c r="AK64" i="19" s="1"/>
  <c r="AU64" i="19" s="1"/>
  <c r="AZ64" i="19" s="1"/>
  <c r="AB64" i="19"/>
  <c r="H36" i="6"/>
  <c r="B41" i="6"/>
  <c r="AD45" i="19"/>
  <c r="K52" i="20" s="1"/>
  <c r="H49" i="11"/>
  <c r="AF65" i="19"/>
  <c r="M72" i="20" s="1"/>
  <c r="W72" i="11"/>
  <c r="Y72" i="11"/>
  <c r="I72" i="11"/>
  <c r="H65" i="19" s="1"/>
  <c r="J72" i="11"/>
  <c r="I65" i="19" s="1"/>
  <c r="X25" i="11"/>
  <c r="AD24" i="19"/>
  <c r="K31" i="20" s="1"/>
  <c r="H25" i="11"/>
  <c r="Z22" i="19"/>
  <c r="AI22" i="19" s="1"/>
  <c r="AQ22" i="19" s="1"/>
  <c r="Y22" i="19"/>
  <c r="AH22" i="19" s="1"/>
  <c r="AO22" i="19" s="1"/>
  <c r="AG22" i="19"/>
  <c r="AL22" i="19" s="1"/>
  <c r="AW22" i="19" s="1"/>
  <c r="W22" i="19"/>
  <c r="AB22" i="19"/>
  <c r="X22" i="19"/>
  <c r="AK22" i="19" s="1"/>
  <c r="AU22" i="19" s="1"/>
  <c r="AZ22" i="19" s="1"/>
  <c r="AA22" i="19"/>
  <c r="AJ22" i="19" s="1"/>
  <c r="AS22" i="19" s="1"/>
  <c r="AY22" i="19" s="1"/>
  <c r="AK23" i="11" s="1"/>
  <c r="AD66" i="19"/>
  <c r="K73" i="20" s="1"/>
  <c r="H73" i="11"/>
  <c r="AF44" i="19"/>
  <c r="M51" i="20" s="1"/>
  <c r="W48" i="11"/>
  <c r="AF23" i="19"/>
  <c r="M30" i="20" s="1"/>
  <c r="W24" i="11"/>
  <c r="Y24" i="11"/>
  <c r="J24" i="11"/>
  <c r="I23" i="19" s="1"/>
  <c r="I24" i="11"/>
  <c r="H23" i="19" s="1"/>
  <c r="N29" i="20"/>
  <c r="O29" i="20" s="1"/>
  <c r="Z29" i="20"/>
  <c r="AA29" i="20" s="1"/>
  <c r="W29" i="20"/>
  <c r="X29" i="20" s="1"/>
  <c r="AI29" i="20"/>
  <c r="AJ29" i="20" s="1"/>
  <c r="AF29" i="20"/>
  <c r="AG29" i="20" s="1"/>
  <c r="AC29" i="20"/>
  <c r="AD29" i="20" s="1"/>
  <c r="X73" i="11"/>
  <c r="X49" i="11"/>
  <c r="AZ21" i="19"/>
  <c r="AC67" i="19"/>
  <c r="J74" i="20" s="1"/>
  <c r="V74" i="11"/>
  <c r="AE67" i="19" s="1"/>
  <c r="L74" i="20" s="1"/>
  <c r="AD67" i="19" l="1"/>
  <c r="K74" i="20" s="1"/>
  <c r="H74" i="11"/>
  <c r="X74" i="11" s="1"/>
  <c r="AC26" i="19"/>
  <c r="J33" i="20" s="1"/>
  <c r="Z65" i="19"/>
  <c r="AI65" i="19" s="1"/>
  <c r="AQ65" i="19" s="1"/>
  <c r="Y65" i="19"/>
  <c r="AH65" i="19" s="1"/>
  <c r="AO65" i="19" s="1"/>
  <c r="W65" i="19"/>
  <c r="AG65" i="19"/>
  <c r="AL65" i="19" s="1"/>
  <c r="AW65" i="19" s="1"/>
  <c r="X65" i="19"/>
  <c r="AK65" i="19" s="1"/>
  <c r="AU65" i="19" s="1"/>
  <c r="AZ65" i="19" s="1"/>
  <c r="AA65" i="19"/>
  <c r="AJ65" i="19" s="1"/>
  <c r="AS65" i="19" s="1"/>
  <c r="AY65" i="19" s="1"/>
  <c r="AK72" i="11" s="1"/>
  <c r="AB65" i="19"/>
  <c r="N72" i="20"/>
  <c r="O72" i="20" s="1"/>
  <c r="W72" i="20"/>
  <c r="X72" i="20" s="1"/>
  <c r="Z72" i="20"/>
  <c r="AA72" i="20" s="1"/>
  <c r="AI72" i="20"/>
  <c r="AJ72" i="20" s="1"/>
  <c r="AC72" i="20"/>
  <c r="AD72" i="20" s="1"/>
  <c r="AF72" i="20"/>
  <c r="AG72" i="20" s="1"/>
  <c r="AC68" i="19"/>
  <c r="J75" i="20" s="1"/>
  <c r="V75" i="11"/>
  <c r="AE68" i="19" s="1"/>
  <c r="L75" i="20" s="1"/>
  <c r="AD46" i="19"/>
  <c r="K53" i="20" s="1"/>
  <c r="H50" i="11"/>
  <c r="AF66" i="19"/>
  <c r="M73" i="20" s="1"/>
  <c r="Y73" i="11"/>
  <c r="W73" i="11"/>
  <c r="J73" i="11"/>
  <c r="I66" i="19" s="1"/>
  <c r="I73" i="11"/>
  <c r="H66" i="19" s="1"/>
  <c r="AC47" i="19"/>
  <c r="J54" i="20" s="1"/>
  <c r="N30" i="20"/>
  <c r="O30" i="20" s="1"/>
  <c r="W30" i="20"/>
  <c r="X30" i="20" s="1"/>
  <c r="Z30" i="20"/>
  <c r="AA30" i="20" s="1"/>
  <c r="AC30" i="20"/>
  <c r="AD30" i="20" s="1"/>
  <c r="AI30" i="20"/>
  <c r="AJ30" i="20" s="1"/>
  <c r="AF30" i="20"/>
  <c r="AG30" i="20" s="1"/>
  <c r="AF45" i="19"/>
  <c r="M52" i="20" s="1"/>
  <c r="W49" i="11"/>
  <c r="U75" i="11"/>
  <c r="U27" i="11"/>
  <c r="U51" i="11"/>
  <c r="V51" i="11" s="1"/>
  <c r="AE47" i="19" s="1"/>
  <c r="L54" i="20" s="1"/>
  <c r="C39" i="6"/>
  <c r="AD25" i="19"/>
  <c r="K32" i="20" s="1"/>
  <c r="H26" i="11"/>
  <c r="X26" i="11" s="1"/>
  <c r="Y23" i="19"/>
  <c r="AH23" i="19" s="1"/>
  <c r="AO23" i="19" s="1"/>
  <c r="Z23" i="19"/>
  <c r="AI23" i="19" s="1"/>
  <c r="AQ23" i="19" s="1"/>
  <c r="W23" i="19"/>
  <c r="AB23" i="19"/>
  <c r="AG23" i="19"/>
  <c r="AL23" i="19" s="1"/>
  <c r="AW23" i="19" s="1"/>
  <c r="AA23" i="19"/>
  <c r="AJ23" i="19" s="1"/>
  <c r="AS23" i="19" s="1"/>
  <c r="X23" i="19"/>
  <c r="AK23" i="19" s="1"/>
  <c r="AU23" i="19" s="1"/>
  <c r="AF24" i="19"/>
  <c r="M31" i="20" s="1"/>
  <c r="Y25" i="11"/>
  <c r="W25" i="11"/>
  <c r="J25" i="11"/>
  <c r="I24" i="19" s="1"/>
  <c r="I25" i="11"/>
  <c r="H24" i="19" s="1"/>
  <c r="G37" i="6"/>
  <c r="AF46" i="19" l="1"/>
  <c r="M53" i="20" s="1"/>
  <c r="W50" i="11"/>
  <c r="N31" i="20"/>
  <c r="O31" i="20" s="1"/>
  <c r="W31" i="20"/>
  <c r="X31" i="20" s="1"/>
  <c r="Z31" i="20"/>
  <c r="AA31" i="20" s="1"/>
  <c r="AI31" i="20"/>
  <c r="AJ31" i="20" s="1"/>
  <c r="AF31" i="20"/>
  <c r="AG31" i="20" s="1"/>
  <c r="AC31" i="20"/>
  <c r="AD31" i="20" s="1"/>
  <c r="Y24" i="19"/>
  <c r="AH24" i="19" s="1"/>
  <c r="AO24" i="19" s="1"/>
  <c r="Z24" i="19"/>
  <c r="AI24" i="19" s="1"/>
  <c r="AQ24" i="19" s="1"/>
  <c r="W24" i="19"/>
  <c r="AB24" i="19"/>
  <c r="AG24" i="19"/>
  <c r="AL24" i="19" s="1"/>
  <c r="AW24" i="19" s="1"/>
  <c r="X24" i="19"/>
  <c r="AK24" i="19" s="1"/>
  <c r="AU24" i="19" s="1"/>
  <c r="AA24" i="19"/>
  <c r="AJ24" i="19" s="1"/>
  <c r="AS24" i="19" s="1"/>
  <c r="AD47" i="19"/>
  <c r="K54" i="20" s="1"/>
  <c r="H51" i="11"/>
  <c r="AD26" i="19"/>
  <c r="K33" i="20" s="1"/>
  <c r="H27" i="11"/>
  <c r="N73" i="20"/>
  <c r="O73" i="20" s="1"/>
  <c r="W73" i="20"/>
  <c r="X73" i="20" s="1"/>
  <c r="Z73" i="20"/>
  <c r="AA73" i="20" s="1"/>
  <c r="AC73" i="20"/>
  <c r="AD73" i="20" s="1"/>
  <c r="AF73" i="20"/>
  <c r="AG73" i="20" s="1"/>
  <c r="AI73" i="20"/>
  <c r="AJ73" i="20" s="1"/>
  <c r="V27" i="11"/>
  <c r="AE26" i="19" s="1"/>
  <c r="L33" i="20" s="1"/>
  <c r="AZ23" i="19"/>
  <c r="AD68" i="19"/>
  <c r="K75" i="20" s="1"/>
  <c r="H75" i="11"/>
  <c r="Z66" i="19"/>
  <c r="AI66" i="19" s="1"/>
  <c r="AQ66" i="19" s="1"/>
  <c r="Y66" i="19"/>
  <c r="AH66" i="19" s="1"/>
  <c r="AO66" i="19" s="1"/>
  <c r="AB66" i="19"/>
  <c r="W66" i="19"/>
  <c r="AA66" i="19"/>
  <c r="AJ66" i="19" s="1"/>
  <c r="AS66" i="19" s="1"/>
  <c r="AY66" i="19" s="1"/>
  <c r="AK73" i="11" s="1"/>
  <c r="AG66" i="19"/>
  <c r="AL66" i="19" s="1"/>
  <c r="AW66" i="19" s="1"/>
  <c r="X66" i="19"/>
  <c r="AK66" i="19" s="1"/>
  <c r="AU66" i="19" s="1"/>
  <c r="AZ66" i="19" s="1"/>
  <c r="AF25" i="19"/>
  <c r="M32" i="20" s="1"/>
  <c r="W26" i="11"/>
  <c r="Y26" i="11"/>
  <c r="I26" i="11"/>
  <c r="H25" i="19" s="1"/>
  <c r="J26" i="11"/>
  <c r="I25" i="19" s="1"/>
  <c r="X50" i="11"/>
  <c r="X51" i="11" s="1"/>
  <c r="AY23" i="19"/>
  <c r="AK24" i="11" s="1"/>
  <c r="AF67" i="19"/>
  <c r="M74" i="20" s="1"/>
  <c r="W74" i="11"/>
  <c r="Y74" i="11"/>
  <c r="J74" i="11"/>
  <c r="I67" i="19" s="1"/>
  <c r="I74" i="11"/>
  <c r="H67" i="19" s="1"/>
  <c r="Y25" i="19" l="1"/>
  <c r="AH25" i="19" s="1"/>
  <c r="AO25" i="19" s="1"/>
  <c r="Z25" i="19"/>
  <c r="AI25" i="19" s="1"/>
  <c r="AQ25" i="19" s="1"/>
  <c r="AB25" i="19"/>
  <c r="AG25" i="19"/>
  <c r="AL25" i="19" s="1"/>
  <c r="AW25" i="19" s="1"/>
  <c r="W25" i="19"/>
  <c r="X25" i="19"/>
  <c r="AK25" i="19" s="1"/>
  <c r="AU25" i="19" s="1"/>
  <c r="AZ25" i="19" s="1"/>
  <c r="AA25" i="19"/>
  <c r="AJ25" i="19" s="1"/>
  <c r="AS25" i="19" s="1"/>
  <c r="AY25" i="19" s="1"/>
  <c r="AK26" i="11" s="1"/>
  <c r="AF68" i="19"/>
  <c r="M75" i="20" s="1"/>
  <c r="Y75" i="11"/>
  <c r="W75" i="11"/>
  <c r="J75" i="11"/>
  <c r="I68" i="19" s="1"/>
  <c r="I75" i="11"/>
  <c r="H68" i="19" s="1"/>
  <c r="H92" i="11"/>
  <c r="AF47" i="19"/>
  <c r="M54" i="20" s="1"/>
  <c r="W51" i="11"/>
  <c r="H91" i="11"/>
  <c r="N32" i="20"/>
  <c r="O32" i="20" s="1"/>
  <c r="W32" i="20"/>
  <c r="X32" i="20" s="1"/>
  <c r="Z32" i="20"/>
  <c r="AA32" i="20" s="1"/>
  <c r="AI32" i="20"/>
  <c r="AJ32" i="20" s="1"/>
  <c r="AF32" i="20"/>
  <c r="AG32" i="20" s="1"/>
  <c r="AC32" i="20"/>
  <c r="AD32" i="20" s="1"/>
  <c r="AF26" i="19"/>
  <c r="M33" i="20" s="1"/>
  <c r="W27" i="11"/>
  <c r="Y27" i="11"/>
  <c r="I27" i="11"/>
  <c r="H26" i="19" s="1"/>
  <c r="J27" i="11"/>
  <c r="I26" i="19" s="1"/>
  <c r="H90" i="11"/>
  <c r="AY24" i="19"/>
  <c r="AK25" i="11" s="1"/>
  <c r="AZ24" i="19"/>
  <c r="X75" i="11"/>
  <c r="N74" i="20"/>
  <c r="O74" i="20" s="1"/>
  <c r="Z74" i="20"/>
  <c r="AA74" i="20" s="1"/>
  <c r="W74" i="20"/>
  <c r="X74" i="20" s="1"/>
  <c r="AF74" i="20"/>
  <c r="AG74" i="20" s="1"/>
  <c r="AI74" i="20"/>
  <c r="AJ74" i="20" s="1"/>
  <c r="AC74" i="20"/>
  <c r="AD74" i="20" s="1"/>
  <c r="Y67" i="19"/>
  <c r="AH67" i="19" s="1"/>
  <c r="AO67" i="19" s="1"/>
  <c r="Z67" i="19"/>
  <c r="AI67" i="19" s="1"/>
  <c r="AQ67" i="19" s="1"/>
  <c r="W67" i="19"/>
  <c r="X67" i="19"/>
  <c r="AK67" i="19" s="1"/>
  <c r="AU67" i="19" s="1"/>
  <c r="AZ67" i="19" s="1"/>
  <c r="AG67" i="19"/>
  <c r="AL67" i="19" s="1"/>
  <c r="AW67" i="19" s="1"/>
  <c r="AA67" i="19"/>
  <c r="AJ67" i="19" s="1"/>
  <c r="AS67" i="19" s="1"/>
  <c r="AY67" i="19" s="1"/>
  <c r="AK74" i="11" s="1"/>
  <c r="AB67" i="19"/>
  <c r="X27" i="11"/>
  <c r="Z68" i="19" l="1"/>
  <c r="AI68" i="19" s="1"/>
  <c r="AQ68" i="19" s="1"/>
  <c r="Y68" i="19"/>
  <c r="AH68" i="19" s="1"/>
  <c r="AO68" i="19" s="1"/>
  <c r="W68" i="19"/>
  <c r="AG68" i="19"/>
  <c r="AL68" i="19" s="1"/>
  <c r="AW68" i="19" s="1"/>
  <c r="AA68" i="19"/>
  <c r="AJ68" i="19" s="1"/>
  <c r="AS68" i="19" s="1"/>
  <c r="AY68" i="19" s="1"/>
  <c r="AK75" i="11" s="1"/>
  <c r="AB68" i="19"/>
  <c r="X68" i="19"/>
  <c r="AK68" i="19" s="1"/>
  <c r="AU68" i="19" s="1"/>
  <c r="AZ68" i="19" s="1"/>
  <c r="N75" i="20"/>
  <c r="O75" i="20" s="1"/>
  <c r="Z75" i="20"/>
  <c r="AA75" i="20" s="1"/>
  <c r="W75" i="20"/>
  <c r="X75" i="20" s="1"/>
  <c r="AI75" i="20"/>
  <c r="AJ75" i="20" s="1"/>
  <c r="AC75" i="20"/>
  <c r="AD75" i="20" s="1"/>
  <c r="AF75" i="20"/>
  <c r="AG75" i="20" s="1"/>
  <c r="J90" i="11"/>
  <c r="I90" i="11"/>
  <c r="Z26" i="19"/>
  <c r="AI26" i="19" s="1"/>
  <c r="AQ26" i="19" s="1"/>
  <c r="AB26" i="19"/>
  <c r="Y26" i="19"/>
  <c r="AH26" i="19" s="1"/>
  <c r="AO26" i="19" s="1"/>
  <c r="W26" i="19"/>
  <c r="AG26" i="19"/>
  <c r="AL26" i="19" s="1"/>
  <c r="AW26" i="19" s="1"/>
  <c r="X26" i="19"/>
  <c r="AK26" i="19" s="1"/>
  <c r="AU26" i="19" s="1"/>
  <c r="AZ26" i="19" s="1"/>
  <c r="AA26" i="19"/>
  <c r="AJ26" i="19" s="1"/>
  <c r="AS26" i="19" s="1"/>
  <c r="AY26" i="19" s="1"/>
  <c r="AK27" i="11" s="1"/>
  <c r="J91" i="11"/>
  <c r="I91" i="11"/>
  <c r="N33" i="20"/>
  <c r="O33" i="20" s="1"/>
  <c r="Z33" i="20"/>
  <c r="AA33" i="20" s="1"/>
  <c r="W33" i="20"/>
  <c r="X33" i="20" s="1"/>
  <c r="AI33" i="20"/>
  <c r="AJ33" i="20" s="1"/>
  <c r="AF33" i="20"/>
  <c r="AG33" i="20" s="1"/>
  <c r="AC33" i="20"/>
  <c r="AD33" i="20" s="1"/>
  <c r="J92" i="11"/>
  <c r="I9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tc={66AF35F3-ED6D-403C-8D42-62C4D603C901}</author>
    <author>tc={F38A08AD-5E7F-4780-BF05-109609D130EA}</author>
  </authors>
  <commentList>
    <comment ref="C47"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Merged with sample 11 post splitting</t>
      </text>
    </comment>
    <comment ref="C49"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Merged with samples 13, 14, 15, 16, 17, 18, 19, 20, and 21 post splitting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Davies, Di (CMAR, Hobart)</author>
  </authors>
  <commentList>
    <comment ref="D3" authorId="0" shapeId="0" xr:uid="{00000000-0006-0000-0B00-000001000000}">
      <text>
        <r>
          <rPr>
            <b/>
            <sz val="8"/>
            <color indexed="81"/>
            <rFont val="Tahoma"/>
            <family val="2"/>
          </rPr>
          <t>Davies, Di (CMAR, Hobart):</t>
        </r>
        <r>
          <rPr>
            <sz val="8"/>
            <color indexed="81"/>
            <rFont val="Tahoma"/>
            <family val="2"/>
          </rPr>
          <t xml:space="preserve">
Measured on Mettler balance only accurate to 0.01 mg. Formatted as ug to make consistent with rest of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tc={BEED17CA-851D-40E1-B644-34466CE1E8D6}</author>
    <author>tc={8DA0B360-BA42-4621-855F-53A856B9DA51}</author>
    <author>tc={4558A220-5D60-4969-8E67-F7576FE39888}</author>
    <author>tc={5866A156-FDD3-4609-9058-981DB5BBDBF1}</author>
  </authors>
  <commentList>
    <comment ref="W1"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These two columns also never really seemed relevant to me. You can hide them if you like. Columns T - V are the most important</t>
      </text>
    </comment>
    <comment ref="Y1"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I admittedly never filled this column in, since we didn’t seem to use it</t>
      </text>
    </comment>
    <comment ref="E40"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Merged with sample 11</t>
      </text>
    </comment>
    <comment ref="E42" authorId="3" shapeId="0" xr:uid="{00000000-0006-0000-0C00-000004000000}">
      <text>
        <t>[Threaded comment]
Your version of Excel allows you to read this threaded comment; however, any edits to it will get removed if the file is opened in a newer version of Excel. Learn more: https://go.microsoft.com/fwlink/?linkid=870924
Comment:
    Merged with all samples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tc={7CC35470-3571-4C41-B716-BF019447B24A}</author>
    <author>tc={C13747C0-B723-4DD1-9895-F6E94B828CB1}</author>
    <author>tc={CE15B872-3CBF-4FFA-84FB-448F43B2EC7E}</author>
    <author>tc={9A6AB429-989B-4511-89D7-1351CA996939}</author>
    <author>tc={DBAD787F-CC79-4A50-9100-155689B7B217}</author>
    <author>tc={E9907601-688F-4875-8182-B78673ACF137}</author>
    <author>tc={165FBC50-DD39-45CE-A30A-27A4CB7E9121}</author>
  </authors>
  <commentList>
    <comment ref="J18" authorId="0" shapeId="0" xr:uid="{7CC35470-3571-4C41-B716-BF019447B24A}">
      <text>
        <t>[Threaded comment]
Your version of Excel allows you to read this threaded comment; however, any edits to it will get removed if the file is opened in a newer version of Excel. Learn more: https://go.microsoft.com/fwlink/?linkid=870924
Comment:
    checked</t>
      </text>
    </comment>
    <comment ref="J27" authorId="1" shapeId="0" xr:uid="{C13747C0-B723-4DD1-9895-F6E94B828CB1}">
      <text>
        <t>[Threaded comment]
Your version of Excel allows you to read this threaded comment; however, any edits to it will get removed if the file is opened in a newer version of Excel. Learn more: https://go.microsoft.com/fwlink/?linkid=870924
Comment:
    checked</t>
      </text>
    </comment>
    <comment ref="S28" authorId="2" shapeId="0" xr:uid="{CE15B872-3CBF-4FFA-84FB-448F43B2EC7E}">
      <text>
        <t>[Threaded comment]
Your version of Excel allows you to read this threaded comment; however, any edits to it will get removed if the file is opened in a newer version of Excel. Learn more: https://go.microsoft.com/fwlink/?linkid=870924
Comment:
    Why is this flag 1 when the others are 4? Is it because this value is calculated from the others so technically it’s good data?</t>
      </text>
    </comment>
    <comment ref="J60" authorId="3" shapeId="0" xr:uid="{9A6AB429-989B-4511-89D7-1351CA996939}">
      <text>
        <t>[Threaded comment]
Your version of Excel allows you to read this threaded comment; however, any edits to it will get removed if the file is opened in a newer version of Excel. Learn more: https://go.microsoft.com/fwlink/?linkid=870924
Comment:
    I’m guessing these are 2 because they can’t be compared to the 2000m depth?
Reply:
    Correct. The values are outside of the QC range for that time of year but because the 2000m trap doesn’t have a point of comparison, they don’t get marked as 3.</t>
      </text>
    </comment>
    <comment ref="U60" authorId="4" shapeId="0" xr:uid="{DBAD787F-CC79-4A50-9100-155689B7B217}">
      <text>
        <t>[Threaded comment]
Your version of Excel allows you to read this threaded comment; however, any edits to it will get removed if the file is opened in a newer version of Excel. Learn more: https://go.microsoft.com/fwlink/?linkid=870924
Comment:
    checked</t>
      </text>
    </comment>
    <comment ref="M67" authorId="5" shapeId="0" xr:uid="{E9907601-688F-4875-8182-B78673ACF137}">
      <text>
        <t>[Threaded comment]
Your version of Excel allows you to read this threaded comment; however, any edits to it will get removed if the file is opened in a newer version of Excel. Learn more: https://go.microsoft.com/fwlink/?linkid=870924
Comment:
    checked</t>
      </text>
    </comment>
    <comment ref="S67" authorId="6" shapeId="0" xr:uid="{165FBC50-DD39-45CE-A30A-27A4CB7E9121}">
      <text>
        <t>[Threaded comment]
Your version of Excel allows you to read this threaded comment; however, any edits to it will get removed if the file is opened in a newer version of Excel. Learn more: https://go.microsoft.com/fwlink/?linkid=870924
Comment:
    I think this should be flagged 1 if I’m looking at the right table? Table 19 in the QC document has the lower and upper limits as 1.0 and 9.6
Reply:
    POC is a derived value, by subtraction of PC and PIC, hence the highest flag carries across to POC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<sst xmlns="http://schemas.openxmlformats.org/spreadsheetml/2006/main" count="11616" uniqueCount="2463">
  <si>
    <t>brine pH before loading the cups</t>
  </si>
  <si>
    <t>Conductivity meter (Mettler Toledo Seven Compact),</t>
  </si>
  <si>
    <t>The volume of the McLane Parflux mark78 21 cup is 250mL but I need to check when filled to shoulder=</t>
  </si>
  <si>
    <t>sodium chloride, NaCl</t>
  </si>
  <si>
    <t>sodium tetraborate,Na2B4O7.10H2O in addition to sw</t>
  </si>
  <si>
    <t>strontium chloride,  SrCl2.6H2O 10x sw</t>
  </si>
  <si>
    <t>mercury chloride,  HgCl2</t>
  </si>
  <si>
    <t>silicate, none due to slow kinetics, low in 47S water</t>
  </si>
  <si>
    <t>none, discussed with Tom</t>
  </si>
  <si>
    <t xml:space="preserve">One cup contains 250mL which would require g.  </t>
  </si>
  <si>
    <t>close to 10mL saturated HgCL2 7.3g/100mL</t>
  </si>
  <si>
    <t>saturated mercuric chloride volume (mL) required=</t>
  </si>
  <si>
    <t>g</t>
  </si>
  <si>
    <t>Brine volume (L) required for 3 traps for SAZ19=</t>
  </si>
  <si>
    <t>company, PN</t>
  </si>
  <si>
    <t>Sigma Aldrich Lot. No. 03216TR</t>
  </si>
  <si>
    <t>Di's additions:  there is a general preference to fill the cups with brine, remove 10mL by pipette and replace with 10mL of saturated mercuric chloride. This was trialed during SAZ18 prep and worked well.</t>
  </si>
  <si>
    <t>Sample ID</t>
  </si>
  <si>
    <t>NOx (uM)</t>
  </si>
  <si>
    <t>Phosphate (uM)</t>
  </si>
  <si>
    <t>Silicate (uM)</t>
  </si>
  <si>
    <t>Ammonia (uM)</t>
  </si>
  <si>
    <t>Nitrite (uM)</t>
  </si>
  <si>
    <t>DD 4 - Carboy 4</t>
  </si>
  <si>
    <t>#3</t>
  </si>
  <si>
    <t>#2</t>
  </si>
  <si>
    <t>#1</t>
  </si>
  <si>
    <t>Filtered seawater salinity and pH before adding brine salts</t>
  </si>
  <si>
    <t>final concentration g/L that we're aiming for</t>
  </si>
  <si>
    <t>Concentration aimed for</t>
  </si>
  <si>
    <t>g wt (NaCl taken into account psu measured already)</t>
  </si>
  <si>
    <t>g/L to be added</t>
  </si>
  <si>
    <t>hence prepare 24L as 2 12L aliquots for easy handling</t>
  </si>
  <si>
    <r>
      <t>sodium chloride, NaCl;</t>
    </r>
    <r>
      <rPr>
        <b/>
        <sz val="12"/>
        <rFont val="Calibri"/>
        <family val="2"/>
        <scheme val="minor"/>
      </rPr>
      <t xml:space="preserve"> Brine concentration needs to be increased to allow for 10mL removal from 250mL and replacement with mercuric chloride</t>
    </r>
    <r>
      <rPr>
        <sz val="12"/>
        <rFont val="Calibri"/>
        <family val="2"/>
        <scheme val="minor"/>
      </rPr>
      <t xml:space="preserve"> (4% dilution), hence aim for 41.6 prior to dilution</t>
    </r>
  </si>
  <si>
    <t>Merck 1.06404.5000 5kg, Lot. K36021104 618</t>
  </si>
  <si>
    <t>brine Salinity before loading the cups</t>
  </si>
  <si>
    <t>Conductivity meter (Mettler Toledo Seven Compact), ref temp. 25C</t>
  </si>
  <si>
    <t>47_1000</t>
  </si>
  <si>
    <t>1_start</t>
  </si>
  <si>
    <t>McLane</t>
  </si>
  <si>
    <t>47_2000</t>
  </si>
  <si>
    <t>47_3800</t>
  </si>
  <si>
    <t>1_end</t>
  </si>
  <si>
    <t>2_start</t>
  </si>
  <si>
    <t>2_end</t>
  </si>
  <si>
    <t>3_end</t>
  </si>
  <si>
    <t>3_start</t>
  </si>
  <si>
    <t>4_end</t>
  </si>
  <si>
    <t>4_start</t>
  </si>
  <si>
    <t>5_end</t>
  </si>
  <si>
    <t>5_start</t>
  </si>
  <si>
    <t>6_end</t>
  </si>
  <si>
    <t>6_start</t>
  </si>
  <si>
    <t>7_end</t>
  </si>
  <si>
    <t>7_start</t>
  </si>
  <si>
    <t>8_end</t>
  </si>
  <si>
    <t>8_start</t>
  </si>
  <si>
    <t>9_end</t>
  </si>
  <si>
    <t>9_start</t>
  </si>
  <si>
    <t>10_end</t>
  </si>
  <si>
    <t>10_start</t>
  </si>
  <si>
    <t>11_end</t>
  </si>
  <si>
    <t>11_start</t>
  </si>
  <si>
    <t>12_end</t>
  </si>
  <si>
    <t>12_start</t>
  </si>
  <si>
    <t>13_end</t>
  </si>
  <si>
    <t>13_start</t>
  </si>
  <si>
    <t>14_end</t>
  </si>
  <si>
    <t>14_start</t>
  </si>
  <si>
    <t>15_end</t>
  </si>
  <si>
    <t>15_start</t>
  </si>
  <si>
    <t>16_end</t>
  </si>
  <si>
    <t>16_start</t>
  </si>
  <si>
    <t>17_end</t>
  </si>
  <si>
    <t>17_start</t>
  </si>
  <si>
    <t>18_end</t>
  </si>
  <si>
    <t>18_start</t>
  </si>
  <si>
    <t>19_end</t>
  </si>
  <si>
    <t>19_start</t>
  </si>
  <si>
    <t>20_end</t>
  </si>
  <si>
    <t>20_start</t>
  </si>
  <si>
    <t>21_end</t>
  </si>
  <si>
    <t>21_start</t>
  </si>
  <si>
    <t>depth</t>
  </si>
  <si>
    <t>trap</t>
  </si>
  <si>
    <t>no tilt</t>
  </si>
  <si>
    <t>deployment</t>
  </si>
  <si>
    <t>event</t>
  </si>
  <si>
    <t>date, UTC</t>
  </si>
  <si>
    <t>interval</t>
  </si>
  <si>
    <t>47S</t>
  </si>
  <si>
    <t>McLane 21 cup</t>
  </si>
  <si>
    <t>McLane/US date format</t>
  </si>
  <si>
    <t>deploy (tentative)</t>
  </si>
  <si>
    <t>cup 1 opens</t>
  </si>
  <si>
    <t>22 (mt)</t>
  </si>
  <si>
    <t>cup 21 closes</t>
  </si>
  <si>
    <t>pickup</t>
  </si>
  <si>
    <t>days spare (need +ve)</t>
  </si>
  <si>
    <t>total</t>
  </si>
  <si>
    <t>pickup-deploy</t>
  </si>
  <si>
    <t>suggested time for funnel to "prime"</t>
  </si>
  <si>
    <t>calibrated with 12.8mS/cm</t>
  </si>
  <si>
    <t>Hi Cathryn,</t>
  </si>
  <si>
    <t>Just a check about what the compression of the SAZ cups are between the lab temperature and the deployed temperature and pressure.</t>
  </si>
  <si>
    <t>Some matlab,</t>
  </si>
  <si>
    <t>%addpath(genpath('gsw_matlab_v3_06_12'));</t>
  </si>
  <si>
    <t>psal=[40 40 40 40 40 40 40 40]';</t>
  </si>
  <si>
    <t>p = [0 0 0 1000 1000 2000 3800 3800]';</t>
  </si>
  <si>
    <t>t = [20 40 10 10 5 4 10 2]';</t>
  </si>
  <si>
    <t>SA = gsw_SA_from_SP(psal, p, 142, -47);</t>
  </si>
  <si>
    <t>CT = gsw_CT_from_t(SA, t, p);</t>
  </si>
  <si>
    <r>
      <t xml:space="preserve">rho = gsw_rho(SA,CT,p); </t>
    </r>
    <r>
      <rPr>
        <sz val="10"/>
        <color rgb="FF028009"/>
        <rFont val="Courier New"/>
        <family val="3"/>
      </rPr>
      <t>% kg / m ^3</t>
    </r>
  </si>
  <si>
    <r>
      <t xml:space="preserve">vol = 200 * 1e-6; </t>
    </r>
    <r>
      <rPr>
        <sz val="10"/>
        <color rgb="FF028009"/>
        <rFont val="Courier New"/>
        <family val="3"/>
      </rPr>
      <t>% volumn in m^3</t>
    </r>
  </si>
  <si>
    <r>
      <t xml:space="preserve">mass_rt = rho(1) * vol; </t>
    </r>
    <r>
      <rPr>
        <sz val="10"/>
        <color rgb="FF028009"/>
        <rFont val="Courier New"/>
        <family val="3"/>
      </rPr>
      <t>% kg</t>
    </r>
  </si>
  <si>
    <r>
      <t xml:space="preserve">vol_tp = mass_rt./rho * 1e6; </t>
    </r>
    <r>
      <rPr>
        <sz val="10"/>
        <color rgb="FF028009"/>
        <rFont val="Courier New"/>
        <family val="3"/>
      </rPr>
      <t>% vol in ml</t>
    </r>
  </si>
  <si>
    <t>t = table(t,psal,p,rho, vol_tp)</t>
  </si>
  <si>
    <t>    t     psal     p       rho      vol_tp</t>
  </si>
  <si>
    <t>    __    ____    ____    ______    ______</t>
  </si>
  <si>
    <t>    20     40        0    1028.6       200</t>
  </si>
  <si>
    <t>    40     40        0    1021.7    201.35</t>
  </si>
  <si>
    <t>    10     40        0    1030.9    199.56</t>
  </si>
  <si>
    <t>    10     40     1000    1035.3     198.7</t>
  </si>
  <si>
    <t>     5     40     1000    1036.2    198.53</t>
  </si>
  <si>
    <t>     4     40     2000    1040.8    197.65</t>
  </si>
  <si>
    <t>    10     40     3800    1047.3    196.43</t>
  </si>
  <si>
    <t>     2     40     3800      1049     196.1</t>
  </si>
  <si>
    <t>&gt;&gt; vol_tp-200</t>
  </si>
  <si>
    <t>ans =</t>
  </si>
  <si>
    <t>   -0.0000</t>
  </si>
  <si>
    <t>    1.3527</t>
  </si>
  <si>
    <t>   -0.4423</t>
  </si>
  <si>
    <t>   -1.2995</t>
  </si>
  <si>
    <t>   -1.4687</t>
  </si>
  <si>
    <t>   -2.3509</t>
  </si>
  <si>
    <t>   -3.5726</t>
  </si>
  <si>
    <t>   -3.8982</t>
  </si>
  <si>
    <t>So the cup at 20 C, 0 pressure is 200ml with a density of 1028.6 kg/m^3. At 40C it expands 1.35 ml. At 3800m and 2 C its compressed by 3.9 ml. Under fulling the cups by 3-5 ml would avoid and leakage by expansion of the liquid in the bottles.</t>
  </si>
  <si>
    <t>Cheers,</t>
  </si>
  <si>
    <t>Pete Jansen</t>
  </si>
  <si>
    <t>Email from Pete:</t>
  </si>
  <si>
    <t>Collected IN2021_V02</t>
  </si>
  <si>
    <t>concentration per cup, take out 15mL and add 10mL sat HgCl2 to 250mL cup g/L ie 4.1% salts</t>
  </si>
  <si>
    <t>CHECK 1L post 4.1% dilution</t>
  </si>
  <si>
    <t>volume of FSW prior to addition of brine</t>
  </si>
  <si>
    <t>L</t>
  </si>
  <si>
    <t>Therefore carboy needs addition of</t>
  </si>
  <si>
    <t>g/23L</t>
  </si>
  <si>
    <t>actually added</t>
  </si>
  <si>
    <t>standard</t>
  </si>
  <si>
    <t>reading after calibration</t>
  </si>
  <si>
    <t>50mS/cm</t>
  </si>
  <si>
    <t>35psu</t>
  </si>
  <si>
    <t>1413uS/cm</t>
  </si>
  <si>
    <t>from 23L carboy</t>
  </si>
  <si>
    <t>Na2B4O7.10H2O</t>
  </si>
  <si>
    <t>molecular weight</t>
  </si>
  <si>
    <t>g/mol</t>
  </si>
  <si>
    <t>2g</t>
  </si>
  <si>
    <t>mol</t>
  </si>
  <si>
    <t>=</t>
  </si>
  <si>
    <t xml:space="preserve">mol = </t>
  </si>
  <si>
    <t>B4K2O7.4H2O</t>
  </si>
  <si>
    <t>SAZ-24 anchor released at 2022-05-09 04:25:42 UTC, anchor 4665.5(m) lat,lon -46.80848 141.83198 deg triangulated</t>
  </si>
  <si>
    <t>CTD model# SBE37SM, serial# 1777</t>
  </si>
  <si>
    <t>RBR-TDR_2050, serial# 16380</t>
  </si>
  <si>
    <t>CTD model# SBE37SM, serial# 2971</t>
  </si>
  <si>
    <t>CTD SBE37SM – 2955 on wire @ 4500m</t>
  </si>
  <si>
    <t>CTD SBE37SMP – 13264 on wire @ 4500m</t>
  </si>
  <si>
    <t>saz25, 2023</t>
  </si>
  <si>
    <t>SAZ2 cups were filled to the top and then 5ml taken out, to avoid cups leaking while they are sitting in the lab / van prior to deployment.</t>
  </si>
  <si>
    <t>2023 McLane sediment trap brine mercuric chloride concentration brine adjustment</t>
  </si>
  <si>
    <t>2023, we will remove 15mL by pipette and then replace with 10mL saturated mercuric chloride to avoid cups leaking while waiting for deployment.</t>
  </si>
  <si>
    <t>This carboy is being used for preparing SAZ25 brine</t>
  </si>
  <si>
    <t>McLane 250x21 frame# 2241, controller# 11640-01 and Motor # 11640-01 Cup set D</t>
  </si>
  <si>
    <t>McLane 250x21 frame#  14182-01, controller#  11741-01 and motor#  14182-01 Cup set E</t>
  </si>
  <si>
    <t>McLane 250x21 frame # 10705, controller # 11649-01 and motor # 11649-01 Cup set L</t>
  </si>
  <si>
    <t>saz25</t>
  </si>
  <si>
    <t>year 2023-24</t>
  </si>
  <si>
    <t>Carboy #</t>
  </si>
  <si>
    <t>UTC date</t>
  </si>
  <si>
    <t>UTC time</t>
  </si>
  <si>
    <t>latitude</t>
  </si>
  <si>
    <t>longitude</t>
  </si>
  <si>
    <t>Salts are added to filtered seawater= IN2023_V03 FSW stored 4C.</t>
  </si>
  <si>
    <t>new probe 2022</t>
  </si>
  <si>
    <t>CWE/GW</t>
  </si>
  <si>
    <t>new probe installed 2022</t>
  </si>
  <si>
    <t>0.558394/cm, 22.7C</t>
  </si>
  <si>
    <t>Hanna pH meter, buffers 7.01, 9.18, 12.45, probe condition 80%, slope 94.5%</t>
  </si>
  <si>
    <t>g/L</t>
  </si>
  <si>
    <t>decanted into 3 centrifuge tubes</t>
  </si>
  <si>
    <t>Approximately 23L of deep water from IN2023_V03</t>
  </si>
  <si>
    <t>IN2023-V03 FSW stored 4C.</t>
  </si>
  <si>
    <t>IN2023_V03 Sed trap prep brine for SAZ25 NO POISON</t>
  </si>
  <si>
    <t>Sigma Aldrich S9640-500G, Pcode 102434898 Source BCCB7491</t>
  </si>
  <si>
    <t>GW</t>
  </si>
  <si>
    <t>0.548116/cm, 21.1C</t>
  </si>
  <si>
    <t>Hanna pH meter, buffers 7.01, 9.18, 12.45, probe condition unknown%, slope 96.3%</t>
  </si>
  <si>
    <t>mS/cm</t>
  </si>
  <si>
    <r>
      <t>tilt 2</t>
    </r>
    <r>
      <rPr>
        <sz val="11"/>
        <rFont val="Calibri"/>
        <family val="2"/>
      </rPr>
      <t xml:space="preserve">°, tilt set to </t>
    </r>
    <r>
      <rPr>
        <sz val="11"/>
        <rFont val="Calibri"/>
        <family val="2"/>
        <scheme val="minor"/>
      </rPr>
      <t>1440</t>
    </r>
  </si>
  <si>
    <t>all 21 cups collected (250ml cups)</t>
  </si>
  <si>
    <t>for IN2022_V03 FSW</t>
  </si>
  <si>
    <t>Borax used: Sigma-Aldrich S9640-500G, Source# BCCB7491 P.Code 102434898, purchased and opened April 2022 CWE</t>
  </si>
  <si>
    <t>mg/cup</t>
  </si>
  <si>
    <t>mm</t>
  </si>
  <si>
    <t>for IN2021_V02 FSW</t>
  </si>
  <si>
    <t>10/10</t>
  </si>
  <si>
    <t>cup</t>
  </si>
  <si>
    <t>Cup exist</t>
  </si>
  <si>
    <t>FSW used for processing</t>
  </si>
  <si>
    <t>Processing comments at sieving stage</t>
  </si>
  <si>
    <t>Processing date</t>
  </si>
  <si>
    <t>sed mass</t>
  </si>
  <si>
    <t>Height</t>
  </si>
  <si>
    <t>Cup</t>
  </si>
  <si>
    <t>Position</t>
  </si>
  <si>
    <t>Year</t>
  </si>
  <si>
    <t>SAZ 25</t>
  </si>
  <si>
    <t>D1</t>
  </si>
  <si>
    <t>D2</t>
  </si>
  <si>
    <t>D3</t>
  </si>
  <si>
    <t>D4</t>
  </si>
  <si>
    <t>D5</t>
  </si>
  <si>
    <t>D6</t>
  </si>
  <si>
    <t>D7</t>
  </si>
  <si>
    <t>D8</t>
  </si>
  <si>
    <t>D9</t>
  </si>
  <si>
    <t>D10</t>
  </si>
  <si>
    <t>D11</t>
  </si>
  <si>
    <t>D12</t>
  </si>
  <si>
    <t>D13</t>
  </si>
  <si>
    <t>D14</t>
  </si>
  <si>
    <t>D15</t>
  </si>
  <si>
    <t>D16</t>
  </si>
  <si>
    <t>D17</t>
  </si>
  <si>
    <t>D18</t>
  </si>
  <si>
    <t>D19</t>
  </si>
  <si>
    <t>D21</t>
  </si>
  <si>
    <t>D20</t>
  </si>
  <si>
    <t>E1</t>
  </si>
  <si>
    <t>E2</t>
  </si>
  <si>
    <t>E3</t>
  </si>
  <si>
    <t>E4</t>
  </si>
  <si>
    <t>E5</t>
  </si>
  <si>
    <t>E6</t>
  </si>
  <si>
    <t>E7</t>
  </si>
  <si>
    <t>E8</t>
  </si>
  <si>
    <t>E9</t>
  </si>
  <si>
    <t>E10</t>
  </si>
  <si>
    <t>E11</t>
  </si>
  <si>
    <t>E12</t>
  </si>
  <si>
    <t>E13</t>
  </si>
  <si>
    <t>E14</t>
  </si>
  <si>
    <t>E15</t>
  </si>
  <si>
    <t>E16</t>
  </si>
  <si>
    <t>E17</t>
  </si>
  <si>
    <t>E18</t>
  </si>
  <si>
    <t>E19</t>
  </si>
  <si>
    <t>E20</t>
  </si>
  <si>
    <t>E21</t>
  </si>
  <si>
    <t>L1</t>
  </si>
  <si>
    <t>L2</t>
  </si>
  <si>
    <t>L3</t>
  </si>
  <si>
    <t>L4</t>
  </si>
  <si>
    <t>L5</t>
  </si>
  <si>
    <t>L6</t>
  </si>
  <si>
    <t>L7</t>
  </si>
  <si>
    <t>L8</t>
  </si>
  <si>
    <t>L9</t>
  </si>
  <si>
    <t>L10</t>
  </si>
  <si>
    <t>L11</t>
  </si>
  <si>
    <t>L12</t>
  </si>
  <si>
    <t>L13</t>
  </si>
  <si>
    <t>L14</t>
  </si>
  <si>
    <t>L15</t>
  </si>
  <si>
    <t>L16</t>
  </si>
  <si>
    <t>L17</t>
  </si>
  <si>
    <t>L18</t>
  </si>
  <si>
    <t>L19</t>
  </si>
  <si>
    <t>L20</t>
  </si>
  <si>
    <t>L21</t>
  </si>
  <si>
    <t>Deployment 18/5/2023 IN2023_V03</t>
  </si>
  <si>
    <t>Pick up 11/04/2024 IN2024_V02</t>
  </si>
  <si>
    <t>recovery IN2024_V02</t>
  </si>
  <si>
    <t>McLane-PARFLUX-Mark78H-21 ; frame# 2241, controller# 11640-01 and Motor # 11640-01 Cup set Dx21</t>
  </si>
  <si>
    <t>McLane-PARFLUX-Mark78H-21 ; frame# 14182-01, controller# 11741-01 and Motor # 14182-01 Cup set Ex21</t>
  </si>
  <si>
    <t>McLane-PARFLUX-Mark78H-21 ; frame# 10705, controller# 11649-01 and Motor # 11649-01 Cup set Lx21</t>
  </si>
  <si>
    <t>&lt;1</t>
  </si>
  <si>
    <t>IN2024_V02 carboy 1 11/04/2024 23:20 LAT: -47.487 LONG: 140.484</t>
  </si>
  <si>
    <t>some large swimmers that couldn't rinse &lt;1mm from underneat</t>
  </si>
  <si>
    <t>large fish</t>
  </si>
  <si>
    <t>couple mg sediment stuck on bottom of sample bottle</t>
  </si>
  <si>
    <t>small amount stuck on bottom of bottle</t>
  </si>
  <si>
    <t>one fin/bone/scale bit in &gt;1mm fraction</t>
  </si>
  <si>
    <t>no &gt;1mm fraction</t>
  </si>
  <si>
    <t>one transparent shard in &gt;1mm fraction</t>
  </si>
  <si>
    <t>one hair in &gt;1mm fraction</t>
  </si>
  <si>
    <t>small cream bits broke up very easily</t>
  </si>
  <si>
    <t>area</t>
  </si>
  <si>
    <t>comments</t>
  </si>
  <si>
    <t>Time</t>
  </si>
  <si>
    <t>Mass flux</t>
  </si>
  <si>
    <t>Mass QC</t>
  </si>
  <si>
    <t>jar of</t>
  </si>
  <si>
    <t>C%</t>
  </si>
  <si>
    <t>H%</t>
  </si>
  <si>
    <t>N%</t>
  </si>
  <si>
    <t>CHN qc</t>
  </si>
  <si>
    <t>comments2</t>
  </si>
  <si>
    <t>Sal</t>
  </si>
  <si>
    <t>pH</t>
  </si>
  <si>
    <t>Dates</t>
  </si>
  <si>
    <t>Comments</t>
  </si>
  <si>
    <t>proportion</t>
  </si>
  <si>
    <t>PN/PSiO2</t>
  </si>
  <si>
    <t>TPC/PSiO2</t>
  </si>
  <si>
    <t>CaCO3</t>
  </si>
  <si>
    <t>PIC</t>
  </si>
  <si>
    <t>POC</t>
  </si>
  <si>
    <t>sum</t>
  </si>
  <si>
    <t>QC</t>
  </si>
  <si>
    <t>POC/PN</t>
  </si>
  <si>
    <t>eg FSW batch</t>
  </si>
  <si>
    <t>open</t>
  </si>
  <si>
    <t>= cup_mass/area/time_open</t>
  </si>
  <si>
    <t>powder</t>
  </si>
  <si>
    <t>PC</t>
  </si>
  <si>
    <t>PN</t>
  </si>
  <si>
    <t>netcdf flag</t>
  </si>
  <si>
    <t>UTC</t>
  </si>
  <si>
    <t>normalised</t>
  </si>
  <si>
    <t>BSi</t>
  </si>
  <si>
    <t>BSiO2</t>
  </si>
  <si>
    <t>mass ratio</t>
  </si>
  <si>
    <t>CaCO3+opal + (POM=2.2*POC) + litho 3.7%</t>
  </si>
  <si>
    <t>Mol/mol</t>
  </si>
  <si>
    <t>&lt;1mm</t>
  </si>
  <si>
    <t/>
  </si>
  <si>
    <t>Cup open</t>
  </si>
  <si>
    <t>Cup close</t>
  </si>
  <si>
    <t>midpoint</t>
  </si>
  <si>
    <t>cumulative</t>
  </si>
  <si>
    <t>=height / 0.5m2 / open_time</t>
  </si>
  <si>
    <t>Redfield 2.79 POM opal is BSiO2*1.11</t>
  </si>
  <si>
    <t>m2</t>
  </si>
  <si>
    <t>days</t>
  </si>
  <si>
    <t>mg/m2/day</t>
  </si>
  <si>
    <t>g/m2/yr</t>
  </si>
  <si>
    <t>% w/w</t>
  </si>
  <si>
    <t>psu</t>
  </si>
  <si>
    <t>mm/m2/day</t>
  </si>
  <si>
    <t>w/w</t>
  </si>
  <si>
    <t>%</t>
  </si>
  <si>
    <t>at END event</t>
  </si>
  <si>
    <t>at open event</t>
  </si>
  <si>
    <t>QC threshold 10%</t>
  </si>
  <si>
    <t>COUNT</t>
  </si>
  <si>
    <t>good cups</t>
  </si>
  <si>
    <t>SUM from subtotals</t>
  </si>
  <si>
    <t>SUM Mclane from subs</t>
  </si>
  <si>
    <t>good</t>
  </si>
  <si>
    <t>under funnel</t>
  </si>
  <si>
    <t>COUNT from data (as a check)</t>
  </si>
  <si>
    <t>mass/trap</t>
  </si>
  <si>
    <t>time open</t>
  </si>
  <si>
    <t>mass flux</t>
  </si>
  <si>
    <t>mg</t>
  </si>
  <si>
    <t>% of year</t>
  </si>
  <si>
    <t>SAZ 23</t>
  </si>
  <si>
    <t>[2024-04-24</t>
  </si>
  <si>
    <t>09:16:50.243]</t>
  </si>
  <si>
    <t>09:16:50.259]</t>
  </si>
  <si>
    <t>Enter</t>
  </si>
  <si>
    <t>&lt;CTRL-C&gt;</t>
  </si>
  <si>
    <t>now</t>
  </si>
  <si>
    <t>to</t>
  </si>
  <si>
    <t>wake</t>
  </si>
  <si>
    <t>up??</t>
  </si>
  <si>
    <t>09:16:51.428]</t>
  </si>
  <si>
    <t>09:16:51.461]</t>
  </si>
  <si>
    <t>_______________________________________________________</t>
  </si>
  <si>
    <t>09:16:51.512]</t>
  </si>
  <si>
    <t>09:16:51.527]</t>
  </si>
  <si>
    <t>09:16:51.596]</t>
  </si>
  <si>
    <t>Research</t>
  </si>
  <si>
    <t>Laboratories</t>
  </si>
  <si>
    <t>USA</t>
  </si>
  <si>
    <t>09:16:51.685]</t>
  </si>
  <si>
    <t>ParFlux</t>
  </si>
  <si>
    <t>21-Cup</t>
  </si>
  <si>
    <t>Sediment</t>
  </si>
  <si>
    <t>Trap</t>
  </si>
  <si>
    <t>09:16:51.774]</t>
  </si>
  <si>
    <t>with</t>
  </si>
  <si>
    <t>Compass</t>
  </si>
  <si>
    <t>and</t>
  </si>
  <si>
    <t>Tilt</t>
  </si>
  <si>
    <t>09:16:51.867]</t>
  </si>
  <si>
    <t>Version:</t>
  </si>
  <si>
    <t>pst-21c4.c</t>
  </si>
  <si>
    <t>S/N:</t>
  </si>
  <si>
    <t>ML11640-01</t>
  </si>
  <si>
    <t>09:16:51.941]</t>
  </si>
  <si>
    <t>09:16:51.988]</t>
  </si>
  <si>
    <t>ﾉﾍﾍﾍﾍﾍﾍﾍﾍﾍﾍﾍﾍﾍﾍﾍﾍﾍﾍﾍﾍﾍﾍﾍﾍﾍﾍﾍﾍﾍﾍﾍﾍﾍｻ</t>
  </si>
  <si>
    <t>09:16:52.083]</t>
  </si>
  <si>
    <t>ｺ</t>
  </si>
  <si>
    <t>Main</t>
  </si>
  <si>
    <t>Menu</t>
  </si>
  <si>
    <t>09:16:52.177]</t>
  </si>
  <si>
    <t>ﾈﾍﾍﾍﾍﾍﾍﾍﾍﾍﾍﾍﾍﾍﾍﾍﾍﾍﾍﾍﾍﾍﾍﾍﾍﾍﾍﾍﾍﾍﾍﾍﾍﾍｼ</t>
  </si>
  <si>
    <t>09:16:52.289]</t>
  </si>
  <si>
    <t>Tue</t>
  </si>
  <si>
    <t>Apr</t>
  </si>
  <si>
    <t>09:16:52.324]</t>
  </si>
  <si>
    <t>09:16:52.352]</t>
  </si>
  <si>
    <t>&lt;1&gt;</t>
  </si>
  <si>
    <t>Set</t>
  </si>
  <si>
    <t>&lt;5&gt;</t>
  </si>
  <si>
    <t>Create</t>
  </si>
  <si>
    <t>Schedule</t>
  </si>
  <si>
    <t>09:16:52.468]</t>
  </si>
  <si>
    <t>&lt;2&gt;</t>
  </si>
  <si>
    <t>Diagnostics</t>
  </si>
  <si>
    <t>&lt;6&gt;</t>
  </si>
  <si>
    <t>Deploy</t>
  </si>
  <si>
    <t>System</t>
  </si>
  <si>
    <t>09:16:52.564]</t>
  </si>
  <si>
    <t>&lt;3&gt;</t>
  </si>
  <si>
    <t>Fill</t>
  </si>
  <si>
    <t>Containers</t>
  </si>
  <si>
    <t>&lt;7&gt;</t>
  </si>
  <si>
    <t>Offload</t>
  </si>
  <si>
    <t>Data</t>
  </si>
  <si>
    <t>09:16:52.644]</t>
  </si>
  <si>
    <t>&lt;4&gt;</t>
  </si>
  <si>
    <t>Sleep</t>
  </si>
  <si>
    <t>&lt;8&gt;</t>
  </si>
  <si>
    <t>Contacting</t>
  </si>
  <si>
    <t>09:16:52.701]</t>
  </si>
  <si>
    <t>09:16:52.717]</t>
  </si>
  <si>
    <t>Selection</t>
  </si>
  <si>
    <t>?</t>
  </si>
  <si>
    <t>09:16:55.768]</t>
  </si>
  <si>
    <t>09:16:55.808]</t>
  </si>
  <si>
    <t>09:16:55.872]</t>
  </si>
  <si>
    <t>Offload/Display</t>
  </si>
  <si>
    <t>File</t>
  </si>
  <si>
    <t>09:16:55.940]</t>
  </si>
  <si>
    <t>09:16:56.030]</t>
  </si>
  <si>
    <t>09:16:56.081]</t>
  </si>
  <si>
    <t>09:16:56.095]</t>
  </si>
  <si>
    <t>Display</t>
  </si>
  <si>
    <t>all</t>
  </si>
  <si>
    <t>data</t>
  </si>
  <si>
    <t>09:16:56.144]</t>
  </si>
  <si>
    <t>summary</t>
  </si>
  <si>
    <t>09:16:56.208]</t>
  </si>
  <si>
    <t>tilt</t>
  </si>
  <si>
    <t>09:16:56.272]</t>
  </si>
  <si>
    <t>backup</t>
  </si>
  <si>
    <t>EEPROM</t>
  </si>
  <si>
    <t>09:16:56.319]</t>
  </si>
  <si>
    <t>&lt;M&gt;</t>
  </si>
  <si>
    <t>09:16:56.335]</t>
  </si>
  <si>
    <t>09:16:56.352]</t>
  </si>
  <si>
    <t>09:17:00.419]</t>
  </si>
  <si>
    <t>09:17:00.467]</t>
  </si>
  <si>
    <t>To</t>
  </si>
  <si>
    <t>copy</t>
  </si>
  <si>
    <t>the</t>
  </si>
  <si>
    <t>instrument</t>
  </si>
  <si>
    <t>file</t>
  </si>
  <si>
    <t>a</t>
  </si>
  <si>
    <t>disk</t>
  </si>
  <si>
    <t>initiate</t>
  </si>
  <si>
    <t>09:17:00.576]</t>
  </si>
  <si>
    <t>your</t>
  </si>
  <si>
    <t>communication</t>
  </si>
  <si>
    <t>program's</t>
  </si>
  <si>
    <t>logging</t>
  </si>
  <si>
    <t>command</t>
  </si>
  <si>
    <t>09:17:00.699]</t>
  </si>
  <si>
    <t>then</t>
  </si>
  <si>
    <t>press</t>
  </si>
  <si>
    <t>any</t>
  </si>
  <si>
    <t>key</t>
  </si>
  <si>
    <t>start</t>
  </si>
  <si>
    <t>transfer.</t>
  </si>
  <si>
    <t>The</t>
  </si>
  <si>
    <t>09:17:00.805]</t>
  </si>
  <si>
    <t>will</t>
  </si>
  <si>
    <t>remain</t>
  </si>
  <si>
    <t>resident</t>
  </si>
  <si>
    <t>is</t>
  </si>
  <si>
    <t>not</t>
  </si>
  <si>
    <t>erased</t>
  </si>
  <si>
    <t>by</t>
  </si>
  <si>
    <t>this</t>
  </si>
  <si>
    <t>09:17:00.908]</t>
  </si>
  <si>
    <t>offload</t>
  </si>
  <si>
    <t>procedure.</t>
  </si>
  <si>
    <t>09:17:00.924]</t>
  </si>
  <si>
    <t>09:17:08.993]</t>
  </si>
  <si>
    <t>09:17:09.025]</t>
  </si>
  <si>
    <t>Software</t>
  </si>
  <si>
    <t>version:</t>
  </si>
  <si>
    <t>09:17:09.104]</t>
  </si>
  <si>
    <t>Compiled:</t>
  </si>
  <si>
    <t>Jan</t>
  </si>
  <si>
    <t>09:17:09.184]</t>
  </si>
  <si>
    <t>Electronics</t>
  </si>
  <si>
    <t>09:17:09.217]</t>
  </si>
  <si>
    <t>09:17:09.262]</t>
  </si>
  <si>
    <t>recording</t>
  </si>
  <si>
    <t>time</t>
  </si>
  <si>
    <t>09:17:09.379]</t>
  </si>
  <si>
    <t>stop</t>
  </si>
  <si>
    <t>09:17:09.436]</t>
  </si>
  <si>
    <t>HEADER</t>
  </si>
  <si>
    <t>09:17:09.452]</t>
  </si>
  <si>
    <t>______</t>
  </si>
  <si>
    <t>09:17:09.478]</t>
  </si>
  <si>
    <t>09:17:09.484]</t>
  </si>
  <si>
    <t>SAZ25_2023_1000m_11640_01_Tilt</t>
  </si>
  <si>
    <t>09:17:09.532]</t>
  </si>
  <si>
    <t>SCHEDULE</t>
  </si>
  <si>
    <t>09:17:09.557]</t>
  </si>
  <si>
    <t>________</t>
  </si>
  <si>
    <t>09:17:09.574]</t>
  </si>
  <si>
    <t>09:17:09.611]</t>
  </si>
  <si>
    <t>Event</t>
  </si>
  <si>
    <t>of</t>
  </si>
  <si>
    <t>@</t>
  </si>
  <si>
    <t>05/22/2023</t>
  </si>
  <si>
    <t>09:17:09.705]</t>
  </si>
  <si>
    <t>09:17:09.784]</t>
  </si>
  <si>
    <t>06/21/2023</t>
  </si>
  <si>
    <t>09:17:09.879]</t>
  </si>
  <si>
    <t>09:17:09.989]</t>
  </si>
  <si>
    <t>07/21/2023</t>
  </si>
  <si>
    <t>09:17:10.084]</t>
  </si>
  <si>
    <t>09:17:10.163]</t>
  </si>
  <si>
    <t>08/20/2023</t>
  </si>
  <si>
    <t>09:17:10.257]</t>
  </si>
  <si>
    <t>09:17:10.352]</t>
  </si>
  <si>
    <t>09/19/2023</t>
  </si>
  <si>
    <t>09:17:10.447]</t>
  </si>
  <si>
    <t>09:17:10.527]</t>
  </si>
  <si>
    <t>10/19/2023</t>
  </si>
  <si>
    <t>09:17:10.620]</t>
  </si>
  <si>
    <t>09:17:10.717]</t>
  </si>
  <si>
    <t>11/18/2023</t>
  </si>
  <si>
    <t>09:17:10.810]</t>
  </si>
  <si>
    <t>09:17:10.889]</t>
  </si>
  <si>
    <t>12/18/2023</t>
  </si>
  <si>
    <t>09:17:10.986]</t>
  </si>
  <si>
    <t>09:17:11.079]</t>
  </si>
  <si>
    <t>01/17/2024</t>
  </si>
  <si>
    <t>09:17:11.157]</t>
  </si>
  <si>
    <t>09:17:11.267]</t>
  </si>
  <si>
    <t>02/16/2024</t>
  </si>
  <si>
    <t>09:17:11.362]</t>
  </si>
  <si>
    <t>09:17:11.441]</t>
  </si>
  <si>
    <t>03/17/2024</t>
  </si>
  <si>
    <t>09:17:11.536]</t>
  </si>
  <si>
    <t>09:17:11.588]</t>
  </si>
  <si>
    <t>DEPLOYMENT</t>
  </si>
  <si>
    <t>DATA</t>
  </si>
  <si>
    <t>09:17:11.615]</t>
  </si>
  <si>
    <t>_______________</t>
  </si>
  <si>
    <t>09:17:11.652]</t>
  </si>
  <si>
    <t>09:17:11.663]</t>
  </si>
  <si>
    <t>09:17:11.710]</t>
  </si>
  <si>
    <t>Scheduled</t>
  </si>
  <si>
    <t>time:</t>
  </si>
  <si>
    <t>09:17:11.805]</t>
  </si>
  <si>
    <t>09:17:11.905]</t>
  </si>
  <si>
    <t>09:17:11.956]</t>
  </si>
  <si>
    <t>09:17:11.979]</t>
  </si>
  <si>
    <t>Aligned</t>
  </si>
  <si>
    <t>Battery</t>
  </si>
  <si>
    <t>Temperature</t>
  </si>
  <si>
    <t>Heading</t>
  </si>
  <si>
    <t>09:17:12.106]</t>
  </si>
  <si>
    <t>Start:</t>
  </si>
  <si>
    <t>Y</t>
  </si>
  <si>
    <t>5</t>
  </si>
  <si>
    <t>3・</t>
  </si>
  <si>
    <t>338・</t>
  </si>
  <si>
    <t>09:17:12.234]</t>
  </si>
  <si>
    <t>Stop:</t>
  </si>
  <si>
    <t>09:17:12.300]</t>
  </si>
  <si>
    <t>09:17:12.322]</t>
  </si>
  <si>
    <t>09:17:12.359]</t>
  </si>
  <si>
    <t>09:17:12.455]</t>
  </si>
  <si>
    <t>09:17:12.551]</t>
  </si>
  <si>
    <t>09:17:12.611]</t>
  </si>
  <si>
    <t>09:17:12.631]</t>
  </si>
  <si>
    <t>09:17:12.758]</t>
  </si>
  <si>
    <t>310・</t>
  </si>
  <si>
    <t>09:17:12.883]</t>
  </si>
  <si>
    <t>09:17:12.963]</t>
  </si>
  <si>
    <t>09:17:12.979]</t>
  </si>
  <si>
    <t>09:17:12.994]</t>
  </si>
  <si>
    <t>09:17:13.011]</t>
  </si>
  <si>
    <t>09:17:13.121]</t>
  </si>
  <si>
    <t>09:17:13.215]</t>
  </si>
  <si>
    <t>09:17:13.263]</t>
  </si>
  <si>
    <t>09:17:13.310]</t>
  </si>
  <si>
    <t>09:17:13.421]</t>
  </si>
  <si>
    <t>342・</t>
  </si>
  <si>
    <t>09:17:13.548]</t>
  </si>
  <si>
    <t>2・</t>
  </si>
  <si>
    <t>340・</t>
  </si>
  <si>
    <t>09:17:13.611]</t>
  </si>
  <si>
    <t>09:17:13.634]</t>
  </si>
  <si>
    <t>09:17:13.642]</t>
  </si>
  <si>
    <t>09:17:13.690]</t>
  </si>
  <si>
    <t>09:17:13.784]</t>
  </si>
  <si>
    <t>09:17:13.868]</t>
  </si>
  <si>
    <t>09:17:13.936]</t>
  </si>
  <si>
    <t>09:17:13.968]</t>
  </si>
  <si>
    <t>09:17:14.085]</t>
  </si>
  <si>
    <t>341・</t>
  </si>
  <si>
    <t>09:17:14.211]</t>
  </si>
  <si>
    <t>343・</t>
  </si>
  <si>
    <t>09:17:14.273]</t>
  </si>
  <si>
    <t>09:17:14.289]</t>
  </si>
  <si>
    <t>09:17:14.304]</t>
  </si>
  <si>
    <t>09:17:14.351]</t>
  </si>
  <si>
    <t>09:17:14.446]</t>
  </si>
  <si>
    <t>09:17:14.542]</t>
  </si>
  <si>
    <t>09:17:14.590]</t>
  </si>
  <si>
    <t>09:17:14.622]</t>
  </si>
  <si>
    <t>09:17:14.751]</t>
  </si>
  <si>
    <t>300・</t>
  </si>
  <si>
    <t>09:17:14.877]</t>
  </si>
  <si>
    <t>293・</t>
  </si>
  <si>
    <t>09:17:14.945]</t>
  </si>
  <si>
    <t>09:17:14.961]</t>
  </si>
  <si>
    <t>09:17:15.007]</t>
  </si>
  <si>
    <t>09:17:15.095]</t>
  </si>
  <si>
    <t>09:17:15.190]</t>
  </si>
  <si>
    <t>09:17:15.236]</t>
  </si>
  <si>
    <t>09:17:15.268]</t>
  </si>
  <si>
    <t>09:17:15.394]</t>
  </si>
  <si>
    <t>302・</t>
  </si>
  <si>
    <t>09:17:15.521]</t>
  </si>
  <si>
    <t>09:17:15.601]</t>
  </si>
  <si>
    <t>09:17:15.617]</t>
  </si>
  <si>
    <t>09:17:15.650]</t>
  </si>
  <si>
    <t>09:17:15.759]</t>
  </si>
  <si>
    <t>09:17:15.853]</t>
  </si>
  <si>
    <t>09:17:15.902]</t>
  </si>
  <si>
    <t>09:17:15.933]</t>
  </si>
  <si>
    <t>09:17:16.060]</t>
  </si>
  <si>
    <t>275・</t>
  </si>
  <si>
    <t>09:17:16.186]</t>
  </si>
  <si>
    <t>271・</t>
  </si>
  <si>
    <t>09:17:16.249]</t>
  </si>
  <si>
    <t>09:17:16.265]</t>
  </si>
  <si>
    <t>09:17:16.288]</t>
  </si>
  <si>
    <t>09:17:16.329]</t>
  </si>
  <si>
    <t>09:17:16.430]</t>
  </si>
  <si>
    <t>09:17:16.503]</t>
  </si>
  <si>
    <t>09:17:16.576]</t>
  </si>
  <si>
    <t>09:17:16.599]</t>
  </si>
  <si>
    <t>09:17:16.725]</t>
  </si>
  <si>
    <t>7・</t>
  </si>
  <si>
    <t>09:17:16.852]</t>
  </si>
  <si>
    <t>6・</t>
  </si>
  <si>
    <t>09:17:16.911]</t>
  </si>
  <si>
    <t>09:17:16.920]</t>
  </si>
  <si>
    <t>09:17:16.943]</t>
  </si>
  <si>
    <t>09:17:16.980]</t>
  </si>
  <si>
    <t>09:17:17.086]</t>
  </si>
  <si>
    <t>09:17:17.182]</t>
  </si>
  <si>
    <t>09:17:17.230]</t>
  </si>
  <si>
    <t>09:17:17.262]</t>
  </si>
  <si>
    <t>09:17:17.389]</t>
  </si>
  <si>
    <t>347・</t>
  </si>
  <si>
    <t>09:17:17.517]</t>
  </si>
  <si>
    <t>346・</t>
  </si>
  <si>
    <t>09:17:17.579]</t>
  </si>
  <si>
    <t>09:17:17.599]</t>
  </si>
  <si>
    <t>09:17:17.645]</t>
  </si>
  <si>
    <t>09:17:17.736]</t>
  </si>
  <si>
    <t>09:17:17.830]</t>
  </si>
  <si>
    <t>09:17:17.878]</t>
  </si>
  <si>
    <t>09:17:17.918]</t>
  </si>
  <si>
    <t>09:17:18.037]</t>
  </si>
  <si>
    <t>35・</t>
  </si>
  <si>
    <t>09:17:18.162]</t>
  </si>
  <si>
    <t>6</t>
  </si>
  <si>
    <t>32・</t>
  </si>
  <si>
    <t>09:17:18.238]</t>
  </si>
  <si>
    <t>09:17:18.252]</t>
  </si>
  <si>
    <t>09:17:18.269]</t>
  </si>
  <si>
    <t>09:17:18.305]</t>
  </si>
  <si>
    <t>09:17:18.403]</t>
  </si>
  <si>
    <t>09:17:18.492]</t>
  </si>
  <si>
    <t>09:17:18.558]</t>
  </si>
  <si>
    <t>09:17:18.575]</t>
  </si>
  <si>
    <t>09:17:18.715]</t>
  </si>
  <si>
    <t>18・</t>
  </si>
  <si>
    <t>09:17:18.841]</t>
  </si>
  <si>
    <t>15・</t>
  </si>
  <si>
    <t>09:17:18.887]</t>
  </si>
  <si>
    <t>09:17:18.903]</t>
  </si>
  <si>
    <t>09:17:18.919]</t>
  </si>
  <si>
    <t>09:17:18.966]</t>
  </si>
  <si>
    <t>09:17:19.060]</t>
  </si>
  <si>
    <t>09:17:19.154]</t>
  </si>
  <si>
    <t>09:17:19.201]</t>
  </si>
  <si>
    <t>09:17:19.232]</t>
  </si>
  <si>
    <t>09:17:19.372]</t>
  </si>
  <si>
    <t>38・</t>
  </si>
  <si>
    <t>09:17:19.497]</t>
  </si>
  <si>
    <t>31・</t>
  </si>
  <si>
    <t>09:17:19.560]</t>
  </si>
  <si>
    <t>09:17:19.581]</t>
  </si>
  <si>
    <t>09:17:19.623]</t>
  </si>
  <si>
    <t>09:17:19.717]</t>
  </si>
  <si>
    <t>09:17:19.811]</t>
  </si>
  <si>
    <t>09:17:19.868]</t>
  </si>
  <si>
    <t>09:17:19.890]</t>
  </si>
  <si>
    <t>09:17:20.015]</t>
  </si>
  <si>
    <t>281・</t>
  </si>
  <si>
    <t>09:17:20.156]</t>
  </si>
  <si>
    <t>282・</t>
  </si>
  <si>
    <t>09:17:20.218]</t>
  </si>
  <si>
    <t>09:17:20.234]</t>
  </si>
  <si>
    <t>09:17:20.249]</t>
  </si>
  <si>
    <t>09:17:20.296]</t>
  </si>
  <si>
    <t>09:17:20.393]</t>
  </si>
  <si>
    <t>09:17:20.484]</t>
  </si>
  <si>
    <t>09:17:20.531]</t>
  </si>
  <si>
    <t>09:17:20.562]</t>
  </si>
  <si>
    <t>09:17:20.687]</t>
  </si>
  <si>
    <t>325・</t>
  </si>
  <si>
    <t>09:17:20.812]</t>
  </si>
  <si>
    <t>324・</t>
  </si>
  <si>
    <t>09:17:20.890]</t>
  </si>
  <si>
    <t>09:17:20.906]</t>
  </si>
  <si>
    <t>09:17:20.953]</t>
  </si>
  <si>
    <t>09:17:21.047]</t>
  </si>
  <si>
    <t>09:17:21.141]</t>
  </si>
  <si>
    <t>09:17:21.187]</t>
  </si>
  <si>
    <t>09:17:21.219]</t>
  </si>
  <si>
    <t>09:17:21.344]</t>
  </si>
  <si>
    <t>221・</t>
  </si>
  <si>
    <t>09:17:21.469]</t>
  </si>
  <si>
    <t>212・</t>
  </si>
  <si>
    <t>09:17:21.547]</t>
  </si>
  <si>
    <t>09:17:21.563]</t>
  </si>
  <si>
    <t>09:17:21.610]</t>
  </si>
  <si>
    <t>09:17:21.703]</t>
  </si>
  <si>
    <t>09:17:21.797]</t>
  </si>
  <si>
    <t>09:17:21.852]</t>
  </si>
  <si>
    <t>09:17:21.876]</t>
  </si>
  <si>
    <t>09:17:22.001]</t>
  </si>
  <si>
    <t>242・</t>
  </si>
  <si>
    <t>09:17:22.126]</t>
  </si>
  <si>
    <t>09:17:22.188]</t>
  </si>
  <si>
    <t>09:17:22.220]</t>
  </si>
  <si>
    <t>09:17:22.251]</t>
  </si>
  <si>
    <t>09:17:22.360]</t>
  </si>
  <si>
    <t>09:17:22.455]</t>
  </si>
  <si>
    <t>09:17:22.501]</t>
  </si>
  <si>
    <t>09:17:22.533]</t>
  </si>
  <si>
    <t>09:17:22.658]</t>
  </si>
  <si>
    <t>292・</t>
  </si>
  <si>
    <t>09:17:22.783]</t>
  </si>
  <si>
    <t>09:17:22.845]</t>
  </si>
  <si>
    <t>09:17:22.874]</t>
  </si>
  <si>
    <t>09:17:22.877]</t>
  </si>
  <si>
    <t>09:17:22.908]</t>
  </si>
  <si>
    <t>09:17:23.002]</t>
  </si>
  <si>
    <t>09:17:23.111]</t>
  </si>
  <si>
    <t>09:17:23.158]</t>
  </si>
  <si>
    <t>09:17:23.189]</t>
  </si>
  <si>
    <t>09:17:23.315]</t>
  </si>
  <si>
    <t>190・</t>
  </si>
  <si>
    <t>09:17:23.440]</t>
  </si>
  <si>
    <t>183・</t>
  </si>
  <si>
    <t>09:17:23.502]</t>
  </si>
  <si>
    <t>09:17:23.521]</t>
  </si>
  <si>
    <t>09:17:23.534]</t>
  </si>
  <si>
    <t>09:17:23.565]</t>
  </si>
  <si>
    <t>09:17:23.659]</t>
  </si>
  <si>
    <t>09:17:23.769]</t>
  </si>
  <si>
    <t>09:17:23.816]</t>
  </si>
  <si>
    <t>09:17:23.863]</t>
  </si>
  <si>
    <t>09:17:23.972]</t>
  </si>
  <si>
    <t>182・</t>
  </si>
  <si>
    <t>09:17:24.098]</t>
  </si>
  <si>
    <t>176・</t>
  </si>
  <si>
    <t>09:17:24.160]</t>
  </si>
  <si>
    <t>09:17:24.176]</t>
  </si>
  <si>
    <t>09:17:24.192]</t>
  </si>
  <si>
    <t>09:17:24.247]</t>
  </si>
  <si>
    <t>09:17:24.317]</t>
  </si>
  <si>
    <t>09:17:24.411]</t>
  </si>
  <si>
    <t>09:17:24.474]</t>
  </si>
  <si>
    <t>09:17:24.505]</t>
  </si>
  <si>
    <t>09:17:24.646]</t>
  </si>
  <si>
    <t>198・</t>
  </si>
  <si>
    <t>09:17:24.771]</t>
  </si>
  <si>
    <t>194・</t>
  </si>
  <si>
    <t>09:17:24.824]</t>
  </si>
  <si>
    <t>09:17:24.834]</t>
  </si>
  <si>
    <t>09:17:24.850]</t>
  </si>
  <si>
    <t>09:17:24.896]</t>
  </si>
  <si>
    <t>09:17:24.990]</t>
  </si>
  <si>
    <t>09:17:25.084]</t>
  </si>
  <si>
    <t>09:17:25.131]</t>
  </si>
  <si>
    <t>09:17:25.162]</t>
  </si>
  <si>
    <t>09:17:25.303]</t>
  </si>
  <si>
    <t>132・</t>
  </si>
  <si>
    <t>09:17:25.428]</t>
  </si>
  <si>
    <t>126・</t>
  </si>
  <si>
    <t>09:17:25.490]</t>
  </si>
  <si>
    <t>09:17:25.506]</t>
  </si>
  <si>
    <t>09:17:25.553]</t>
  </si>
  <si>
    <t>09:17:25.647]</t>
  </si>
  <si>
    <t>09:17:25.740]</t>
  </si>
  <si>
    <t>09:17:25.787]</t>
  </si>
  <si>
    <t>09:17:25.818]</t>
  </si>
  <si>
    <t>09:17:25.944]</t>
  </si>
  <si>
    <t>232・</t>
  </si>
  <si>
    <t>09:17:26.084]</t>
  </si>
  <si>
    <t>226・</t>
  </si>
  <si>
    <t>09:17:26.147]</t>
  </si>
  <si>
    <t>TILT</t>
  </si>
  <si>
    <t>09:17:26.162]</t>
  </si>
  <si>
    <t>_________</t>
  </si>
  <si>
    <t>09:17:26.178]</t>
  </si>
  <si>
    <t>09:17:26.225]</t>
  </si>
  <si>
    <t>sample</t>
  </si>
  <si>
    <t>interval:</t>
  </si>
  <si>
    <t>minutes</t>
  </si>
  <si>
    <t>09:17:26.272]</t>
  </si>
  <si>
    <t>09:17:26.287]</t>
  </si>
  <si>
    <t>09:17:26.319]</t>
  </si>
  <si>
    <t>09:17:26.350]</t>
  </si>
  <si>
    <t>3</t>
  </si>
  <si>
    <t>4</t>
  </si>
  <si>
    <t>09:17:26.382]</t>
  </si>
  <si>
    <t>325</t>
  </si>
  <si>
    <t>09:17:26.429]</t>
  </si>
  <si>
    <t>345</t>
  </si>
  <si>
    <t>09:17:26.476]</t>
  </si>
  <si>
    <t>327</t>
  </si>
  <si>
    <t>09:17:26.523]</t>
  </si>
  <si>
    <t>280</t>
  </si>
  <si>
    <t>09:17:26.570]</t>
  </si>
  <si>
    <t>323</t>
  </si>
  <si>
    <t>09:17:26.601]</t>
  </si>
  <si>
    <t>09:17:26.648]</t>
  </si>
  <si>
    <t>329</t>
  </si>
  <si>
    <t>09:17:26.695]</t>
  </si>
  <si>
    <t>306</t>
  </si>
  <si>
    <t>09:17:26.743]</t>
  </si>
  <si>
    <t>13</t>
  </si>
  <si>
    <t>09:17:26.774]</t>
  </si>
  <si>
    <t>335</t>
  </si>
  <si>
    <t>09:17:26.837]</t>
  </si>
  <si>
    <t>347</t>
  </si>
  <si>
    <t>09:17:26.884]</t>
  </si>
  <si>
    <t>282</t>
  </si>
  <si>
    <t>09:17:26.931]</t>
  </si>
  <si>
    <t>267</t>
  </si>
  <si>
    <t>09:17:26.978]</t>
  </si>
  <si>
    <t>226</t>
  </si>
  <si>
    <t>09:17:27.010]</t>
  </si>
  <si>
    <t>68</t>
  </si>
  <si>
    <t>09:17:27.056]</t>
  </si>
  <si>
    <t>275</t>
  </si>
  <si>
    <t>09:17:27.105]</t>
  </si>
  <si>
    <t>09:17:27.150]</t>
  </si>
  <si>
    <t>231</t>
  </si>
  <si>
    <t>09:17:27.197]</t>
  </si>
  <si>
    <t>09:17:27.228]</t>
  </si>
  <si>
    <t>235</t>
  </si>
  <si>
    <t>09:17:27.275]</t>
  </si>
  <si>
    <t>09:17:27.322]</t>
  </si>
  <si>
    <t>2</t>
  </si>
  <si>
    <t>160</t>
  </si>
  <si>
    <t>09:17:27.369]</t>
  </si>
  <si>
    <t>25</t>
  </si>
  <si>
    <t>09:17:27.416]</t>
  </si>
  <si>
    <t>60</t>
  </si>
  <si>
    <t>09:17:27.447]</t>
  </si>
  <si>
    <t>140</t>
  </si>
  <si>
    <t>09:17:27.494]</t>
  </si>
  <si>
    <t>341</t>
  </si>
  <si>
    <t>09:17:27.557]</t>
  </si>
  <si>
    <t>234</t>
  </si>
  <si>
    <t>09:17:27.604]</t>
  </si>
  <si>
    <t>274</t>
  </si>
  <si>
    <t>09:17:27.651]</t>
  </si>
  <si>
    <t>09:17:27.682]</t>
  </si>
  <si>
    <t>09:17:27.729]</t>
  </si>
  <si>
    <t>20</t>
  </si>
  <si>
    <t>09:17:27.776]</t>
  </si>
  <si>
    <t>331</t>
  </si>
  <si>
    <t>09:17:27.823]</t>
  </si>
  <si>
    <t>53</t>
  </si>
  <si>
    <t>09:17:27.870]</t>
  </si>
  <si>
    <t>314</t>
  </si>
  <si>
    <t>09:17:27.901]</t>
  </si>
  <si>
    <t>338</t>
  </si>
  <si>
    <t>09:17:27.948]</t>
  </si>
  <si>
    <t>09:17:27.997]</t>
  </si>
  <si>
    <t>77</t>
  </si>
  <si>
    <t>09:17:28.042]</t>
  </si>
  <si>
    <t>09:17:28.089]</t>
  </si>
  <si>
    <t>142</t>
  </si>
  <si>
    <t>09:17:28.121]</t>
  </si>
  <si>
    <t>09:17:28.167]</t>
  </si>
  <si>
    <t>348</t>
  </si>
  <si>
    <t>09:17:28.214]</t>
  </si>
  <si>
    <t>343</t>
  </si>
  <si>
    <t>09:17:28.261]</t>
  </si>
  <si>
    <t>09:17:28.324]</t>
  </si>
  <si>
    <t>315</t>
  </si>
  <si>
    <t>09:17:28.355]</t>
  </si>
  <si>
    <t>289</t>
  </si>
  <si>
    <t>09:17:28.403]</t>
  </si>
  <si>
    <t>324</t>
  </si>
  <si>
    <t>09:17:28.450]</t>
  </si>
  <si>
    <t>291</t>
  </si>
  <si>
    <t>09:17:28.497]</t>
  </si>
  <si>
    <t>351</t>
  </si>
  <si>
    <t>09:17:28.544]</t>
  </si>
  <si>
    <t>349</t>
  </si>
  <si>
    <t>09:17:28.575]</t>
  </si>
  <si>
    <t>309</t>
  </si>
  <si>
    <t>09:17:28.622]</t>
  </si>
  <si>
    <t>330</t>
  </si>
  <si>
    <t>09:17:28.669]</t>
  </si>
  <si>
    <t>337</t>
  </si>
  <si>
    <t>09:17:28.716]</t>
  </si>
  <si>
    <t>287</t>
  </si>
  <si>
    <t>09:17:28.763]</t>
  </si>
  <si>
    <t>1</t>
  </si>
  <si>
    <t>09:17:28.794]</t>
  </si>
  <si>
    <t>295</t>
  </si>
  <si>
    <t>09:17:28.841]</t>
  </si>
  <si>
    <t>313</t>
  </si>
  <si>
    <t>09:17:28.888]</t>
  </si>
  <si>
    <t>296</t>
  </si>
  <si>
    <t>09:17:28.935]</t>
  </si>
  <si>
    <t>09:17:28.982]</t>
  </si>
  <si>
    <t>2</t>
  </si>
  <si>
    <t>09:17:29.013]</t>
  </si>
  <si>
    <t>5</t>
  </si>
  <si>
    <t>09:17:29.075]</t>
  </si>
  <si>
    <t>270</t>
  </si>
  <si>
    <t>09:17:29.122]</t>
  </si>
  <si>
    <t>09:17:29.169]</t>
  </si>
  <si>
    <t>283</t>
  </si>
  <si>
    <t>09:17:29.200]</t>
  </si>
  <si>
    <t>22</t>
  </si>
  <si>
    <t>09:17:29.247]</t>
  </si>
  <si>
    <t>359</t>
  </si>
  <si>
    <t>09:17:29.294]</t>
  </si>
  <si>
    <t>204</t>
  </si>
  <si>
    <t>09:17:29.341]</t>
  </si>
  <si>
    <t>09:17:29.388]</t>
  </si>
  <si>
    <t>201</t>
  </si>
  <si>
    <t>09:17:29.419]</t>
  </si>
  <si>
    <t>322</t>
  </si>
  <si>
    <t>09:17:29.466]</t>
  </si>
  <si>
    <t>328</t>
  </si>
  <si>
    <t>09:17:29.513]</t>
  </si>
  <si>
    <t>09:17:29.560]</t>
  </si>
  <si>
    <t>316</t>
  </si>
  <si>
    <t>09:17:29.606]</t>
  </si>
  <si>
    <t>342</t>
  </si>
  <si>
    <t>09:17:29.638]</t>
  </si>
  <si>
    <t>09:17:29.685]</t>
  </si>
  <si>
    <t>294</t>
  </si>
  <si>
    <t>09:17:29.732]</t>
  </si>
  <si>
    <t>255</t>
  </si>
  <si>
    <t>09:17:29.795]</t>
  </si>
  <si>
    <t>266</t>
  </si>
  <si>
    <t>09:17:29.842]</t>
  </si>
  <si>
    <t>238</t>
  </si>
  <si>
    <t>09:17:29.874]</t>
  </si>
  <si>
    <t>265</t>
  </si>
  <si>
    <t>09:17:29.920]</t>
  </si>
  <si>
    <t>256</t>
  </si>
  <si>
    <t>09:17:29.967]</t>
  </si>
  <si>
    <t>09:17:30.014]</t>
  </si>
  <si>
    <t>09:17:30.061]</t>
  </si>
  <si>
    <t>288</t>
  </si>
  <si>
    <t>09:17:30.093]</t>
  </si>
  <si>
    <t>3</t>
  </si>
  <si>
    <t>09:17:30.140]</t>
  </si>
  <si>
    <t>09:17:30.186]</t>
  </si>
  <si>
    <t>09:17:30.233]</t>
  </si>
  <si>
    <t>320</t>
  </si>
  <si>
    <t>09:17:30.280]</t>
  </si>
  <si>
    <t>0</t>
  </si>
  <si>
    <t>09:17:30.311]</t>
  </si>
  <si>
    <t>305</t>
  </si>
  <si>
    <t>09:17:30.359]</t>
  </si>
  <si>
    <t>276</t>
  </si>
  <si>
    <t>09:17:30.406]</t>
  </si>
  <si>
    <t>09:17:30.453]</t>
  </si>
  <si>
    <t>298</t>
  </si>
  <si>
    <t>09:17:30.500]</t>
  </si>
  <si>
    <t>251</t>
  </si>
  <si>
    <t>09:17:30.531]</t>
  </si>
  <si>
    <t>09:17:30.593]</t>
  </si>
  <si>
    <t>360</t>
  </si>
  <si>
    <t>09:17:30.640]</t>
  </si>
  <si>
    <t>312</t>
  </si>
  <si>
    <t>09:17:30.687]</t>
  </si>
  <si>
    <t>6</t>
  </si>
  <si>
    <t>09:17:30.735]</t>
  </si>
  <si>
    <t>56</t>
  </si>
  <si>
    <t>09:17:30.766]</t>
  </si>
  <si>
    <t>357</t>
  </si>
  <si>
    <t>09:17:30.813]</t>
  </si>
  <si>
    <t>14</t>
  </si>
  <si>
    <t>09:17:30.860]</t>
  </si>
  <si>
    <t>09:17:30.907]</t>
  </si>
  <si>
    <t>18</t>
  </si>
  <si>
    <t>09:17:30.954]</t>
  </si>
  <si>
    <t>339</t>
  </si>
  <si>
    <t>09:17:30.985]</t>
  </si>
  <si>
    <t>09:17:31.032]</t>
  </si>
  <si>
    <t>09:17:31.079]</t>
  </si>
  <si>
    <t>302</t>
  </si>
  <si>
    <t>09:17:31.126]</t>
  </si>
  <si>
    <t>09:17:31.176]</t>
  </si>
  <si>
    <t>299</t>
  </si>
  <si>
    <t>09:17:31.205]</t>
  </si>
  <si>
    <t>09:17:31.252]</t>
  </si>
  <si>
    <t>09:17:31.300]</t>
  </si>
  <si>
    <t>09:17:31.361]</t>
  </si>
  <si>
    <t>09:17:31.408]</t>
  </si>
  <si>
    <t>333</t>
  </si>
  <si>
    <t>09:17:31.439]</t>
  </si>
  <si>
    <t>09:17:31.486]</t>
  </si>
  <si>
    <t>9</t>
  </si>
  <si>
    <t>09:17:31.533]</t>
  </si>
  <si>
    <t>26</t>
  </si>
  <si>
    <t>09:17:31.580]</t>
  </si>
  <si>
    <t>344</t>
  </si>
  <si>
    <t>09:17:31.612]</t>
  </si>
  <si>
    <t>09:17:31.658]</t>
  </si>
  <si>
    <t>268</t>
  </si>
  <si>
    <t>09:17:31.705]</t>
  </si>
  <si>
    <t>304</t>
  </si>
  <si>
    <t>09:17:31.754]</t>
  </si>
  <si>
    <t>09:17:31.800]</t>
  </si>
  <si>
    <t>09:17:31.831]</t>
  </si>
  <si>
    <t>09:17:31.878]</t>
  </si>
  <si>
    <t>43</t>
  </si>
  <si>
    <t>09:17:31.938]</t>
  </si>
  <si>
    <t>09:17:31.972]</t>
  </si>
  <si>
    <t>41</t>
  </si>
  <si>
    <t>09:17:32.019]</t>
  </si>
  <si>
    <t>34</t>
  </si>
  <si>
    <t>09:17:32.051]</t>
  </si>
  <si>
    <t>89</t>
  </si>
  <si>
    <t>09:17:32.098]</t>
  </si>
  <si>
    <t>106</t>
  </si>
  <si>
    <t>09:17:32.160]</t>
  </si>
  <si>
    <t>09:17:32.207]</t>
  </si>
  <si>
    <t>88</t>
  </si>
  <si>
    <t>09:17:32.254]</t>
  </si>
  <si>
    <t>09:17:32.286]</t>
  </si>
  <si>
    <t>39</t>
  </si>
  <si>
    <t>09:17:32.332]</t>
  </si>
  <si>
    <t>50</t>
  </si>
  <si>
    <t>09:17:32.379]</t>
  </si>
  <si>
    <t>09:17:32.427]</t>
  </si>
  <si>
    <t>65</t>
  </si>
  <si>
    <t>09:17:32.474]</t>
  </si>
  <si>
    <t>09:17:32.505]</t>
  </si>
  <si>
    <t>57</t>
  </si>
  <si>
    <t>09:17:32.552]</t>
  </si>
  <si>
    <t>09:17:32.599]</t>
  </si>
  <si>
    <t>09:17:32.646]</t>
  </si>
  <si>
    <t>58</t>
  </si>
  <si>
    <t>09:17:32.693]</t>
  </si>
  <si>
    <t>09:17:32.724]</t>
  </si>
  <si>
    <t>09:17:32.773]</t>
  </si>
  <si>
    <t>94</t>
  </si>
  <si>
    <t>09:17:32.819]</t>
  </si>
  <si>
    <t>84</t>
  </si>
  <si>
    <t>09:17:32.866]</t>
  </si>
  <si>
    <t>154</t>
  </si>
  <si>
    <t>09:17:32.913]</t>
  </si>
  <si>
    <t>147</t>
  </si>
  <si>
    <t>09:17:32.960]</t>
  </si>
  <si>
    <t>09:17:33.007]</t>
  </si>
  <si>
    <t>117</t>
  </si>
  <si>
    <t>09:17:33.054]</t>
  </si>
  <si>
    <t>09:17:33.101]</t>
  </si>
  <si>
    <t>350</t>
  </si>
  <si>
    <t>09:17:33.148]</t>
  </si>
  <si>
    <t>09:17:33.179]</t>
  </si>
  <si>
    <t>09:17:33.227]</t>
  </si>
  <si>
    <t>38</t>
  </si>
  <si>
    <t>09:17:33.274]</t>
  </si>
  <si>
    <t>81</t>
  </si>
  <si>
    <t>09:17:33.321]</t>
  </si>
  <si>
    <t>09:17:33.368]</t>
  </si>
  <si>
    <t>09:17:33.399]</t>
  </si>
  <si>
    <t>99</t>
  </si>
  <si>
    <t>09:17:33.446]</t>
  </si>
  <si>
    <t>123</t>
  </si>
  <si>
    <t>09:17:33.493]</t>
  </si>
  <si>
    <t>284</t>
  </si>
  <si>
    <t>09:17:33.540]</t>
  </si>
  <si>
    <t>191</t>
  </si>
  <si>
    <t>09:17:33.587]</t>
  </si>
  <si>
    <t>279</t>
  </si>
  <si>
    <t>09:17:33.618]</t>
  </si>
  <si>
    <t>213</t>
  </si>
  <si>
    <t>09:17:33.665]</t>
  </si>
  <si>
    <t>310</t>
  </si>
  <si>
    <t>09:17:33.728]</t>
  </si>
  <si>
    <t>248</t>
  </si>
  <si>
    <t>09:17:33.775]</t>
  </si>
  <si>
    <t>09:17:33.822]</t>
  </si>
  <si>
    <t>259</t>
  </si>
  <si>
    <t>09:17:33.855]</t>
  </si>
  <si>
    <t>272</t>
  </si>
  <si>
    <t>09:17:33.900]</t>
  </si>
  <si>
    <t>152</t>
  </si>
  <si>
    <t>09:17:33.947]</t>
  </si>
  <si>
    <t>205</t>
  </si>
  <si>
    <t>09:17:33.994]</t>
  </si>
  <si>
    <t>182</t>
  </si>
  <si>
    <t>09:17:34.041]</t>
  </si>
  <si>
    <t>206</t>
  </si>
  <si>
    <t>09:17:34.073]</t>
  </si>
  <si>
    <t>173</t>
  </si>
  <si>
    <t>09:17:34.120]</t>
  </si>
  <si>
    <t>187</t>
  </si>
  <si>
    <t>09:17:34.167]</t>
  </si>
  <si>
    <t>172</t>
  </si>
  <si>
    <t>09:17:34.213]</t>
  </si>
  <si>
    <t>183</t>
  </si>
  <si>
    <t>09:17:34.260]</t>
  </si>
  <si>
    <t>165</t>
  </si>
  <si>
    <t>09:17:34.291]</t>
  </si>
  <si>
    <t>129</t>
  </si>
  <si>
    <t>09:17:34.338]</t>
  </si>
  <si>
    <t>167</t>
  </si>
  <si>
    <t>09:17:34.385]</t>
  </si>
  <si>
    <t>148</t>
  </si>
  <si>
    <t>09:17:34.432]</t>
  </si>
  <si>
    <t>09:17:34.495]</t>
  </si>
  <si>
    <t>202</t>
  </si>
  <si>
    <t>09:17:34.526]</t>
  </si>
  <si>
    <t>09:17:34.573]</t>
  </si>
  <si>
    <t>247</t>
  </si>
  <si>
    <t>09:17:34.620]</t>
  </si>
  <si>
    <t>253</t>
  </si>
  <si>
    <t>09:17:34.666]</t>
  </si>
  <si>
    <t>232</t>
  </si>
  <si>
    <t>09:17:34.713]</t>
  </si>
  <si>
    <t>09:17:34.745]</t>
  </si>
  <si>
    <t>223</t>
  </si>
  <si>
    <t>09:17:34.792]</t>
  </si>
  <si>
    <t>211</t>
  </si>
  <si>
    <t>09:17:34.839]</t>
  </si>
  <si>
    <t>214</t>
  </si>
  <si>
    <t>09:17:34.886]</t>
  </si>
  <si>
    <t>09:17:34.933]</t>
  </si>
  <si>
    <t>227</t>
  </si>
  <si>
    <t>09:17:34.980]</t>
  </si>
  <si>
    <t>229</t>
  </si>
  <si>
    <t>09:17:35.011]</t>
  </si>
  <si>
    <t>09:17:35.058]</t>
  </si>
  <si>
    <t>09:17:35.105]</t>
  </si>
  <si>
    <t>09:17:35.152]</t>
  </si>
  <si>
    <t>212</t>
  </si>
  <si>
    <t>09:17:35.199]</t>
  </si>
  <si>
    <t>09:17:35.246]</t>
  </si>
  <si>
    <t>176</t>
  </si>
  <si>
    <t>09:17:35.293]</t>
  </si>
  <si>
    <t>196</t>
  </si>
  <si>
    <t>09:17:35.340]</t>
  </si>
  <si>
    <t>194</t>
  </si>
  <si>
    <t>09:17:35.387]</t>
  </si>
  <si>
    <t>203</t>
  </si>
  <si>
    <t>09:17:35.433]</t>
  </si>
  <si>
    <t>09:17:35.465]</t>
  </si>
  <si>
    <t>219</t>
  </si>
  <si>
    <t>09:17:35.512]</t>
  </si>
  <si>
    <t>207</t>
  </si>
  <si>
    <t>09:17:35.560]</t>
  </si>
  <si>
    <t>216</t>
  </si>
  <si>
    <t>09:17:35.606]</t>
  </si>
  <si>
    <t>221</t>
  </si>
  <si>
    <t>09:17:35.653]</t>
  </si>
  <si>
    <t>09:17:35.684]</t>
  </si>
  <si>
    <t>269</t>
  </si>
  <si>
    <t>09:17:35.731]</t>
  </si>
  <si>
    <t>271</t>
  </si>
  <si>
    <t>09:17:35.778]</t>
  </si>
  <si>
    <t>249</t>
  </si>
  <si>
    <t>09:17:35.826]</t>
  </si>
  <si>
    <t>09:17:35.872]</t>
  </si>
  <si>
    <t>262</t>
  </si>
  <si>
    <t>09:17:35.903]</t>
  </si>
  <si>
    <t>163</t>
  </si>
  <si>
    <t>09:17:35.953]</t>
  </si>
  <si>
    <t>156</t>
  </si>
  <si>
    <t>09:17:36.013]</t>
  </si>
  <si>
    <t>141</t>
  </si>
  <si>
    <t>09:17:36.060]</t>
  </si>
  <si>
    <t>87</t>
  </si>
  <si>
    <t>09:17:36.107]</t>
  </si>
  <si>
    <t>168</t>
  </si>
  <si>
    <t>09:17:36.138]</t>
  </si>
  <si>
    <t>113</t>
  </si>
  <si>
    <t>09:17:36.185]</t>
  </si>
  <si>
    <t>09:17:36.232]</t>
  </si>
  <si>
    <t>09:17:36.279]</t>
  </si>
  <si>
    <t>09:17:36.326]</t>
  </si>
  <si>
    <t>09:17:36.357]</t>
  </si>
  <si>
    <t>244</t>
  </si>
  <si>
    <t>09:17:36.404]</t>
  </si>
  <si>
    <t>224</t>
  </si>
  <si>
    <t>09:17:36.451]</t>
  </si>
  <si>
    <t>09:17:36.498]</t>
  </si>
  <si>
    <t>149</t>
  </si>
  <si>
    <t>09:17:36.545]</t>
  </si>
  <si>
    <t>09:17:36.576]</t>
  </si>
  <si>
    <t>198</t>
  </si>
  <si>
    <t>09:17:36.639]</t>
  </si>
  <si>
    <t>254</t>
  </si>
  <si>
    <t>09:17:36.670]</t>
  </si>
  <si>
    <t>09:17:36.732]</t>
  </si>
  <si>
    <t>240</t>
  </si>
  <si>
    <t>09:17:36.779]</t>
  </si>
  <si>
    <t>250</t>
  </si>
  <si>
    <t>09:17:36.810]</t>
  </si>
  <si>
    <t>09:17:36.857]</t>
  </si>
  <si>
    <t>09:17:36.904]</t>
  </si>
  <si>
    <t>225</t>
  </si>
  <si>
    <t>09:17:36.951]</t>
  </si>
  <si>
    <t>09:17:37.000]</t>
  </si>
  <si>
    <t>09:17:37.030]</t>
  </si>
  <si>
    <t>127</t>
  </si>
  <si>
    <t>09:17:37.077]</t>
  </si>
  <si>
    <t>217</t>
  </si>
  <si>
    <t>09:17:37.124]</t>
  </si>
  <si>
    <t>192</t>
  </si>
  <si>
    <t>09:17:37.171]</t>
  </si>
  <si>
    <t>301</t>
  </si>
  <si>
    <t>09:17:37.218]</t>
  </si>
  <si>
    <t>185</t>
  </si>
  <si>
    <t>09:17:37.249]</t>
  </si>
  <si>
    <t>09:17:37.296]</t>
  </si>
  <si>
    <t>215</t>
  </si>
  <si>
    <t>09:17:37.343]</t>
  </si>
  <si>
    <t>242</t>
  </si>
  <si>
    <t>09:17:37.405]</t>
  </si>
  <si>
    <t>263</t>
  </si>
  <si>
    <t>09:17:37.452]</t>
  </si>
  <si>
    <t>09:17:37.499]</t>
  </si>
  <si>
    <t>09:17:37.530]</t>
  </si>
  <si>
    <t>09:17:37.577]</t>
  </si>
  <si>
    <t>09:17:37.624]</t>
  </si>
  <si>
    <t>241</t>
  </si>
  <si>
    <t>09:17:37.671]</t>
  </si>
  <si>
    <t>193</t>
  </si>
  <si>
    <t>09:17:37.718]</t>
  </si>
  <si>
    <t>09:17:37.749]</t>
  </si>
  <si>
    <t>181</t>
  </si>
  <si>
    <t>09:17:37.796]</t>
  </si>
  <si>
    <t>09:17:37.843]</t>
  </si>
  <si>
    <t>09:17:37.890]</t>
  </si>
  <si>
    <t>236</t>
  </si>
  <si>
    <t>09:17:37.937]</t>
  </si>
  <si>
    <t>09:17:37.969]</t>
  </si>
  <si>
    <t>09:17:38.015]</t>
  </si>
  <si>
    <t>09:17:38.062]</t>
  </si>
  <si>
    <t>189</t>
  </si>
  <si>
    <t>09:17:38.109]</t>
  </si>
  <si>
    <t>09:17:38.172]</t>
  </si>
  <si>
    <t>177</t>
  </si>
  <si>
    <t>09:17:38.203]</t>
  </si>
  <si>
    <t>09:17:38.250]</t>
  </si>
  <si>
    <t>09:17:38.297]</t>
  </si>
  <si>
    <t>09:17:38.344]</t>
  </si>
  <si>
    <t>210</t>
  </si>
  <si>
    <t>09:17:38.391]</t>
  </si>
  <si>
    <t>09:17:38.423]</t>
  </si>
  <si>
    <t>186</t>
  </si>
  <si>
    <t>09:17:38.470]</t>
  </si>
  <si>
    <t>174</t>
  </si>
  <si>
    <t>09:17:38.516]</t>
  </si>
  <si>
    <t>190</t>
  </si>
  <si>
    <t>09:17:38.563]</t>
  </si>
  <si>
    <t>09:17:38.610]</t>
  </si>
  <si>
    <t>09:17:38.642]</t>
  </si>
  <si>
    <t>09:17:38.689]</t>
  </si>
  <si>
    <t>09:17:38.735]</t>
  </si>
  <si>
    <t>138</t>
  </si>
  <si>
    <t>09:17:38.784]</t>
  </si>
  <si>
    <t>09:17:38.830]</t>
  </si>
  <si>
    <t>09:17:38.861]</t>
  </si>
  <si>
    <t>09:17:38.909]</t>
  </si>
  <si>
    <t>09:17:38.957]</t>
  </si>
  <si>
    <t>164</t>
  </si>
  <si>
    <t>09:17:39.003]</t>
  </si>
  <si>
    <t>218</t>
  </si>
  <si>
    <t>09:17:39.066]</t>
  </si>
  <si>
    <t>159</t>
  </si>
  <si>
    <t>09:17:39.098]</t>
  </si>
  <si>
    <t>184</t>
  </si>
  <si>
    <t>09:17:39.145]</t>
  </si>
  <si>
    <t>157</t>
  </si>
  <si>
    <t>09:17:39.192]</t>
  </si>
  <si>
    <t>09:17:39.239]</t>
  </si>
  <si>
    <t>188</t>
  </si>
  <si>
    <t>09:17:39.286]</t>
  </si>
  <si>
    <t>09:17:39.317]</t>
  </si>
  <si>
    <t>170</t>
  </si>
  <si>
    <t>09:17:39.364]</t>
  </si>
  <si>
    <t>09:17:39.411]</t>
  </si>
  <si>
    <t>09:17:39.458]</t>
  </si>
  <si>
    <t>52</t>
  </si>
  <si>
    <t>09:17:39.474]</t>
  </si>
  <si>
    <t>09:17:39.489]</t>
  </si>
  <si>
    <t>Normal</t>
  </si>
  <si>
    <t>shutdown.</t>
  </si>
  <si>
    <t>09:17:39.521]</t>
  </si>
  <si>
    <t>09:17:39.537]</t>
  </si>
  <si>
    <t>End</t>
  </si>
  <si>
    <t>file.</t>
  </si>
  <si>
    <t>09:17:39.584]</t>
  </si>
  <si>
    <t>09:17:39.599]</t>
  </si>
  <si>
    <t>Terminate</t>
  </si>
  <si>
    <t>operation</t>
  </si>
  <si>
    <t>09:17:39.677]</t>
  </si>
  <si>
    <t>continue.</t>
  </si>
  <si>
    <t>09:17:44.794]</t>
  </si>
  <si>
    <t>09:17:44.825]</t>
  </si>
  <si>
    <t>09:17:44.888]</t>
  </si>
  <si>
    <t>09:17:44.905]</t>
  </si>
  <si>
    <t>09:17:44.966]</t>
  </si>
  <si>
    <t>09:17:45.076]</t>
  </si>
  <si>
    <t>09:17:45.170]</t>
  </si>
  <si>
    <t>09:17:45.264]</t>
  </si>
  <si>
    <t>09:17:45.311]</t>
  </si>
  <si>
    <t>09:17:45.358]</t>
  </si>
  <si>
    <t>09:17:45.451]</t>
  </si>
  <si>
    <t>09:17:45.561]</t>
  </si>
  <si>
    <t>09:17:45.655]</t>
  </si>
  <si>
    <t>09:17:45.718]</t>
  </si>
  <si>
    <t>09:17:45.749]</t>
  </si>
  <si>
    <t>09:17:45.843]</t>
  </si>
  <si>
    <t>09:17:45.937]</t>
  </si>
  <si>
    <t>09:17:46.015]</t>
  </si>
  <si>
    <t>09:17:46.085]</t>
  </si>
  <si>
    <t>09:17:46.093]</t>
  </si>
  <si>
    <t>09:17:55.000]</t>
  </si>
  <si>
    <t>09:17:55.101]</t>
  </si>
  <si>
    <t>09:17:55.110]</t>
  </si>
  <si>
    <t>Rotator</t>
  </si>
  <si>
    <t>aligned.</t>
  </si>
  <si>
    <t>09:17:55.157]</t>
  </si>
  <si>
    <t>Next</t>
  </si>
  <si>
    <t>Bottle</t>
  </si>
  <si>
    <t>(Yes/No)</t>
  </si>
  <si>
    <t>[N]</t>
  </si>
  <si>
    <t>y</t>
  </si>
  <si>
    <t>09:26:08.941]</t>
  </si>
  <si>
    <t>Moving</t>
  </si>
  <si>
    <t>rotator</t>
  </si>
  <si>
    <t>assembly</t>
  </si>
  <si>
    <t>.</t>
  </si>
  <si>
    <t>rotor</t>
  </si>
  <si>
    <t>09:26:33.066]</t>
  </si>
  <si>
    <t>Lowest</t>
  </si>
  <si>
    <t>battery</t>
  </si>
  <si>
    <t>detected</t>
  </si>
  <si>
    <t>V</t>
  </si>
  <si>
    <t>09:26:33.096]</t>
  </si>
  <si>
    <t>09:26:33.127]</t>
  </si>
  <si>
    <t>09:26:33.159]</t>
  </si>
  <si>
    <t>09:27:07.985]</t>
  </si>
  <si>
    <t>09:27:32.343]</t>
  </si>
  <si>
    <t>09:27:32.389]</t>
  </si>
  <si>
    <t>09:27:32.421]</t>
  </si>
  <si>
    <t>09:27:32.452]</t>
  </si>
  <si>
    <t>09:28:02.740]</t>
  </si>
  <si>
    <t>09:28:27.063]</t>
  </si>
  <si>
    <t>09:28:27.095]</t>
  </si>
  <si>
    <t>09:28:27.126]</t>
  </si>
  <si>
    <t>09:28:27.157]</t>
  </si>
  <si>
    <t>09:28:57.494]</t>
  </si>
  <si>
    <t>09:29:21.685]</t>
  </si>
  <si>
    <t>09:29:21.717]</t>
  </si>
  <si>
    <t>09:29:21.749]</t>
  </si>
  <si>
    <t>09:29:21.781]</t>
  </si>
  <si>
    <t>09:29:48.852]</t>
  </si>
  <si>
    <t>09:30:13.164]</t>
  </si>
  <si>
    <t>09:30:13.212]</t>
  </si>
  <si>
    <t>09:30:13.228]</t>
  </si>
  <si>
    <t>09:30:13.259]</t>
  </si>
  <si>
    <t>09:30:17.768]</t>
  </si>
  <si>
    <t>09:30:42.160]</t>
  </si>
  <si>
    <t>09:30:42.192]</t>
  </si>
  <si>
    <t>09:30:42.223]</t>
  </si>
  <si>
    <t>09:30:42.271]</t>
  </si>
  <si>
    <t>09:31:03.461]</t>
  </si>
  <si>
    <t>09:31:27.598]</t>
  </si>
  <si>
    <t>09:31:27.648]</t>
  </si>
  <si>
    <t>09:31:27.664]</t>
  </si>
  <si>
    <t>09:31:27.715]</t>
  </si>
  <si>
    <t>09:31:42.835]</t>
  </si>
  <si>
    <t>09:32:07.240]</t>
  </si>
  <si>
    <t>09:32:07.272]</t>
  </si>
  <si>
    <t>09:32:07.291]</t>
  </si>
  <si>
    <t>09:32:07.334]</t>
  </si>
  <si>
    <t>09:32:24.637]</t>
  </si>
  <si>
    <t>09:32:48.963]</t>
  </si>
  <si>
    <t>09:32:49.009]</t>
  </si>
  <si>
    <t>09:32:49.041]</t>
  </si>
  <si>
    <t>09:32:49.073]</t>
  </si>
  <si>
    <t>09:33:05.755]</t>
  </si>
  <si>
    <t>09:33:29.965]</t>
  </si>
  <si>
    <t>09:33:30.012]</t>
  </si>
  <si>
    <t>09:33:30.027]</t>
  </si>
  <si>
    <t>09:33:30.074]</t>
  </si>
  <si>
    <t>09:34:27.098]</t>
  </si>
  <si>
    <t>09:34:51.476]</t>
  </si>
  <si>
    <t>09:34:51.526]</t>
  </si>
  <si>
    <t>09:34:51.540]</t>
  </si>
  <si>
    <t>09:34:51.588]</t>
  </si>
  <si>
    <t>09:35:14.944]</t>
  </si>
  <si>
    <t>09:35:39.274]</t>
  </si>
  <si>
    <t>09:35:39.304]</t>
  </si>
  <si>
    <t>09:35:39.334]</t>
  </si>
  <si>
    <t>09:35:39.373]</t>
  </si>
  <si>
    <t>09:35:52.605]</t>
  </si>
  <si>
    <t>09:36:16.749]</t>
  </si>
  <si>
    <t>09:36:16.781]</t>
  </si>
  <si>
    <t>09:36:16.810]</t>
  </si>
  <si>
    <t>09:36:16.860]</t>
  </si>
  <si>
    <t>09:36:32.683]</t>
  </si>
  <si>
    <t>09:36:57.065]</t>
  </si>
  <si>
    <t>09:36:57.114]</t>
  </si>
  <si>
    <t>09:36:57.128]</t>
  </si>
  <si>
    <t>09:36:57.176]</t>
  </si>
  <si>
    <t>09:37:09.020]</t>
  </si>
  <si>
    <t>09:37:33.393]</t>
  </si>
  <si>
    <t>09:37:33.443]</t>
  </si>
  <si>
    <t>09:37:33.463]</t>
  </si>
  <si>
    <t>09:37:33.508]</t>
  </si>
  <si>
    <t>09:37:48.583]</t>
  </si>
  <si>
    <t>09:38:12.783]</t>
  </si>
  <si>
    <t>09:38:12.818]</t>
  </si>
  <si>
    <t>09:38:12.844]</t>
  </si>
  <si>
    <t>09:38:12.894]</t>
  </si>
  <si>
    <t>09:38:29.043]</t>
  </si>
  <si>
    <t>09:38:53.358]</t>
  </si>
  <si>
    <t>09:38:53.403]</t>
  </si>
  <si>
    <t>09:38:53.438]</t>
  </si>
  <si>
    <t>09:38:53.469]</t>
  </si>
  <si>
    <t>09:39:04.184]</t>
  </si>
  <si>
    <t>09:39:28.516]</t>
  </si>
  <si>
    <t>09:39:28.545]</t>
  </si>
  <si>
    <t>09:39:28.577]</t>
  </si>
  <si>
    <t>09:39:28.609]</t>
  </si>
  <si>
    <t>09:39:36.664]</t>
  </si>
  <si>
    <t>09:40:00.757]</t>
  </si>
  <si>
    <t>09:40:00.790]</t>
  </si>
  <si>
    <t>09:40:00.820]</t>
  </si>
  <si>
    <t>09:40:00.869]</t>
  </si>
  <si>
    <t>09:40:08.829]</t>
  </si>
  <si>
    <t>09:40:33.097]</t>
  </si>
  <si>
    <t>09:40:33.144]</t>
  </si>
  <si>
    <t>09:40:33.159]</t>
  </si>
  <si>
    <t>09:40:33.209]</t>
  </si>
  <si>
    <t>09:40:45.006]</t>
  </si>
  <si>
    <t>09:41:09.273]</t>
  </si>
  <si>
    <t>09:41:09.323]</t>
  </si>
  <si>
    <t>09:41:09.334]</t>
  </si>
  <si>
    <t>09:41:09.384]</t>
  </si>
  <si>
    <t>09:41:32.626]</t>
  </si>
  <si>
    <t>09:41:56.721]</t>
  </si>
  <si>
    <t>09:41:56.753]</t>
  </si>
  <si>
    <t>09:41:56.783]</t>
  </si>
  <si>
    <t>09:41:56.815]</t>
  </si>
  <si>
    <t>n</t>
  </si>
  <si>
    <t>09:42:23.640]</t>
  </si>
  <si>
    <t>09:42:23.687]</t>
  </si>
  <si>
    <t>09:42:23.754]</t>
  </si>
  <si>
    <t>09:42:23.767]</t>
  </si>
  <si>
    <t>09:42:23.815]</t>
  </si>
  <si>
    <t>09:42:23.911]</t>
  </si>
  <si>
    <t>09:42:24.007]</t>
  </si>
  <si>
    <t>09:42:24.103]</t>
  </si>
  <si>
    <t>09:42:24.167]</t>
  </si>
  <si>
    <t>09:42:24.214]</t>
  </si>
  <si>
    <t>09:42:24.311]</t>
  </si>
  <si>
    <t>09:42:24.406]</t>
  </si>
  <si>
    <t>09:42:24.518]</t>
  </si>
  <si>
    <t>09:42:24.553]</t>
  </si>
  <si>
    <t>09:42:24.583]</t>
  </si>
  <si>
    <t>09:42:24.676]</t>
  </si>
  <si>
    <t>09:42:24.792]</t>
  </si>
  <si>
    <t>09:42:24.868]</t>
  </si>
  <si>
    <t>09:42:24.936]</t>
  </si>
  <si>
    <t>09:42:24.950]</t>
  </si>
  <si>
    <t>09:42:30.740]</t>
  </si>
  <si>
    <t>09:42:30.753]</t>
  </si>
  <si>
    <t>&lt;04/23/2024</t>
  </si>
  <si>
    <t>23:17:47&gt;</t>
  </si>
  <si>
    <t>Sleeping</t>
  </si>
  <si>
    <t>up?</t>
  </si>
  <si>
    <t>ML11741-01</t>
  </si>
  <si>
    <t>SAZ25_2023_2000m_11741_01_Tilt</t>
  </si>
  <si>
    <t>3</t>
  </si>
  <si>
    <t>20・</t>
  </si>
  <si>
    <t>14・</t>
  </si>
  <si>
    <t>277・</t>
  </si>
  <si>
    <t>278・</t>
  </si>
  <si>
    <t>17・</t>
  </si>
  <si>
    <t>23・</t>
  </si>
  <si>
    <t>19・</t>
  </si>
  <si>
    <t>305・</t>
  </si>
  <si>
    <t>306・</t>
  </si>
  <si>
    <t>353・</t>
  </si>
  <si>
    <t>352・</t>
  </si>
  <si>
    <t>42・</t>
  </si>
  <si>
    <t>46・</t>
  </si>
  <si>
    <t>89・</t>
  </si>
  <si>
    <t>87・</t>
  </si>
  <si>
    <t>65・</t>
  </si>
  <si>
    <t>34・</t>
  </si>
  <si>
    <t>339・</t>
  </si>
  <si>
    <t>337・</t>
  </si>
  <si>
    <t>307・</t>
  </si>
  <si>
    <t>309・</t>
  </si>
  <si>
    <t>251・</t>
  </si>
  <si>
    <t>253・</t>
  </si>
  <si>
    <t>264・</t>
  </si>
  <si>
    <t>265・</t>
  </si>
  <si>
    <t>209・</t>
  </si>
  <si>
    <t>206・</t>
  </si>
  <si>
    <t>70・</t>
  </si>
  <si>
    <t>263・</t>
  </si>
  <si>
    <t>258・</t>
  </si>
  <si>
    <t>255・</t>
  </si>
  <si>
    <t>61・</t>
  </si>
  <si>
    <t>54・</t>
  </si>
  <si>
    <t>298・</t>
  </si>
  <si>
    <t>301・</t>
  </si>
  <si>
    <t>334</t>
  </si>
  <si>
    <t>63</t>
  </si>
  <si>
    <t>54</t>
  </si>
  <si>
    <t>69</t>
  </si>
  <si>
    <t>48</t>
  </si>
  <si>
    <t>74</t>
  </si>
  <si>
    <t>61</t>
  </si>
  <si>
    <t>55</t>
  </si>
  <si>
    <t>19</t>
  </si>
  <si>
    <t>107</t>
  </si>
  <si>
    <t>70</t>
  </si>
  <si>
    <t>90</t>
  </si>
  <si>
    <t>59</t>
  </si>
  <si>
    <t>98</t>
  </si>
  <si>
    <t>8</t>
  </si>
  <si>
    <t>131</t>
  </si>
  <si>
    <t>318</t>
  </si>
  <si>
    <t>46</t>
  </si>
  <si>
    <t>35</t>
  </si>
  <si>
    <t>352</t>
  </si>
  <si>
    <t>45</t>
  </si>
  <si>
    <t>27</t>
  </si>
  <si>
    <t>16</t>
  </si>
  <si>
    <t>32</t>
  </si>
  <si>
    <t>51</t>
  </si>
  <si>
    <t>24</t>
  </si>
  <si>
    <t>297</t>
  </si>
  <si>
    <t>286</t>
  </si>
  <si>
    <t>277</t>
  </si>
  <si>
    <t>243</t>
  </si>
  <si>
    <t>317</t>
  </si>
  <si>
    <t>21</t>
  </si>
  <si>
    <t>47</t>
  </si>
  <si>
    <t>42</t>
  </si>
  <si>
    <t>355</t>
  </si>
  <si>
    <t>353</t>
  </si>
  <si>
    <t>11</t>
  </si>
  <si>
    <t>30</t>
  </si>
  <si>
    <t>358</t>
  </si>
  <si>
    <t>326</t>
  </si>
  <si>
    <t>17</t>
  </si>
  <si>
    <t>285</t>
  </si>
  <si>
    <t>37</t>
  </si>
  <si>
    <t>29</t>
  </si>
  <si>
    <t>23</t>
  </si>
  <si>
    <t>12</t>
  </si>
  <si>
    <t>311</t>
  </si>
  <si>
    <t>340</t>
  </si>
  <si>
    <t>7</t>
  </si>
  <si>
    <t>93</t>
  </si>
  <si>
    <t>49</t>
  </si>
  <si>
    <t>71</t>
  </si>
  <si>
    <t>100</t>
  </si>
  <si>
    <t>79</t>
  </si>
  <si>
    <t>92</t>
  </si>
  <si>
    <t>97</t>
  </si>
  <si>
    <t>78</t>
  </si>
  <si>
    <t>73</t>
  </si>
  <si>
    <t>64</t>
  </si>
  <si>
    <t>354</t>
  </si>
  <si>
    <t>82</t>
  </si>
  <si>
    <t>281</t>
  </si>
  <si>
    <t>237</t>
  </si>
  <si>
    <t>230</t>
  </si>
  <si>
    <t>252</t>
  </si>
  <si>
    <t>290</t>
  </si>
  <si>
    <t>264</t>
  </si>
  <si>
    <t>246</t>
  </si>
  <si>
    <t>239</t>
  </si>
  <si>
    <t>257</t>
  </si>
  <si>
    <t>220</t>
  </si>
  <si>
    <t>208</t>
  </si>
  <si>
    <t>197</t>
  </si>
  <si>
    <t>180</t>
  </si>
  <si>
    <t>195</t>
  </si>
  <si>
    <t>260</t>
  </si>
  <si>
    <t>209</t>
  </si>
  <si>
    <t>261</t>
  </si>
  <si>
    <t>332</t>
  </si>
  <si>
    <t>346</t>
  </si>
  <si>
    <t>307</t>
  </si>
  <si>
    <t>356</t>
  </si>
  <si>
    <t>258</t>
  </si>
  <si>
    <t>300</t>
  </si>
  <si>
    <t>162</t>
  </si>
  <si>
    <t>Wed</t>
  </si>
  <si>
    <t>&lt;04/24/2024</t>
  </si>
  <si>
    <t>00:03:51&gt;</t>
  </si>
  <si>
    <t>pst-21_1.c</t>
  </si>
  <si>
    <t>ML11649-01</t>
  </si>
  <si>
    <t>Sep</t>
  </si>
  <si>
    <t>SAZ25_2023_3800m_11649_01_NoTilt</t>
  </si>
  <si>
    <t></t>
  </si>
  <si>
    <t>frac</t>
  </si>
  <si>
    <t>mass</t>
  </si>
  <si>
    <t>date</t>
  </si>
  <si>
    <t xml:space="preserve">date </t>
  </si>
  <si>
    <t>RH</t>
  </si>
  <si>
    <t>temp</t>
  </si>
  <si>
    <t>Filter</t>
  </si>
  <si>
    <t>Filter used</t>
  </si>
  <si>
    <t>Who</t>
  </si>
  <si>
    <t>difference</t>
  </si>
  <si>
    <t>#</t>
  </si>
  <si>
    <t>end</t>
  </si>
  <si>
    <t>filt</t>
  </si>
  <si>
    <t>filt+sed</t>
  </si>
  <si>
    <t>dry</t>
  </si>
  <si>
    <t>weigh</t>
  </si>
  <si>
    <t>dC</t>
  </si>
  <si>
    <t>sn</t>
  </si>
  <si>
    <t>sed</t>
  </si>
  <si>
    <t>sed 10/10</t>
  </si>
  <si>
    <t>sed 1/10</t>
  </si>
  <si>
    <t>diff between splits</t>
  </si>
  <si>
    <t>scintillation vial</t>
  </si>
  <si>
    <t>filter after second drying</t>
  </si>
  <si>
    <t>filt after scraping sediment off</t>
  </si>
  <si>
    <t>loss</t>
  </si>
  <si>
    <t>filter+sed</t>
  </si>
  <si>
    <t>filter</t>
  </si>
  <si>
    <t>Noticed small leak halfway through filtering, in trying to fix the leak the filter ripped. Transferred it to glass petri dish and put new filter on</t>
  </si>
  <si>
    <t>1_A</t>
  </si>
  <si>
    <t>2_B</t>
  </si>
  <si>
    <t>2_C</t>
  </si>
  <si>
    <t xml:space="preserve">during drying sample had spread over petri dish (due to static?) </t>
  </si>
  <si>
    <t>lost part of sample due to static when moving filter</t>
  </si>
  <si>
    <t>IN2024_V02 carboy 2 12/4/2024 01:30 LAT: -47.501 LONG: 140.321</t>
  </si>
  <si>
    <t>IN2024_V02 carboy 3 12/4/2024 03:15 LAT: -47.514 LONG: 140.162</t>
  </si>
  <si>
    <t>2023 saz25</t>
  </si>
  <si>
    <t>11_A</t>
  </si>
  <si>
    <t>12_B</t>
  </si>
  <si>
    <t>13_C</t>
  </si>
  <si>
    <t>14_D</t>
  </si>
  <si>
    <t>17_E</t>
  </si>
  <si>
    <t>21_F</t>
  </si>
  <si>
    <t>1_G</t>
  </si>
  <si>
    <t>13_H</t>
  </si>
  <si>
    <t>14_I</t>
  </si>
  <si>
    <t>15_J</t>
  </si>
  <si>
    <t>Date</t>
  </si>
  <si>
    <t>Sal Rep</t>
  </si>
  <si>
    <t>Temp</t>
  </si>
  <si>
    <t>Analyst</t>
  </si>
  <si>
    <t>Comment</t>
  </si>
  <si>
    <t>Calibrations</t>
  </si>
  <si>
    <t>Seven Compact conductivity meter</t>
  </si>
  <si>
    <t>Depth</t>
  </si>
  <si>
    <t>PSU</t>
  </si>
  <si>
    <r>
      <t>[</t>
    </r>
    <r>
      <rPr>
        <sz val="10"/>
        <rFont val="Calibri"/>
        <family val="2"/>
      </rPr>
      <t>°</t>
    </r>
    <r>
      <rPr>
        <sz val="12"/>
        <rFont val="Calibri"/>
        <family val="2"/>
        <charset val="204"/>
        <scheme val="minor"/>
      </rPr>
      <t>C]</t>
    </r>
  </si>
  <si>
    <t>replicate</t>
  </si>
  <si>
    <t>diff</t>
  </si>
  <si>
    <t>Hannah pH meter</t>
  </si>
  <si>
    <t>Salinity</t>
  </si>
  <si>
    <r>
      <t>Calibrated with 12.8m</t>
    </r>
    <r>
      <rPr>
        <sz val="12"/>
        <rFont val="Calibri"/>
        <family val="2"/>
        <charset val="204"/>
        <scheme val="minor"/>
      </rPr>
      <t>S/cm standard</t>
    </r>
  </si>
  <si>
    <t>HI 1230B, SN 09075B5N</t>
  </si>
  <si>
    <t>cc = 0.547715/cm</t>
  </si>
  <si>
    <t>reading</t>
  </si>
  <si>
    <t>temperature</t>
  </si>
  <si>
    <t>RSE</t>
  </si>
  <si>
    <t>stdev.p</t>
  </si>
  <si>
    <t>53mS/cm</t>
  </si>
  <si>
    <t>12.8mS/cm</t>
  </si>
  <si>
    <t>Salinity check at the end of all measurements</t>
  </si>
  <si>
    <t>pH check at the start of all measurements</t>
  </si>
  <si>
    <t>pH check at the end of all measurements</t>
  </si>
  <si>
    <t>cc = 0.533966/cm</t>
  </si>
  <si>
    <t>Prob condition: 100%</t>
  </si>
  <si>
    <t>average slope: 99.7%</t>
  </si>
  <si>
    <t>fish in sample</t>
  </si>
  <si>
    <t>Prob condition: 90%</t>
  </si>
  <si>
    <t>average slope: 99.1%</t>
  </si>
  <si>
    <t>C/N</t>
  </si>
  <si>
    <t>QC comments</t>
  </si>
  <si>
    <t>%difference between duplicates</t>
  </si>
  <si>
    <t>NA</t>
  </si>
  <si>
    <t>%N</t>
  </si>
  <si>
    <t>%C</t>
  </si>
  <si>
    <t>PACS-2</t>
  </si>
  <si>
    <t>Acetanilide</t>
  </si>
  <si>
    <t>average</t>
  </si>
  <si>
    <t>% difference from mean</t>
  </si>
  <si>
    <t>PACS-2 #1</t>
  </si>
  <si>
    <t>Acetanilide #1</t>
  </si>
  <si>
    <t>PACS-2 #2</t>
  </si>
  <si>
    <t>Acetanilide #2</t>
  </si>
  <si>
    <t>PACS-2 #3</t>
  </si>
  <si>
    <t>Acetanilide #3</t>
  </si>
  <si>
    <t>PACS-2 #4</t>
  </si>
  <si>
    <t>Acetanilide #4</t>
  </si>
  <si>
    <t>at the Central Science Laboratory, University of Tasmania, using a Thermo FlashSmart Elemental Analyser.</t>
  </si>
  <si>
    <t>Rerun</t>
  </si>
  <si>
    <t>GW-A10</t>
  </si>
  <si>
    <t>GW-A11</t>
  </si>
  <si>
    <t>GW-A12</t>
  </si>
  <si>
    <t>GW-B10</t>
  </si>
  <si>
    <t xml:space="preserve">The analysis for total nitrogen, carbon and hydrogen was determined by A/Prof Thomas Rodemann </t>
  </si>
  <si>
    <t>weight [mg]</t>
  </si>
  <si>
    <t>GW-A01</t>
  </si>
  <si>
    <t>GW-A02</t>
  </si>
  <si>
    <t>GW-A03</t>
  </si>
  <si>
    <t>GW-A04</t>
  </si>
  <si>
    <t>GW-A05</t>
  </si>
  <si>
    <t>GW-A06</t>
  </si>
  <si>
    <t>GW-A07</t>
  </si>
  <si>
    <t>GW-A08</t>
  </si>
  <si>
    <t>GW-A09</t>
  </si>
  <si>
    <t>GW-B01</t>
  </si>
  <si>
    <t>GW-B02</t>
  </si>
  <si>
    <t>GW-B03</t>
  </si>
  <si>
    <t>GW-B04</t>
  </si>
  <si>
    <t>GW-B05</t>
  </si>
  <si>
    <t>GW-B06</t>
  </si>
  <si>
    <t>GW-B07</t>
  </si>
  <si>
    <t>GW-B08</t>
  </si>
  <si>
    <t>GW-B09</t>
  </si>
  <si>
    <t>GW-B11</t>
  </si>
  <si>
    <t>GW-B12</t>
  </si>
  <si>
    <t>GW-C01</t>
  </si>
  <si>
    <t>GW-C02</t>
  </si>
  <si>
    <t>GW-C03</t>
  </si>
  <si>
    <t>GW-C04</t>
  </si>
  <si>
    <t>GW-C05</t>
  </si>
  <si>
    <t>GW-C06</t>
  </si>
  <si>
    <t>GW-C07</t>
  </si>
  <si>
    <t>GW-C08</t>
  </si>
  <si>
    <t>GW-C09</t>
  </si>
  <si>
    <t>GW-C10</t>
  </si>
  <si>
    <t>GW-C11</t>
  </si>
  <si>
    <t>GW-C12</t>
  </si>
  <si>
    <t>GW-D01</t>
  </si>
  <si>
    <t>GW-D02</t>
  </si>
  <si>
    <t>GW-D03</t>
  </si>
  <si>
    <t>GW-D04</t>
  </si>
  <si>
    <t>GW-D05</t>
  </si>
  <si>
    <t>GW-D06</t>
  </si>
  <si>
    <t>GW-D07</t>
  </si>
  <si>
    <t>GW-D08</t>
  </si>
  <si>
    <t>GW-D09</t>
  </si>
  <si>
    <t>GW-D10</t>
  </si>
  <si>
    <t>GW-D11</t>
  </si>
  <si>
    <t>GW-D12</t>
  </si>
  <si>
    <t>GW-E01</t>
  </si>
  <si>
    <t>GW-E02</t>
  </si>
  <si>
    <t>GW-E03</t>
  </si>
  <si>
    <t>GW-E04</t>
  </si>
  <si>
    <t>16_a</t>
  </si>
  <si>
    <t>16_b</t>
  </si>
  <si>
    <t>1_a</t>
  </si>
  <si>
    <t>1_b</t>
  </si>
  <si>
    <t>fish</t>
  </si>
  <si>
    <t>STD090</t>
  </si>
  <si>
    <t>17/02/2025</t>
  </si>
  <si>
    <t>12:20</t>
  </si>
  <si>
    <t>12:32</t>
  </si>
  <si>
    <t>12:44</t>
  </si>
  <si>
    <t>12:56</t>
  </si>
  <si>
    <t>13:08</t>
  </si>
  <si>
    <t>13:20</t>
  </si>
  <si>
    <t>13:32</t>
  </si>
  <si>
    <t>STD091</t>
  </si>
  <si>
    <t>13:44</t>
  </si>
  <si>
    <t>13:56</t>
  </si>
  <si>
    <t>14:08</t>
  </si>
  <si>
    <t>14:21</t>
  </si>
  <si>
    <t>14:33</t>
  </si>
  <si>
    <t>14:45</t>
  </si>
  <si>
    <t>14:57</t>
  </si>
  <si>
    <t>STD092</t>
  </si>
  <si>
    <t>15:09</t>
  </si>
  <si>
    <t>pacs</t>
  </si>
  <si>
    <t>acetenalide</t>
  </si>
  <si>
    <t>rerun PACS#1</t>
  </si>
  <si>
    <t>rerun PACS #2</t>
  </si>
  <si>
    <t>rerun acetenalide #1</t>
  </si>
  <si>
    <t>rerun acetenalide #2</t>
  </si>
  <si>
    <t>07/04/2025</t>
  </si>
  <si>
    <t>18:32</t>
  </si>
  <si>
    <t>18:44</t>
  </si>
  <si>
    <t>18:56</t>
  </si>
  <si>
    <t>19:08</t>
  </si>
  <si>
    <t>19:20</t>
  </si>
  <si>
    <t>19:32</t>
  </si>
  <si>
    <t>STD172</t>
  </si>
  <si>
    <t>19:44</t>
  </si>
  <si>
    <t>19:56</t>
  </si>
  <si>
    <t>20:08</t>
  </si>
  <si>
    <t>20:20</t>
  </si>
  <si>
    <t>20:32</t>
  </si>
  <si>
    <t>20:44</t>
  </si>
  <si>
    <t>20:57</t>
  </si>
  <si>
    <t>STD173</t>
  </si>
  <si>
    <t>21:09</t>
  </si>
  <si>
    <t>21:21</t>
  </si>
  <si>
    <t>21:33</t>
  </si>
  <si>
    <t>21:45</t>
  </si>
  <si>
    <t>21:57</t>
  </si>
  <si>
    <t>22:09</t>
  </si>
  <si>
    <t>22:21</t>
  </si>
  <si>
    <t>22:33</t>
  </si>
  <si>
    <t>22:45</t>
  </si>
  <si>
    <t>22:57</t>
  </si>
  <si>
    <t>23:09</t>
  </si>
  <si>
    <t>23:21</t>
  </si>
  <si>
    <t>23:33</t>
  </si>
  <si>
    <t>STD174</t>
  </si>
  <si>
    <t>23:46</t>
  </si>
  <si>
    <t>23:58</t>
  </si>
  <si>
    <t>08/04/2025</t>
  </si>
  <si>
    <t>00:10</t>
  </si>
  <si>
    <t>00:22</t>
  </si>
  <si>
    <t>00:34</t>
  </si>
  <si>
    <t>00:46</t>
  </si>
  <si>
    <t>00:58</t>
  </si>
  <si>
    <t>01:10</t>
  </si>
  <si>
    <t>01:22</t>
  </si>
  <si>
    <t>01:34</t>
  </si>
  <si>
    <t>01:46</t>
  </si>
  <si>
    <t>01:58</t>
  </si>
  <si>
    <t>02:10</t>
  </si>
  <si>
    <t>STD175</t>
  </si>
  <si>
    <t>02:22</t>
  </si>
  <si>
    <t>02:35</t>
  </si>
  <si>
    <t>02:47</t>
  </si>
  <si>
    <t>02:59</t>
  </si>
  <si>
    <t>03:11</t>
  </si>
  <si>
    <t>03:23</t>
  </si>
  <si>
    <t>03:35</t>
  </si>
  <si>
    <t>03:47</t>
  </si>
  <si>
    <t>03:59</t>
  </si>
  <si>
    <t>04:11</t>
  </si>
  <si>
    <t>04:23</t>
  </si>
  <si>
    <t>04:35</t>
  </si>
  <si>
    <t>04:47</t>
  </si>
  <si>
    <t>STD176</t>
  </si>
  <si>
    <t>04:59</t>
  </si>
  <si>
    <t>05:11</t>
  </si>
  <si>
    <t>05:24</t>
  </si>
  <si>
    <t>05:36</t>
  </si>
  <si>
    <t>05:48</t>
  </si>
  <si>
    <t>5_a</t>
  </si>
  <si>
    <t>5_b</t>
  </si>
  <si>
    <t>18_a</t>
  </si>
  <si>
    <t>18_b</t>
  </si>
  <si>
    <t>4_a</t>
  </si>
  <si>
    <t>4_b</t>
  </si>
  <si>
    <t>21_a</t>
  </si>
  <si>
    <t>21_b</t>
  </si>
  <si>
    <t>n=6</t>
  </si>
  <si>
    <t>14/01/2025</t>
  </si>
  <si>
    <t>12:58</t>
  </si>
  <si>
    <t>13:10</t>
  </si>
  <si>
    <t>13:22</t>
  </si>
  <si>
    <t>13:34</t>
  </si>
  <si>
    <t>13:46</t>
  </si>
  <si>
    <t>13:59</t>
  </si>
  <si>
    <t>STD004</t>
  </si>
  <si>
    <t>14:11</t>
  </si>
  <si>
    <t>14:23</t>
  </si>
  <si>
    <t>14:35</t>
  </si>
  <si>
    <t>14:47</t>
  </si>
  <si>
    <t>14:59</t>
  </si>
  <si>
    <t>15:11</t>
  </si>
  <si>
    <t>15:23</t>
  </si>
  <si>
    <t>STD005</t>
  </si>
  <si>
    <t>15:35</t>
  </si>
  <si>
    <t>15:47</t>
  </si>
  <si>
    <t>15:59</t>
  </si>
  <si>
    <t>16:11</t>
  </si>
  <si>
    <t>16:23</t>
  </si>
  <si>
    <t>16:35</t>
  </si>
  <si>
    <t>16:48</t>
  </si>
  <si>
    <t>STD006</t>
  </si>
  <si>
    <t>17:00</t>
  </si>
  <si>
    <t>17:12</t>
  </si>
  <si>
    <t>17:24</t>
  </si>
  <si>
    <t>17:36</t>
  </si>
  <si>
    <t>17:48</t>
  </si>
  <si>
    <t>18:00</t>
  </si>
  <si>
    <t>18:12</t>
  </si>
  <si>
    <t>STD007</t>
  </si>
  <si>
    <t>18:24</t>
  </si>
  <si>
    <t>19:23</t>
  </si>
  <si>
    <t>19:35</t>
  </si>
  <si>
    <t>19:47</t>
  </si>
  <si>
    <t>20:00</t>
  </si>
  <si>
    <t>20:12</t>
  </si>
  <si>
    <t>20:24</t>
  </si>
  <si>
    <t>STD008</t>
  </si>
  <si>
    <t>20:36</t>
  </si>
  <si>
    <t>20:48</t>
  </si>
  <si>
    <t>21:00</t>
  </si>
  <si>
    <t>21:12</t>
  </si>
  <si>
    <t>21:24</t>
  </si>
  <si>
    <t>21:36</t>
  </si>
  <si>
    <t>21:48</t>
  </si>
  <si>
    <t>STD009</t>
  </si>
  <si>
    <t>22:00</t>
  </si>
  <si>
    <t>22:12</t>
  </si>
  <si>
    <t>22:24</t>
  </si>
  <si>
    <t>22:36</t>
  </si>
  <si>
    <t>22:49</t>
  </si>
  <si>
    <t>23:01</t>
  </si>
  <si>
    <t>23:13</t>
  </si>
  <si>
    <t>STD010</t>
  </si>
  <si>
    <t>23:25</t>
  </si>
  <si>
    <t>23:37</t>
  </si>
  <si>
    <t>23:49</t>
  </si>
  <si>
    <t>15/01/2025</t>
  </si>
  <si>
    <t>00:01</t>
  </si>
  <si>
    <t>00:13</t>
  </si>
  <si>
    <t>00:25</t>
  </si>
  <si>
    <t>00:37</t>
  </si>
  <si>
    <t>STD011</t>
  </si>
  <si>
    <t>00:49</t>
  </si>
  <si>
    <t>01:01</t>
  </si>
  <si>
    <t>01:13</t>
  </si>
  <si>
    <t>01:25</t>
  </si>
  <si>
    <t>01:38</t>
  </si>
  <si>
    <t>GW-E05</t>
  </si>
  <si>
    <t>01:50</t>
  </si>
  <si>
    <t>GW-E06</t>
  </si>
  <si>
    <t>02:02</t>
  </si>
  <si>
    <t>STD012</t>
  </si>
  <si>
    <t>02:14</t>
  </si>
  <si>
    <t>GW-E07</t>
  </si>
  <si>
    <t>02:26</t>
  </si>
  <si>
    <t>GW-E08</t>
  </si>
  <si>
    <t>02:38</t>
  </si>
  <si>
    <t>GW-E09</t>
  </si>
  <si>
    <t>02:50</t>
  </si>
  <si>
    <t>GW-E10</t>
  </si>
  <si>
    <t>03:02</t>
  </si>
  <si>
    <t>3_a</t>
  </si>
  <si>
    <t>3_b</t>
  </si>
  <si>
    <t>11_a</t>
  </si>
  <si>
    <t>11_b</t>
  </si>
  <si>
    <r>
      <t>copied from C:\Users\cawynn\OneDrive - University of Tasmania\sediment trap lab proc\RAW data\PIC, file name</t>
    </r>
    <r>
      <rPr>
        <b/>
        <sz val="12"/>
        <rFont val="Calibri"/>
        <family val="2"/>
        <scheme val="minor"/>
      </rPr>
      <t xml:space="preserve"> "PIC_SEDIMENT_TRAP_RESULTS_GW_2023_CWE_QC.xls"</t>
    </r>
  </si>
  <si>
    <t>Sample mass</t>
  </si>
  <si>
    <t>mass correction</t>
  </si>
  <si>
    <t>Blank</t>
  </si>
  <si>
    <t>Calculation from Standard Curve</t>
  </si>
  <si>
    <t>Calculation direct from raw figures</t>
  </si>
  <si>
    <t>Analytical precision calculation / standard error of regression</t>
  </si>
  <si>
    <t>Date Analysed</t>
  </si>
  <si>
    <t>Sample Number</t>
  </si>
  <si>
    <t>Sample Name</t>
  </si>
  <si>
    <t>ug</t>
  </si>
  <si>
    <t>corrected ug</t>
  </si>
  <si>
    <t>CaCO3 mass (ug)</t>
  </si>
  <si>
    <t>UIC Reading
(ug Carbon)</t>
  </si>
  <si>
    <t>ug C</t>
  </si>
  <si>
    <t>UIC Reading Subtract Blank
(ug Carbon)</t>
  </si>
  <si>
    <t>Estimate (ug CaCO3)</t>
  </si>
  <si>
    <t>% CaCO3</t>
  </si>
  <si>
    <t>%CaCO3</t>
  </si>
  <si>
    <t>Gas Flow Rate (ml/min)</t>
  </si>
  <si>
    <t>Heating Block Temperature (degrees C)</t>
  </si>
  <si>
    <t>Coulometer Cell Volume (mls)</t>
  </si>
  <si>
    <t>Sample Run Time</t>
  </si>
  <si>
    <t>Weighed by</t>
  </si>
  <si>
    <t>Analysed by</t>
  </si>
  <si>
    <t>Estimate (ug C) from calibration curve</t>
  </si>
  <si>
    <t>standard deviation about the regression</t>
  </si>
  <si>
    <t>max precision ugC</t>
  </si>
  <si>
    <t>min precision ugC</t>
  </si>
  <si>
    <t>max precision ugCaCO3</t>
  </si>
  <si>
    <t>FLAG</t>
  </si>
  <si>
    <t>UIC ugC reading</t>
  </si>
  <si>
    <t>blanks</t>
  </si>
  <si>
    <t>Ran the usual purge and acidify macro and the new 3min run time</t>
  </si>
  <si>
    <t>% average sample</t>
  </si>
  <si>
    <t>cup #</t>
  </si>
  <si>
    <t>std curve</t>
  </si>
  <si>
    <t>% of sample average</t>
  </si>
  <si>
    <t>blank 1</t>
  </si>
  <si>
    <t>blank 2</t>
  </si>
  <si>
    <t>blank 3</t>
  </si>
  <si>
    <t>samples</t>
  </si>
  <si>
    <t>ugC</t>
  </si>
  <si>
    <t>blank 4</t>
  </si>
  <si>
    <t>ugCaCO3</t>
  </si>
  <si>
    <t>blank 5</t>
  </si>
  <si>
    <t>1999_54_1500_14a</t>
  </si>
  <si>
    <t>blank 6</t>
  </si>
  <si>
    <t>blank 7</t>
  </si>
  <si>
    <t>blank 8</t>
  </si>
  <si>
    <t>blank 9</t>
  </si>
  <si>
    <t>blank 10</t>
  </si>
  <si>
    <t>CaCO3 Std.1  273.6</t>
  </si>
  <si>
    <t>KC-1</t>
  </si>
  <si>
    <t>Cell got to ~ 113mA during initial titration</t>
  </si>
  <si>
    <t>purged and acidified 21/07/2025 overnight, analysed 22/07/2025</t>
  </si>
  <si>
    <t>autosampler leaked acid during purge and acidify overnight - residue on the tinfoil and heating block. The sample tube for 1000_5 had brown residue on top of lid, could be sample? Likely just HPO4 residue</t>
  </si>
  <si>
    <t>KC-1 #1</t>
  </si>
  <si>
    <t>KC-1 #2</t>
  </si>
  <si>
    <t>1999_54_1500_14a #1</t>
  </si>
  <si>
    <t>1999_54_1500_14a #2</t>
  </si>
  <si>
    <t>1000_1</t>
  </si>
  <si>
    <t>1000_2</t>
  </si>
  <si>
    <t>1000_3</t>
  </si>
  <si>
    <t>1000_4</t>
  </si>
  <si>
    <t>1000_8A</t>
  </si>
  <si>
    <t>1000_5</t>
  </si>
  <si>
    <t>1000_6</t>
  </si>
  <si>
    <t>1000_7</t>
  </si>
  <si>
    <t>1000_8B</t>
  </si>
  <si>
    <t>1000_9</t>
  </si>
  <si>
    <t>CaCO3 Std.1  296.4</t>
  </si>
  <si>
    <t>CaCO3 Std.2  986.3</t>
  </si>
  <si>
    <t>CaCO3 Std.3  2039.6</t>
  </si>
  <si>
    <t>CaCO3 Std.4  2797.3</t>
  </si>
  <si>
    <t>CaCO3 Std.4  3326.5</t>
  </si>
  <si>
    <t>CaCO3 Std.3  1957.4</t>
  </si>
  <si>
    <t>purged and acidified 28/07/25 overnight, and analysed 29/07/2025</t>
  </si>
  <si>
    <t>KC-1 #5</t>
  </si>
  <si>
    <t>KC-1 #6</t>
  </si>
  <si>
    <t>1999_54_1500_14a #5</t>
  </si>
  <si>
    <t>1999_54_1500_14a #6</t>
  </si>
  <si>
    <t>1000_1A</t>
  </si>
  <si>
    <t>1000_1B</t>
  </si>
  <si>
    <t>CaCO3 Std.1  267.2</t>
  </si>
  <si>
    <t>CaCO3 Std.2  1247.2</t>
  </si>
  <si>
    <t>CaCO3 Std.3  2068.8</t>
  </si>
  <si>
    <t>CaCO3 Std.4  2906.1</t>
  </si>
  <si>
    <t>CaCO3 Std.5  3233.8</t>
  </si>
  <si>
    <t>CaCO3 Std.3  2201.8</t>
  </si>
  <si>
    <t>1000_2 not within 5% margin of error from previous run (22/7/25)</t>
  </si>
  <si>
    <t>Cell got to ~ 111mA during initial titration</t>
  </si>
  <si>
    <t>purged and acidified 04/08/25 overnight, and analysed 05/08/2025</t>
  </si>
  <si>
    <t>1000_2A</t>
  </si>
  <si>
    <t>1000_2B</t>
  </si>
  <si>
    <t>CaCO3 Std.1  457.6</t>
  </si>
  <si>
    <t>CaCO3 Std.2  1033.5</t>
  </si>
  <si>
    <t>CaCO3 Std.3  1924.9</t>
  </si>
  <si>
    <t>CaCO3 Std.4  2850.5</t>
  </si>
  <si>
    <t>CaCO3 Std.5  3342.7</t>
  </si>
  <si>
    <t>CaCO3 Std.3  1968.4</t>
  </si>
  <si>
    <t>1000_7 and 1000_3 not within 5% margin of error from initial run (22/7/25)</t>
  </si>
  <si>
    <t>Cell got to ~ 110mA during initial titration</t>
  </si>
  <si>
    <t>purged and acidified 06/08/25 overnight, and analysed 07/08/2025</t>
  </si>
  <si>
    <t>1000_3A</t>
  </si>
  <si>
    <t>1000_7A</t>
  </si>
  <si>
    <t>2000_1A</t>
  </si>
  <si>
    <t>2000_2A</t>
  </si>
  <si>
    <t>1000_3B</t>
  </si>
  <si>
    <t>1000_7B</t>
  </si>
  <si>
    <t>2000_1B</t>
  </si>
  <si>
    <t>2000_2B</t>
  </si>
  <si>
    <t>CaCO3 Std.1  388.4</t>
  </si>
  <si>
    <t>CaCO3 Std.2  987.5</t>
  </si>
  <si>
    <t>CaCO3 Std.3  1945.6</t>
  </si>
  <si>
    <t>CaCO3 Std.4  2891.6</t>
  </si>
  <si>
    <t>CaCO3 Std.5  3374.1</t>
  </si>
  <si>
    <t>CaCO3 Std.3  2218.1</t>
  </si>
  <si>
    <t>purged and acidified 26/08/25 overnight, and analysed 27/08/2025</t>
  </si>
  <si>
    <t>1000_10 #1</t>
  </si>
  <si>
    <t>1000_11 #1</t>
  </si>
  <si>
    <t>1000_12 #1</t>
  </si>
  <si>
    <t>1000_13 #1</t>
  </si>
  <si>
    <t>1000_14 #1</t>
  </si>
  <si>
    <t>1000_10 #2</t>
  </si>
  <si>
    <t>1000_11 #2</t>
  </si>
  <si>
    <t>1000_12 #2</t>
  </si>
  <si>
    <t>1000_13 #2</t>
  </si>
  <si>
    <t>1000_14 #2</t>
  </si>
  <si>
    <t>CaCO3 Std.1  418.1</t>
  </si>
  <si>
    <t>CaCO3 Std.2  1213.8</t>
  </si>
  <si>
    <t>CaCO3 Std.3  2049.2</t>
  </si>
  <si>
    <t>CaCO3 Std.4  2776.8</t>
  </si>
  <si>
    <t>CaCO3 Std.5  3321.1</t>
  </si>
  <si>
    <t>CaCO3 Std.3  2113.9</t>
  </si>
  <si>
    <t>purged and acidified 27/08/25 overnight, and analysed 28/08/2025</t>
  </si>
  <si>
    <t>1000_15 #1</t>
  </si>
  <si>
    <t>1000_16 #1</t>
  </si>
  <si>
    <t>1000_17 #1</t>
  </si>
  <si>
    <t>1000_18 #1</t>
  </si>
  <si>
    <t>1000_19 #1</t>
  </si>
  <si>
    <t>1000_15 #2</t>
  </si>
  <si>
    <t>1000_16 #2</t>
  </si>
  <si>
    <t>1000_17 #2</t>
  </si>
  <si>
    <t>1000_18 #2</t>
  </si>
  <si>
    <t>1000_19 #2</t>
  </si>
  <si>
    <t>CaCO3 Std.2  1120.8</t>
  </si>
  <si>
    <t>CaCO3 Std.3  2006.9</t>
  </si>
  <si>
    <t>CaCO3 Std.4  2827.4</t>
  </si>
  <si>
    <t>CaCO3 Std.5  3497.1</t>
  </si>
  <si>
    <t>CaCO3 Std.3  2083.4</t>
  </si>
  <si>
    <t>Cell got to ~ 112mA during initial titration</t>
  </si>
  <si>
    <t>purged and acidified 28/08/25 overnight, and analysed 29/08/2025</t>
  </si>
  <si>
    <t>1000_20 #1</t>
  </si>
  <si>
    <t>1000_21 #1</t>
  </si>
  <si>
    <t>3800_01 #1</t>
  </si>
  <si>
    <t>3800_02 #1</t>
  </si>
  <si>
    <t>1000_20 #2</t>
  </si>
  <si>
    <t>1000_21 #2</t>
  </si>
  <si>
    <t>3800_01 #2</t>
  </si>
  <si>
    <t>3800_02 #2</t>
  </si>
  <si>
    <t>CaCO3 Std.1  281.6</t>
  </si>
  <si>
    <t>CaCO3 Std.2  1010.5</t>
  </si>
  <si>
    <t>CaCO3 Std.3  2178</t>
  </si>
  <si>
    <t>CaCO3 Std.4  2964.5</t>
  </si>
  <si>
    <t>CaCO3 Std.5  3581.4</t>
  </si>
  <si>
    <t>CaCO3 Std.3  1956.9</t>
  </si>
  <si>
    <t>purged and acidified 02/09/25 overnight, and analysed 3/09/2025</t>
  </si>
  <si>
    <t>3800_3 #1</t>
  </si>
  <si>
    <t>3800_4 #1</t>
  </si>
  <si>
    <t>3800_5 #1</t>
  </si>
  <si>
    <t>3800_6 #1</t>
  </si>
  <si>
    <t>3800_7 #1</t>
  </si>
  <si>
    <t>3800_3 #2</t>
  </si>
  <si>
    <t>3800_4 #2</t>
  </si>
  <si>
    <t>3800_5 #2</t>
  </si>
  <si>
    <t>3800_6 #2</t>
  </si>
  <si>
    <t>3800_7 #2</t>
  </si>
  <si>
    <t>CaCO3 Std.1  305.1</t>
  </si>
  <si>
    <t>CaCO3 Std.2  1064.7</t>
  </si>
  <si>
    <t>CaCO3 Std.3  1943.8</t>
  </si>
  <si>
    <t>CaCO3 Std.4  2863.6</t>
  </si>
  <si>
    <t>CaCO3 Std.5  3499.6</t>
  </si>
  <si>
    <t>CaCO3 Std.3  2195.4</t>
  </si>
  <si>
    <t>purged and acidified 03/09/25 overnight, and analysed 4/09/2025</t>
  </si>
  <si>
    <t>3800_8 #1</t>
  </si>
  <si>
    <t>3800_9 #1</t>
  </si>
  <si>
    <t>3800_10 #1</t>
  </si>
  <si>
    <t>3800_11 #1</t>
  </si>
  <si>
    <t>3800_8 #2</t>
  </si>
  <si>
    <t>3800_9 #2</t>
  </si>
  <si>
    <t>3800_10 #2</t>
  </si>
  <si>
    <t>3800_11 #2</t>
  </si>
  <si>
    <t xml:space="preserve"> </t>
  </si>
  <si>
    <t>CaCO3 Std.1  247.8</t>
  </si>
  <si>
    <t>CaCO3 Std.2  1025.1</t>
  </si>
  <si>
    <t>CaCO3 Std.3  2033.4</t>
  </si>
  <si>
    <t>CaCO3 Std.4  2940.6</t>
  </si>
  <si>
    <t>CaCO3 Std.5  3332.6</t>
  </si>
  <si>
    <t>CaCO3 Std.3  1961.7</t>
  </si>
  <si>
    <t>Cell got to ~ 116mA during initial titration</t>
  </si>
  <si>
    <t>purged and acidified 04/09/25 overnight, and analysed 5/09/2025</t>
  </si>
  <si>
    <t>3800_12 #1</t>
  </si>
  <si>
    <t>3800_13 #1</t>
  </si>
  <si>
    <t>3800_14 #1</t>
  </si>
  <si>
    <t>3800_15 #1</t>
  </si>
  <si>
    <t>3800_16 #1</t>
  </si>
  <si>
    <t>3800_12 #2</t>
  </si>
  <si>
    <t>3800_13 #2</t>
  </si>
  <si>
    <t>3800_14 #2</t>
  </si>
  <si>
    <t>3800_15 #2</t>
  </si>
  <si>
    <t>3800_16 #2</t>
  </si>
  <si>
    <t>CaCO3 Std.1  436.6</t>
  </si>
  <si>
    <t>CaCO3 Std.2  964</t>
  </si>
  <si>
    <t>CaCO3 Std.3  1961.8</t>
  </si>
  <si>
    <t>CaCO3 Std.4  2928.4</t>
  </si>
  <si>
    <t>CaCO3 Std.5  3384</t>
  </si>
  <si>
    <t>CaCO3 Std.3  1966.7</t>
  </si>
  <si>
    <t>3800_7 duplicates not within 5% margin of error, repeated duplicates in 4/9/25 run</t>
  </si>
  <si>
    <t>3800_07 repeated from previous run (3/9/25)</t>
  </si>
  <si>
    <t>Cell got to ~ 118mA during initial titration</t>
  </si>
  <si>
    <t>purged and acidified 08/09/25 overnight, and analysed 9/09/2025</t>
  </si>
  <si>
    <t>3800_17 #1</t>
  </si>
  <si>
    <t>3800_18 #1</t>
  </si>
  <si>
    <t>3800_19 #1</t>
  </si>
  <si>
    <t>3800_20 #1</t>
  </si>
  <si>
    <t>3800_21 #1</t>
  </si>
  <si>
    <t>3800_17 #2</t>
  </si>
  <si>
    <t>3800_18 #2</t>
  </si>
  <si>
    <t>3800_19 #2</t>
  </si>
  <si>
    <t>3800_20 #2</t>
  </si>
  <si>
    <t>3800_21 #2</t>
  </si>
  <si>
    <t>CaCO3 Std.1  356.4</t>
  </si>
  <si>
    <t>CaCO3 Std.2  1110.8</t>
  </si>
  <si>
    <t>CaCO3 Std.3  2096.7</t>
  </si>
  <si>
    <t>CaCO3 Std.4  2960</t>
  </si>
  <si>
    <t>CaCO3 Std.5  3530.6</t>
  </si>
  <si>
    <t>CaCO3 Std.3  2113</t>
  </si>
  <si>
    <t>Extraction Blank average (uM):</t>
  </si>
  <si>
    <t>Lab No.</t>
  </si>
  <si>
    <t>Site ID</t>
  </si>
  <si>
    <t>Nutrient ID</t>
  </si>
  <si>
    <t>Nutrient Bottle QC</t>
  </si>
  <si>
    <t>SilicatePROC_VALUE (µM)</t>
  </si>
  <si>
    <t>sample mass [mg]</t>
  </si>
  <si>
    <t>sample mass [ug]</t>
  </si>
  <si>
    <t>Blank corrected results [uM]</t>
  </si>
  <si>
    <t>SiO2-Si (dilution factor)</t>
  </si>
  <si>
    <t>Bsi [ug]</t>
  </si>
  <si>
    <t>BSiO2 [ug]</t>
  </si>
  <si>
    <t>Bsi %</t>
  </si>
  <si>
    <t>BsiO2 %</t>
  </si>
  <si>
    <t>% difference between duplicates Bsi</t>
  </si>
  <si>
    <t>% difference between average PACS</t>
  </si>
  <si>
    <t>3a</t>
  </si>
  <si>
    <t>3b</t>
  </si>
  <si>
    <t>11a</t>
  </si>
  <si>
    <t>11b</t>
  </si>
  <si>
    <t>6a</t>
  </si>
  <si>
    <t>6b</t>
  </si>
  <si>
    <t>12a</t>
  </si>
  <si>
    <t>12b</t>
  </si>
  <si>
    <t>15a</t>
  </si>
  <si>
    <t>15b</t>
  </si>
  <si>
    <t>#4</t>
  </si>
  <si>
    <t>#5</t>
  </si>
  <si>
    <t>PACS average</t>
  </si>
  <si>
    <t>PAS std.p</t>
  </si>
  <si>
    <t>PACS-2 #5</t>
  </si>
  <si>
    <t xml:space="preserve"> 47_1000</t>
  </si>
  <si>
    <t xml:space="preserve"> blank</t>
  </si>
  <si>
    <t xml:space="preserve"> PACS-2</t>
  </si>
  <si>
    <t xml:space="preserve"> blank </t>
  </si>
  <si>
    <t xml:space="preserve"> 47_2000</t>
  </si>
  <si>
    <t xml:space="preserve"> 47_3800</t>
  </si>
  <si>
    <t>1a</t>
  </si>
  <si>
    <t>1b</t>
  </si>
  <si>
    <t>2a</t>
  </si>
  <si>
    <t>2b</t>
  </si>
  <si>
    <t>4a</t>
  </si>
  <si>
    <t>4b</t>
  </si>
  <si>
    <t>5a</t>
  </si>
  <si>
    <t>5b</t>
  </si>
  <si>
    <t>7a</t>
  </si>
  <si>
    <t>7b</t>
  </si>
  <si>
    <t>8a</t>
  </si>
  <si>
    <t>8b</t>
  </si>
  <si>
    <t>9a</t>
  </si>
  <si>
    <t>9b</t>
  </si>
  <si>
    <t>10a</t>
  </si>
  <si>
    <t>10b</t>
  </si>
  <si>
    <t>13a</t>
  </si>
  <si>
    <t>13b</t>
  </si>
  <si>
    <t>14a</t>
  </si>
  <si>
    <t>14b</t>
  </si>
  <si>
    <t>16a</t>
  </si>
  <si>
    <t>16b</t>
  </si>
  <si>
    <t>17a</t>
  </si>
  <si>
    <t>17b</t>
  </si>
  <si>
    <t>18a</t>
  </si>
  <si>
    <t>18b</t>
  </si>
  <si>
    <t>19a</t>
  </si>
  <si>
    <t>19b</t>
  </si>
  <si>
    <t>20a</t>
  </si>
  <si>
    <t>20b</t>
  </si>
  <si>
    <t>21a</t>
  </si>
  <si>
    <t>21b</t>
  </si>
  <si>
    <t>#6</t>
  </si>
  <si>
    <t>#7</t>
  </si>
  <si>
    <t>#8</t>
  </si>
  <si>
    <t>#9</t>
  </si>
  <si>
    <t xml:space="preserve"> Good</t>
  </si>
  <si>
    <t>PACS-2 #6</t>
  </si>
  <si>
    <t>PACS-2 #7</t>
  </si>
  <si>
    <t>PACS-2 #8</t>
  </si>
  <si>
    <t>PACS-2 #9</t>
  </si>
  <si>
    <t>lost ~2ml after falling into waterbath</t>
  </si>
  <si>
    <t>pipetting missed tube, only had ~3ml</t>
  </si>
  <si>
    <t>average of samples Bsi %</t>
  </si>
  <si>
    <t>average of samples BsiO2</t>
  </si>
  <si>
    <t>duplicates of 1000_08 not within 5% margin of error, duplicate sample and selection of samples rerun on 29/7/25</t>
  </si>
  <si>
    <t>1000_15 not within 5% margin of error, repeated in nex run (29/08/25)</t>
  </si>
  <si>
    <t>midpoint date</t>
  </si>
  <si>
    <t>all weights checked, calibrations ok</t>
  </si>
  <si>
    <t>Number of replicates</t>
  </si>
  <si>
    <t>only samples that were used for final results!</t>
  </si>
  <si>
    <t>NaN</t>
  </si>
  <si>
    <t>SiO2-Si (Convert to umol and 10ml sample)</t>
  </si>
  <si>
    <t>These samples were weighed out at CSIRO, which is not standard procedure. This means a different set of scales was used and some concerns were raised as to the suitability of the setup of the balance for weighing these particularly difficult samples.</t>
  </si>
  <si>
    <t>Once it was noticed that one of the duplicates were outside of our 5% QC threshold, a subset was reananalysed after weighing on the usual balance in the usual lab at IMAS (see bottom run in tab CHN data). This of course does not constitute true duplication.</t>
  </si>
  <si>
    <t>Hence all samples previously subsampled at CSIRO were repeated in the usual setup at IMAS and these results are listed first in tab CHN data.</t>
  </si>
  <si>
    <t>large swimmer, couldn't get all sediment from underneat</t>
  </si>
  <si>
    <t>m/120820/R/1</t>
  </si>
  <si>
    <t>m/280916/R/1</t>
  </si>
  <si>
    <t>funnel leaked even after leak test - only leaked when &gt;5ml water in funnel. Leaking water mopped up clear</t>
  </si>
  <si>
    <t>funnel leaked, leaking water mopped up clear</t>
  </si>
  <si>
    <t>Deployment</t>
  </si>
  <si>
    <t>sampleQC</t>
  </si>
  <si>
    <t>mass/cup</t>
  </si>
  <si>
    <t>Total</t>
  </si>
  <si>
    <t>PIC QC</t>
  </si>
  <si>
    <t>PC QC</t>
  </si>
  <si>
    <t>PN QC</t>
  </si>
  <si>
    <t>POC QC</t>
  </si>
  <si>
    <t>BSi QC</t>
  </si>
  <si>
    <t>PC_mol_flux</t>
  </si>
  <si>
    <t>PN_mol_flux</t>
  </si>
  <si>
    <t>POC_mol_flux</t>
  </si>
  <si>
    <t>PIC_mol_flux</t>
  </si>
  <si>
    <t>BSi_mol_flux</t>
  </si>
  <si>
    <t>PC mol QC</t>
  </si>
  <si>
    <t>PN mol QC</t>
  </si>
  <si>
    <t>POC mol QC</t>
  </si>
  <si>
    <t>PIC mol QC</t>
  </si>
  <si>
    <t>Bsi mol QC</t>
  </si>
  <si>
    <t>PIC/PN</t>
  </si>
  <si>
    <t>salts</t>
  </si>
  <si>
    <t>salts QC</t>
  </si>
  <si>
    <t>pH QC</t>
  </si>
  <si>
    <t>year start</t>
  </si>
  <si>
    <t>nominal</t>
  </si>
  <si>
    <t>cup open</t>
  </si>
  <si>
    <t>cup close</t>
  </si>
  <si>
    <t>1-Jan1900 time origin check</t>
  </si>
  <si>
    <t>cup duration</t>
  </si>
  <si>
    <t>sinking_flux_in_seawater_of_particulate_total_carbon_expressed_as_moles_of_carbon</t>
  </si>
  <si>
    <t>sinking_flux_in_seawater_of_particulate_nitrogen_expressed_as_moles_of_nitrogen</t>
  </si>
  <si>
    <t>sinking_flux_in_seawater_of_particulate_organic_carbon_expressed_as_moles_of_carbon</t>
  </si>
  <si>
    <t>sinking_flux_in_seawater_of_particulate_inorganic_carbon_expressed_as_moles_of_carbon</t>
  </si>
  <si>
    <t>sinking_flux_in_seawater_of_particulate_biogenic_silica_expressed_as_moles_of_silicon</t>
  </si>
  <si>
    <t>actual</t>
  </si>
  <si>
    <t>mol m-2 yr-1</t>
  </si>
  <si>
    <t>dbar</t>
  </si>
  <si>
    <t>mmol m-2 yr-1</t>
  </si>
  <si>
    <t>mol/mol</t>
  </si>
  <si>
    <t>m</t>
  </si>
  <si>
    <t>cup mid-point</t>
  </si>
  <si>
    <t>deployment year start</t>
  </si>
  <si>
    <t>site</t>
  </si>
  <si>
    <t>depth_nominal</t>
  </si>
  <si>
    <t>pressure_actual</t>
  </si>
  <si>
    <t>metadata</t>
  </si>
  <si>
    <t>metadata_depth</t>
  </si>
  <si>
    <t>sample_qc</t>
  </si>
  <si>
    <t>sample open</t>
  </si>
  <si>
    <t>sample close</t>
  </si>
  <si>
    <t>sample mid-point</t>
  </si>
  <si>
    <t>sample_duration</t>
  </si>
  <si>
    <t>mass_flux</t>
  </si>
  <si>
    <t>mass_flux_uncertainty</t>
  </si>
  <si>
    <t>mass_flux_qc</t>
  </si>
  <si>
    <t>SAL_BRINE</t>
  </si>
  <si>
    <t>SAL_BRINE_uncertainty</t>
  </si>
  <si>
    <t>SAL_BRINE_qc</t>
  </si>
  <si>
    <t>pH_BRINE</t>
  </si>
  <si>
    <t>pH_BRINE_uncertainty</t>
  </si>
  <si>
    <t>pH_BRINE_qc</t>
  </si>
  <si>
    <t>PC_mass_flux</t>
  </si>
  <si>
    <t>PC_mass_flux_uncertainty</t>
  </si>
  <si>
    <t>PC_mass_flux_qc</t>
  </si>
  <si>
    <t>PN_mass_flux</t>
  </si>
  <si>
    <t>PN_mass_flux_uncertainty</t>
  </si>
  <si>
    <t>PN_mass_flux_qc</t>
  </si>
  <si>
    <t>POC_mass_flux</t>
  </si>
  <si>
    <t>POC_mass_flux_uncertainty</t>
  </si>
  <si>
    <t>POC_mass_flux_qc</t>
  </si>
  <si>
    <t>PIC_mass_flux</t>
  </si>
  <si>
    <t>PIC_mass_flux_uncertainty</t>
  </si>
  <si>
    <t>PIC_mass_flux_qc</t>
  </si>
  <si>
    <t>BSi_mass_flux</t>
  </si>
  <si>
    <t>BSi_mass_flux_uncertainty</t>
  </si>
  <si>
    <t>BSi_mass_flux_qc</t>
  </si>
  <si>
    <t>standard_name</t>
  </si>
  <si>
    <t>actual pressure</t>
  </si>
  <si>
    <t>long_name</t>
  </si>
  <si>
    <t>sample number</t>
  </si>
  <si>
    <t>sample duration</t>
  </si>
  <si>
    <t>particulate total mass flux</t>
  </si>
  <si>
    <t xml:space="preserve">sample supernatant practical salinity </t>
  </si>
  <si>
    <t>sample supernatant pH NBS scale</t>
  </si>
  <si>
    <t>particulate total carbon mass flux</t>
  </si>
  <si>
    <t>particulate total nitrogen mass flux</t>
  </si>
  <si>
    <t>particulate organic carbon mass flux</t>
  </si>
  <si>
    <t>particulate inorganic carbon mass flux</t>
  </si>
  <si>
    <t>particulate biogenic silicon mass flux</t>
  </si>
  <si>
    <t>units</t>
  </si>
  <si>
    <t>yyyy:mm:dd hh:mm:ss UTC</t>
  </si>
  <si>
    <t>day</t>
  </si>
  <si>
    <t>mg m-2 d-1</t>
  </si>
  <si>
    <t>1</t>
  </si>
  <si>
    <r>
      <rPr>
        <sz val="11"/>
        <rFont val="1"/>
      </rPr>
      <t>1</t>
    </r>
  </si>
  <si>
    <t>relative_uncertainty</t>
  </si>
  <si>
    <t>uncertainty</t>
  </si>
  <si>
    <t>comment</t>
  </si>
  <si>
    <t>supernatant</t>
  </si>
  <si>
    <t>pressure from nearest instrument on mooring, extrapolated to trap position</t>
  </si>
  <si>
    <t>comment_method</t>
  </si>
  <si>
    <t>dry wt 60C</t>
  </si>
  <si>
    <t>Supernatant salinity measured as conductivity on recovery as indicator of brine washout</t>
  </si>
  <si>
    <t>Supernatant pH measured potentiometrically on recovery as indicator of brine washout</t>
  </si>
  <si>
    <t>elemental analyser total carbon</t>
  </si>
  <si>
    <t>elemental analyser total nitrogen</t>
  </si>
  <si>
    <t>particulate total carbon minus particulate inorganic carbon</t>
  </si>
  <si>
    <t>closed system acidification and coulometry of evolved carbon dioxide</t>
  </si>
  <si>
    <t>alkaline digest and segmented-flow spectrometry</t>
  </si>
  <si>
    <t>comment_sample</t>
  </si>
  <si>
    <t>valid_min</t>
  </si>
  <si>
    <t>valid_max</t>
  </si>
  <si>
    <t>mean</t>
  </si>
  <si>
    <t>mode</t>
  </si>
  <si>
    <t>1000m</t>
  </si>
  <si>
    <t>2000m</t>
  </si>
  <si>
    <t>3800m</t>
  </si>
  <si>
    <t>1200m</t>
  </si>
  <si>
    <t>Aquadopp</t>
  </si>
  <si>
    <t>SAZ47-25-2023</t>
  </si>
  <si>
    <t>cup 2 had remains of a large fish in it, which is likely the cause of elevated %PC and %PN results. This sample is therefore flagged 2, probably good, which flows onto all other flags, unless flagged higher for other reasons. Due to a blockage in the funnel caused by the fish remains in cup 2, samples 3 - 21 were compromised and not analysed.</t>
  </si>
  <si>
    <t>blank average</t>
  </si>
  <si>
    <t>blank std.p</t>
  </si>
  <si>
    <t>caco3 standards</t>
  </si>
  <si>
    <t>SAZ1999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</si>
</sst>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d\-mmm\-yyyy"/>
    <numFmt numFmtId="165" formatCode="m/d/yy"/>
    <numFmt numFmtId="166" formatCode="dd\.\ mmm\ yy"/>
    <numFmt numFmtId="167" formatCode="0.0000"/>
    <numFmt numFmtId="168" formatCode="dd/mm/yyyy;@"/>
    <numFmt numFmtId="169" formatCode="0.0"/>
    <numFmt numFmtId="170" formatCode="d\-mmm\-yy\ hh:mm"/>
    <numFmt numFmtId="171" formatCode="0.000"/>
    <numFmt numFmtId="172" formatCode="0.0%"/>
    <numFmt numFmtId="173" formatCode="0.00000"/>
    <numFmt numFmtId="174" formatCode="d/mm/yyyy;@"/>
    <numFmt numFmtId="175" formatCode="yyyy/mm/dd\ hh:mm:ss"/>
    <numFmt numFmtId="176" formatCode="0.0000000"/>
  </numFmts>
  <fonts count="61">
    <font>
      <sz val="11"/>
      <color theme="1"/>
      <name val="Calibri"/>
      <family val="2"/>
      <scheme val="minor"/>
    </font>
    <font>
      <sz val="11"/>
      <color rgb="FFFF0000"/>
      <name val="Calibri"/>
      <family val="2"/>
      <scheme val="minor"/>
    </font>
    <font>
      <b/>
      <sz val="10"/>
      <name val="Arial"/>
      <family val="2"/>
    </font>
    <font>
      <sz val="12"/>
      <name val="Calibri"/>
      <family val="2"/>
      <scheme val="minor"/>
    </font>
    <font>
      <sz val="12"/>
      <color rgb="FFFF0000"/>
      <name val="Calibri"/>
      <family val="2"/>
      <scheme val="minor"/>
    </font>
    <font>
      <b/>
      <sz val="10"/>
      <color rgb="FFFF0000"/>
      <name val="Arial"/>
      <family val="2"/>
    </font>
    <font>
      <b/>
      <sz val="14"/>
      <color theme="1"/>
      <name val="Calibri"/>
      <family val="2"/>
      <scheme val="minor"/>
    </font>
    <font>
      <b/>
      <sz val="14"/>
      <color rgb="FFFF0000"/>
      <name val="Calibri"/>
      <family val="2"/>
      <scheme val="minor"/>
    </font>
    <font>
      <b/>
      <sz val="11"/>
      <color rgb="FFFF0000"/>
      <name val="Calibri"/>
      <family val="2"/>
      <scheme val="minor"/>
    </font>
    <font>
      <b/>
      <sz val="12"/>
      <name val="Calibri"/>
      <family val="2"/>
      <scheme val="minor"/>
    </font>
    <font>
      <sz val="1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name val="Arial"/>
      <family val="2"/>
    </font>
    <font>
      <sz val="8"/>
      <name val="Calibri"/>
      <family val="2"/>
      <scheme val="minor"/>
    </font>
    <font>
      <sz val="10"/>
      <color indexed="8"/>
      <name val="MS Sans Serif"/>
      <family val="2"/>
    </font>
    <font>
      <b/>
      <sz val="14"/>
      <name val="Calibri"/>
      <family val="2"/>
      <scheme val="minor"/>
    </font>
    <font>
      <sz val="10"/>
      <name val="Arial"/>
      <family val="2"/>
    </font>
    <font>
      <sz val="10"/>
      <color rgb="FF028009"/>
      <name val="Courier New"/>
      <family val="3"/>
    </font>
    <font>
      <sz val="12"/>
      <color theme="1"/>
      <name val="Courier New"/>
      <family val="3"/>
    </font>
    <font>
      <sz val="10"/>
      <color rgb="FF000000"/>
      <name val="Courier New"/>
      <family val="3"/>
    </font>
    <font>
      <sz val="11"/>
      <color theme="1"/>
      <name val="Consolas"/>
      <family val="3"/>
    </font>
    <font>
      <sz val="10"/>
      <color theme="1"/>
      <name val="Calibri"/>
      <family val="2"/>
      <scheme val="minor"/>
    </font>
    <font>
      <i/>
      <sz val="12"/>
      <color rgb="FFFF0000"/>
      <name val="Calibri"/>
      <family val="2"/>
      <scheme val="minor"/>
    </font>
    <font>
      <b/>
      <sz val="11"/>
      <name val="Calibri"/>
      <family val="2"/>
      <scheme val="minor"/>
    </font>
    <font>
      <sz val="12"/>
      <color theme="0" tint="-0.14999847407452621"/>
      <name val="Calibri"/>
      <family val="2"/>
      <scheme val="minor"/>
    </font>
    <font>
      <sz val="12"/>
      <color theme="0" tint="-0.24994659260841701"/>
      <name val="Calibri"/>
      <family val="2"/>
      <scheme val="minor"/>
    </font>
    <font>
      <i/>
      <sz val="10"/>
      <name val="Arial"/>
      <family val="2"/>
    </font>
    <font>
      <sz val="14"/>
      <name val="Calibri"/>
      <family val="2"/>
      <scheme val="minor"/>
    </font>
    <font>
      <sz val="12"/>
      <name val="Arial"/>
      <family val="2"/>
    </font>
    <font>
      <sz val="11"/>
      <name val="Calibri"/>
      <family val="2"/>
    </font>
    <font>
      <sz val="10"/>
      <color rgb="FFFF0000"/>
      <name val="Arial"/>
      <family val="2"/>
    </font>
    <font>
      <b/>
      <sz val="10"/>
      <color indexed="8"/>
      <name val="Arial"/>
      <family val="2"/>
    </font>
    <font>
      <b/>
      <sz val="10"/>
      <color theme="1"/>
      <name val="Arial"/>
      <family val="2"/>
    </font>
    <font>
      <sz val="10"/>
      <color indexed="8"/>
      <name val="Arial"/>
      <family val="2"/>
    </font>
    <font>
      <sz val="10"/>
      <color theme="1"/>
      <name val="Arial"/>
      <family val="2"/>
    </font>
    <font>
      <b/>
      <sz val="10"/>
      <color indexed="10"/>
      <name val="Arial"/>
      <family val="2"/>
    </font>
    <font>
      <sz val="10"/>
      <color indexed="54"/>
      <name val="Arial"/>
      <family val="2"/>
    </font>
    <font>
      <sz val="10"/>
      <color theme="9"/>
      <name val="Arial"/>
      <family val="2"/>
    </font>
    <font>
      <b/>
      <sz val="10"/>
      <color theme="9"/>
      <name val="Arial"/>
      <family val="2"/>
    </font>
    <font>
      <b/>
      <sz val="12"/>
      <color theme="1"/>
      <name val="Calibri"/>
      <family val="2"/>
      <scheme val="minor"/>
    </font>
    <font>
      <b/>
      <sz val="12"/>
      <color theme="1"/>
      <name val="Calibri"/>
      <family val="2"/>
      <charset val="204"/>
      <scheme val="minor"/>
    </font>
    <font>
      <sz val="12"/>
      <name val="Calibri"/>
      <family val="2"/>
      <charset val="204"/>
      <scheme val="minor"/>
    </font>
    <font>
      <sz val="10"/>
      <name val="Calibri"/>
      <family val="2"/>
    </font>
    <font>
      <sz val="12"/>
      <color rgb="FFFF0000"/>
      <name val="Calibri"/>
      <family val="2"/>
      <charset val="204"/>
      <scheme val="minor"/>
    </font>
    <font>
      <sz val="8"/>
      <name val="MS Sans Serif"/>
    </font>
    <font>
      <sz val="8"/>
      <color rgb="FFFF0000"/>
      <name val="MS Sans Serif"/>
    </font>
    <font>
      <sz val="10"/>
      <name val="Arial"/>
    </font>
    <font>
      <sz val="10"/>
      <color theme="1"/>
      <name val="Arial"/>
    </font>
    <font>
      <b/>
      <sz val="16"/>
      <name val="Calibri"/>
      <family val="2"/>
      <scheme val="minor"/>
    </font>
    <font>
      <b/>
      <sz val="12"/>
      <color rgb="FFFF0000"/>
      <name val="Calibri"/>
      <family val="2"/>
      <scheme val="minor"/>
    </font>
    <font>
      <b/>
      <sz val="8"/>
      <color indexed="81"/>
      <name val="Tahoma"/>
      <family val="2"/>
    </font>
    <font>
      <sz val="8"/>
      <color indexed="81"/>
      <name val="Tahoma"/>
      <family val="2"/>
    </font>
    <font>
      <sz val="12"/>
      <color theme="1"/>
      <name val="Aptos"/>
      <family val="2"/>
    </font>
    <font>
      <b/>
      <sz val="10"/>
      <name val="Arial"/>
    </font>
    <font>
      <sz val="11"/>
      <color theme="8" tint="-0.24994659260841701"/>
      <name val="Calibri"/>
      <family val="2"/>
      <scheme val="minor"/>
    </font>
    <font>
      <sz val="10"/>
      <name val="MS Sans Serif"/>
      <family val="2"/>
    </font>
    <font>
      <u/>
      <sz val="12"/>
      <color theme="10"/>
      <name val="Calibri"/>
      <family val="2"/>
      <charset val="204"/>
      <scheme val="minor"/>
    </font>
    <font>
      <u/>
      <sz val="12"/>
      <name val="Calibri"/>
      <family val="2"/>
      <charset val="204"/>
      <scheme val="minor"/>
    </font>
    <font>
      <sz val="11"/>
      <name val="1"/>
    </font>
  </fonts>
  <fills count="30">
    <fill>
      <patternFill patternType="none"/>
    </fill>
    <fill>
      <patternFill patternType="gray125"/>
    </fill>
    <fill>
      <patternFill patternType="solid">
        <fgColor theme="9" tint="0.79995117038483843"/>
        <bgColor indexed="64"/>
      </patternFill>
    </fill>
    <fill>
      <patternFill patternType="solid">
        <fgColor rgb="FFFFFF00"/>
        <bgColor indexed="64"/>
      </patternFill>
    </fill>
    <fill>
      <patternFill patternType="solid">
        <fgColor rgb="FFFFFF00"/>
        <bgColor rgb="FF000000"/>
      </patternFill>
    </fill>
    <fill>
      <patternFill patternType="solid">
        <fgColor theme="9" tint="0.79995117038483843"/>
        <bgColor indexed="64"/>
      </patternFill>
    </fill>
    <fill>
      <patternFill patternType="solid">
        <fgColor theme="6" tint="0.79995117038483843"/>
        <bgColor indexed="64"/>
      </patternFill>
    </fill>
    <fill>
      <patternFill patternType="solid">
        <fgColor theme="0"/>
        <bgColor indexed="64"/>
      </patternFill>
    </fill>
    <fill>
      <patternFill patternType="solid">
        <fgColor theme="9"/>
        <bgColor indexed="64"/>
      </patternFill>
    </fill>
    <fill>
      <patternFill patternType="solid">
        <fgColor theme="7" tint="0.59996337778862885"/>
        <bgColor indexed="64"/>
      </patternFill>
    </fill>
    <fill>
      <patternFill patternType="solid">
        <fgColor theme="5" tint="0.599963377788628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0" tint="-0.24994659260841701"/>
        <bgColor indexed="64"/>
      </patternFill>
    </fill>
    <fill>
      <patternFill patternType="solid">
        <fgColor theme="9" tint="0.59996337778862885"/>
        <bgColor indexed="64"/>
      </patternFill>
    </fill>
    <fill>
      <patternFill patternType="solid">
        <fgColor theme="5" tint="0.39997558519241921"/>
        <bgColor indexed="64"/>
      </patternFill>
    </fill>
    <fill>
      <patternFill patternType="solid">
        <fgColor theme="8" tint="0.59996337778862885"/>
        <bgColor indexed="64"/>
      </patternFill>
    </fill>
    <fill>
      <patternFill patternType="solid">
        <fgColor theme="3" tint="0.59996337778862885"/>
        <bgColor indexed="64"/>
      </patternFill>
    </fill>
    <fill>
      <patternFill patternType="solid">
        <fgColor theme="6" tint="0.59996337778862885"/>
        <bgColor indexed="64"/>
      </patternFill>
    </fill>
    <fill>
      <patternFill patternType="solid">
        <fgColor rgb="FFFFC000"/>
        <bgColor indexed="64"/>
      </patternFill>
    </fill>
    <fill>
      <patternFill patternType="solid">
        <fgColor indexed="50"/>
        <bgColor indexed="64"/>
      </patternFill>
    </fill>
    <fill>
      <patternFill patternType="solid">
        <fgColor theme="4" tint="0.599963377788628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5117038483843"/>
        <bgColor indexed="64"/>
      </patternFill>
    </fill>
    <fill>
      <patternFill patternType="solid">
        <fgColor theme="8" tint="0.79998168889431442"/>
        <bgColor indexed="64"/>
      </patternFill>
    </fill>
    <fill>
      <patternFill patternType="solid">
        <fgColor theme="5" tint="0.59999389629810485"/>
        <bgColor indexed="64"/>
      </patternFill>
    </fill>
  </fills>
  <borders count="24">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double">
        <color indexed="64"/>
      </bottom>
      <diagonal/>
    </border>
    <border>
      <left/>
      <right style="thin">
        <color auto="1"/>
      </right>
      <top style="thin">
        <color auto="1"/>
      </top>
      <bottom style="thin">
        <color auto="1"/>
      </bottom>
      <diagonal/>
    </border>
  </borders>
  <cellStyleXfs count="5">
    <xf numFmtId="0" fontId="0" fillId="0" borderId="0"/>
    <xf numFmtId="9" fontId="11" fillId="0" borderId="0" applyFont="0" applyFill="0" applyBorder="0" applyAlignment="0" applyProtection="0"/>
    <xf numFmtId="0" fontId="16" fillId="0" borderId="0"/>
    <xf numFmtId="0" fontId="18" fillId="0" borderId="0"/>
    <xf numFmtId="0" fontId="58" fillId="0" borderId="0" applyNumberFormat="0" applyFill="0" applyBorder="0" applyAlignment="0" applyProtection="0"/>
  </cellStyleXfs>
  <cellXfs count="578">
    <xf numFmtId="0" fontId="0" fillId="0" borderId="0" xfId="0"/>
    <xf numFmtId="0" fontId="2" fillId="0" borderId="0" xfId="0" applyFont="1"/>
    <xf numFmtId="0" fontId="3" fillId="0" borderId="0" xfId="0" applyFont="1"/>
    <xf numFmtId="0" fontId="2" fillId="0" borderId="0" xfId="0" applyFont="1" applyAlignment="1">
      <alignment horizontal="center"/>
    </xf>
    <xf numFmtId="0" fontId="0" fillId="0" borderId="0" xfId="0" applyAlignment="1">
      <alignment horizontal="center"/>
    </xf>
    <xf numFmtId="0" fontId="3" fillId="0" borderId="1" xfId="0" applyFont="1" applyBorder="1"/>
    <xf numFmtId="2" fontId="3" fillId="0" borderId="2" xfId="0" applyNumberFormat="1" applyFont="1" applyBorder="1"/>
    <xf numFmtId="2" fontId="3" fillId="0" borderId="3" xfId="0" applyNumberFormat="1" applyFont="1" applyBorder="1"/>
    <xf numFmtId="0" fontId="4" fillId="0" borderId="0" xfId="0" applyFont="1"/>
    <xf numFmtId="0" fontId="3" fillId="0" borderId="4" xfId="0" applyFont="1" applyBorder="1"/>
    <xf numFmtId="2" fontId="3" fillId="0" borderId="5" xfId="0" applyNumberFormat="1" applyFont="1" applyBorder="1"/>
    <xf numFmtId="0" fontId="3" fillId="0" borderId="4" xfId="0" applyFont="1" applyBorder="1" applyAlignment="1">
      <alignment horizontal="right"/>
    </xf>
    <xf numFmtId="0" fontId="4" fillId="0" borderId="7" xfId="0" applyFont="1" applyBorder="1"/>
    <xf numFmtId="2" fontId="3" fillId="0" borderId="8" xfId="0" applyNumberFormat="1" applyFont="1" applyBorder="1"/>
    <xf numFmtId="2" fontId="3" fillId="0" borderId="9" xfId="0" applyNumberFormat="1" applyFont="1" applyBorder="1"/>
    <xf numFmtId="0" fontId="3" fillId="0" borderId="9" xfId="0" applyFont="1" applyBorder="1"/>
    <xf numFmtId="2" fontId="3" fillId="0" borderId="0" xfId="0" applyNumberFormat="1" applyFont="1"/>
    <xf numFmtId="0" fontId="3" fillId="2" borderId="0" xfId="0" applyFont="1" applyFill="1"/>
    <xf numFmtId="0" fontId="4" fillId="0" borderId="10" xfId="0" applyFont="1" applyBorder="1"/>
    <xf numFmtId="0" fontId="4" fillId="0" borderId="3" xfId="0" applyFont="1" applyBorder="1"/>
    <xf numFmtId="0" fontId="3" fillId="0" borderId="6" xfId="0" applyFont="1" applyBorder="1"/>
    <xf numFmtId="0" fontId="3" fillId="0" borderId="6" xfId="0" applyFont="1" applyBorder="1" applyAlignment="1">
      <alignment horizontal="center"/>
    </xf>
    <xf numFmtId="0" fontId="3" fillId="0" borderId="1" xfId="0" applyFont="1" applyBorder="1" applyAlignment="1">
      <alignment horizontal="left" vertical="center"/>
    </xf>
    <xf numFmtId="0" fontId="5" fillId="0" borderId="0" xfId="0" applyFont="1"/>
    <xf numFmtId="2" fontId="4" fillId="0" borderId="0" xfId="0" applyNumberFormat="1" applyFont="1"/>
    <xf numFmtId="0" fontId="3" fillId="0" borderId="7" xfId="0" applyFont="1" applyBorder="1" applyAlignment="1">
      <alignment horizontal="left" vertical="center"/>
    </xf>
    <xf numFmtId="0" fontId="6" fillId="0" borderId="0" xfId="0" applyFont="1"/>
    <xf numFmtId="0" fontId="7" fillId="0" borderId="0" xfId="0" applyFont="1"/>
    <xf numFmtId="0" fontId="1" fillId="0" borderId="0" xfId="0" applyFont="1"/>
    <xf numFmtId="0" fontId="8" fillId="0" borderId="0" xfId="0" applyFont="1"/>
    <xf numFmtId="0" fontId="7" fillId="3" borderId="0" xfId="0" applyFont="1" applyFill="1"/>
    <xf numFmtId="2" fontId="4" fillId="0" borderId="7" xfId="0" applyNumberFormat="1" applyFont="1" applyBorder="1"/>
    <xf numFmtId="0" fontId="9" fillId="0" borderId="1" xfId="0" applyFont="1" applyBorder="1"/>
    <xf numFmtId="2" fontId="3" fillId="0" borderId="1" xfId="0" applyNumberFormat="1" applyFont="1" applyBorder="1"/>
    <xf numFmtId="2" fontId="3" fillId="0" borderId="4" xfId="0" applyNumberFormat="1" applyFont="1" applyBorder="1"/>
    <xf numFmtId="2" fontId="3" fillId="0" borderId="4" xfId="0" applyNumberFormat="1" applyFont="1" applyBorder="1" applyAlignment="1">
      <alignment horizontal="right"/>
    </xf>
    <xf numFmtId="0" fontId="13" fillId="0" borderId="1" xfId="0" applyFont="1" applyBorder="1"/>
    <xf numFmtId="0" fontId="12" fillId="0" borderId="0" xfId="0" applyFont="1"/>
    <xf numFmtId="0" fontId="2" fillId="0" borderId="0" xfId="0" applyFont="1" applyAlignment="1">
      <alignment horizontal="left"/>
    </xf>
    <xf numFmtId="9" fontId="0" fillId="0" borderId="0" xfId="1" applyFont="1"/>
    <xf numFmtId="0" fontId="13" fillId="0" borderId="0" xfId="0" applyFont="1" applyAlignment="1">
      <alignment horizontal="center"/>
    </xf>
    <xf numFmtId="2" fontId="3" fillId="0" borderId="6" xfId="0" applyNumberFormat="1" applyFont="1" applyBorder="1"/>
    <xf numFmtId="0" fontId="12" fillId="0" borderId="0" xfId="0" applyFont="1" applyAlignment="1">
      <alignment horizontal="left"/>
    </xf>
    <xf numFmtId="0" fontId="10" fillId="0" borderId="0" xfId="0" applyFont="1"/>
    <xf numFmtId="0" fontId="14" fillId="0" borderId="1" xfId="0" applyFont="1" applyBorder="1" applyAlignment="1">
      <alignment vertical="center"/>
    </xf>
    <xf numFmtId="1" fontId="14" fillId="0" borderId="10" xfId="0" applyNumberFormat="1" applyFont="1" applyBorder="1" applyAlignment="1">
      <alignment vertical="center"/>
    </xf>
    <xf numFmtId="0" fontId="14" fillId="0" borderId="10" xfId="0" applyFont="1" applyBorder="1" applyAlignment="1">
      <alignment horizontal="left" vertical="center"/>
    </xf>
    <xf numFmtId="0" fontId="14" fillId="0" borderId="3" xfId="0" applyFont="1" applyBorder="1" applyAlignment="1">
      <alignment vertical="center"/>
    </xf>
    <xf numFmtId="0" fontId="14" fillId="0" borderId="10" xfId="0" applyFont="1" applyBorder="1" applyAlignment="1">
      <alignment vertical="center"/>
    </xf>
    <xf numFmtId="0" fontId="1" fillId="3" borderId="0" xfId="0" applyFont="1" applyFill="1"/>
    <xf numFmtId="0" fontId="17" fillId="0" borderId="0" xfId="0" applyFont="1"/>
    <xf numFmtId="0" fontId="9" fillId="0" borderId="0" xfId="0" applyFont="1"/>
    <xf numFmtId="0" fontId="18" fillId="0" borderId="0" xfId="0" applyFont="1"/>
    <xf numFmtId="0" fontId="0" fillId="0" borderId="0" xfId="0" applyAlignment="1">
      <alignment vertical="center"/>
    </xf>
    <xf numFmtId="0" fontId="19" fillId="0" borderId="0" xfId="0" applyFont="1" applyAlignment="1">
      <alignment horizontal="left" vertical="center" indent="5"/>
    </xf>
    <xf numFmtId="0" fontId="20" fillId="0" borderId="0" xfId="0" applyFont="1" applyAlignment="1">
      <alignment horizontal="left" vertical="center" indent="5"/>
    </xf>
    <xf numFmtId="0" fontId="21" fillId="0" borderId="0" xfId="0" applyFont="1" applyAlignment="1">
      <alignment horizontal="left" vertical="center" indent="5"/>
    </xf>
    <xf numFmtId="0" fontId="20"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4" fillId="0" borderId="4" xfId="0" applyFont="1" applyBorder="1" applyAlignment="1">
      <alignment horizontal="left"/>
    </xf>
    <xf numFmtId="0" fontId="25" fillId="0" borderId="0" xfId="0" applyFont="1"/>
    <xf numFmtId="0" fontId="9" fillId="0" borderId="0" xfId="0" quotePrefix="1" applyFont="1"/>
    <xf numFmtId="2" fontId="4" fillId="0" borderId="0" xfId="0" quotePrefix="1" applyNumberFormat="1" applyFont="1"/>
    <xf numFmtId="2" fontId="2" fillId="0" borderId="0" xfId="0" applyNumberFormat="1" applyFont="1" applyAlignment="1">
      <alignment horizontal="center"/>
    </xf>
    <xf numFmtId="0" fontId="26" fillId="0" borderId="0" xfId="0" applyFont="1"/>
    <xf numFmtId="2" fontId="27" fillId="0" borderId="0" xfId="0" quotePrefix="1" applyNumberFormat="1" applyFont="1"/>
    <xf numFmtId="2" fontId="27" fillId="0" borderId="0" xfId="0" applyNumberFormat="1" applyFont="1"/>
    <xf numFmtId="15" fontId="28" fillId="0" borderId="0" xfId="0" applyNumberFormat="1" applyFont="1"/>
    <xf numFmtId="0" fontId="2" fillId="4" borderId="0" xfId="0" applyFont="1" applyFill="1"/>
    <xf numFmtId="15" fontId="2" fillId="4" borderId="0" xfId="0" applyNumberFormat="1" applyFont="1" applyFill="1"/>
    <xf numFmtId="15" fontId="28" fillId="4" borderId="0" xfId="0" applyNumberFormat="1" applyFont="1" applyFill="1"/>
    <xf numFmtId="15" fontId="2" fillId="0" borderId="0" xfId="0" applyNumberFormat="1" applyFont="1"/>
    <xf numFmtId="0" fontId="18" fillId="4" borderId="0" xfId="0" applyFont="1" applyFill="1"/>
    <xf numFmtId="164" fontId="18" fillId="4" borderId="0" xfId="0" applyNumberFormat="1" applyFont="1" applyFill="1"/>
    <xf numFmtId="165" fontId="18" fillId="0" borderId="0" xfId="0" applyNumberFormat="1" applyFont="1"/>
    <xf numFmtId="164" fontId="18" fillId="0" borderId="0" xfId="0" applyNumberFormat="1" applyFont="1"/>
    <xf numFmtId="164" fontId="2" fillId="4" borderId="0" xfId="0" applyNumberFormat="1" applyFont="1" applyFill="1"/>
    <xf numFmtId="164" fontId="2" fillId="0" borderId="0" xfId="0" applyNumberFormat="1" applyFont="1"/>
    <xf numFmtId="0" fontId="28" fillId="4" borderId="0" xfId="0" applyFont="1" applyFill="1"/>
    <xf numFmtId="166" fontId="28" fillId="4" borderId="0" xfId="0" applyNumberFormat="1" applyFont="1" applyFill="1"/>
    <xf numFmtId="1" fontId="18" fillId="4" borderId="0" xfId="0" applyNumberFormat="1" applyFont="1" applyFill="1"/>
    <xf numFmtId="166" fontId="28" fillId="0" borderId="0" xfId="0" applyNumberFormat="1" applyFont="1"/>
    <xf numFmtId="0" fontId="4" fillId="0" borderId="0" xfId="0" applyFont="1" applyAlignment="1">
      <alignment horizontal="left" vertical="center"/>
    </xf>
    <xf numFmtId="0" fontId="1" fillId="0" borderId="0" xfId="0" applyFont="1" applyAlignment="1">
      <alignment vertical="center"/>
    </xf>
    <xf numFmtId="14" fontId="0" fillId="0" borderId="0" xfId="0" applyNumberFormat="1"/>
    <xf numFmtId="20" fontId="0" fillId="0" borderId="0" xfId="0" applyNumberFormat="1"/>
    <xf numFmtId="0" fontId="29" fillId="0" borderId="0" xfId="0" applyFont="1"/>
    <xf numFmtId="0" fontId="10" fillId="3" borderId="0" xfId="0" applyFont="1" applyFill="1"/>
    <xf numFmtId="14" fontId="10" fillId="0" borderId="0" xfId="0" applyNumberFormat="1" applyFont="1"/>
    <xf numFmtId="0" fontId="17" fillId="3" borderId="0" xfId="0" applyFont="1" applyFill="1"/>
    <xf numFmtId="0" fontId="3" fillId="0" borderId="4" xfId="0" applyFont="1" applyBorder="1" applyAlignment="1">
      <alignment horizontal="left" vertical="center"/>
    </xf>
    <xf numFmtId="0" fontId="30" fillId="0" borderId="2" xfId="0" applyFont="1" applyBorder="1" applyAlignment="1">
      <alignment horizontal="left" vertical="center"/>
    </xf>
    <xf numFmtId="0" fontId="30" fillId="0" borderId="5" xfId="0" applyFont="1" applyBorder="1" applyAlignment="1">
      <alignment horizontal="left" vertical="center"/>
    </xf>
    <xf numFmtId="0" fontId="30" fillId="0" borderId="8" xfId="0" applyFont="1" applyBorder="1" applyAlignment="1">
      <alignment horizontal="left" vertical="center"/>
    </xf>
    <xf numFmtId="0" fontId="30" fillId="0" borderId="1" xfId="0" applyFont="1" applyBorder="1" applyAlignment="1">
      <alignment horizontal="left" vertical="center"/>
    </xf>
    <xf numFmtId="2" fontId="7" fillId="0" borderId="0" xfId="0" applyNumberFormat="1" applyFont="1"/>
    <xf numFmtId="0" fontId="1" fillId="5" borderId="0" xfId="0" applyFont="1" applyFill="1"/>
    <xf numFmtId="0" fontId="18" fillId="5" borderId="0" xfId="0" applyFont="1" applyFill="1"/>
    <xf numFmtId="0" fontId="18" fillId="5" borderId="0" xfId="0" applyFont="1" applyFill="1" applyAlignment="1">
      <alignment horizontal="left"/>
    </xf>
    <xf numFmtId="0" fontId="0" fillId="0" borderId="0" xfId="0" applyAlignment="1">
      <alignment wrapText="1"/>
    </xf>
    <xf numFmtId="0" fontId="32" fillId="5" borderId="0" xfId="0" applyFont="1" applyFill="1"/>
    <xf numFmtId="0" fontId="1" fillId="5" borderId="0" xfId="0" applyFont="1" applyFill="1" applyAlignment="1">
      <alignment horizontal="left"/>
    </xf>
    <xf numFmtId="1" fontId="32" fillId="5" borderId="0" xfId="0" applyNumberFormat="1" applyFont="1" applyFill="1" applyAlignment="1">
      <alignment horizontal="left"/>
    </xf>
    <xf numFmtId="2" fontId="1" fillId="5" borderId="0" xfId="0" applyNumberFormat="1" applyFont="1" applyFill="1"/>
    <xf numFmtId="2" fontId="32" fillId="5" borderId="0" xfId="0" applyNumberFormat="1" applyFont="1" applyFill="1" applyAlignment="1">
      <alignment horizontal="left"/>
    </xf>
    <xf numFmtId="164" fontId="32" fillId="5" borderId="0" xfId="0" applyNumberFormat="1" applyFont="1" applyFill="1"/>
    <xf numFmtId="164" fontId="32" fillId="6" borderId="0" xfId="0" applyNumberFormat="1" applyFont="1" applyFill="1"/>
    <xf numFmtId="1" fontId="32" fillId="6" borderId="0" xfId="0" applyNumberFormat="1" applyFont="1" applyFill="1"/>
    <xf numFmtId="15" fontId="32" fillId="5" borderId="0" xfId="0" applyNumberFormat="1" applyFont="1" applyFill="1"/>
    <xf numFmtId="168" fontId="32" fillId="5" borderId="0" xfId="0" applyNumberFormat="1" applyFont="1" applyFill="1" applyAlignment="1">
      <alignment horizontal="right"/>
    </xf>
    <xf numFmtId="169" fontId="32" fillId="5" borderId="0" xfId="0" applyNumberFormat="1" applyFont="1" applyFill="1"/>
    <xf numFmtId="2" fontId="32" fillId="5" borderId="0" xfId="0" applyNumberFormat="1" applyFont="1" applyFill="1" applyAlignment="1">
      <alignment horizontal="center"/>
    </xf>
    <xf numFmtId="1" fontId="5" fillId="5" borderId="0" xfId="0" applyNumberFormat="1" applyFont="1" applyFill="1"/>
    <xf numFmtId="1" fontId="32" fillId="5" borderId="0" xfId="0" applyNumberFormat="1" applyFont="1" applyFill="1"/>
    <xf numFmtId="2" fontId="32" fillId="5" borderId="0" xfId="0" applyNumberFormat="1" applyFont="1" applyFill="1"/>
    <xf numFmtId="2" fontId="2" fillId="0" borderId="0" xfId="0" applyNumberFormat="1" applyFont="1"/>
    <xf numFmtId="1" fontId="33" fillId="0" borderId="0" xfId="0" applyNumberFormat="1" applyFont="1" applyAlignment="1">
      <alignment horizontal="left"/>
    </xf>
    <xf numFmtId="1" fontId="34" fillId="7" borderId="0" xfId="0" applyNumberFormat="1" applyFont="1" applyFill="1"/>
    <xf numFmtId="2" fontId="0" fillId="0" borderId="0" xfId="0" quotePrefix="1" applyNumberFormat="1"/>
    <xf numFmtId="1" fontId="35" fillId="0" borderId="0" xfId="0" applyNumberFormat="1" applyFont="1" applyAlignment="1">
      <alignment horizontal="left"/>
    </xf>
    <xf numFmtId="0" fontId="32" fillId="0" borderId="0" xfId="0" applyFont="1"/>
    <xf numFmtId="2" fontId="0" fillId="0" borderId="0" xfId="0" applyNumberFormat="1"/>
    <xf numFmtId="0" fontId="34" fillId="0" borderId="0" xfId="0" applyFont="1"/>
    <xf numFmtId="1" fontId="2" fillId="0" borderId="0" xfId="0" applyNumberFormat="1" applyFont="1"/>
    <xf numFmtId="169" fontId="34" fillId="0" borderId="0" xfId="0" applyNumberFormat="1" applyFont="1"/>
    <xf numFmtId="169" fontId="2" fillId="0" borderId="0" xfId="0" applyNumberFormat="1" applyFont="1"/>
    <xf numFmtId="168" fontId="2" fillId="0" borderId="0" xfId="0" applyNumberFormat="1" applyFont="1" applyAlignment="1">
      <alignment horizontal="right"/>
    </xf>
    <xf numFmtId="170" fontId="2" fillId="0" borderId="0" xfId="0" applyNumberFormat="1" applyFont="1"/>
    <xf numFmtId="2" fontId="18" fillId="0" borderId="0" xfId="0" applyNumberFormat="1" applyFont="1" applyAlignment="1">
      <alignment horizontal="left"/>
    </xf>
    <xf numFmtId="2" fontId="36" fillId="0" borderId="0" xfId="0" applyNumberFormat="1" applyFont="1"/>
    <xf numFmtId="169" fontId="18" fillId="6" borderId="0" xfId="0" applyNumberFormat="1" applyFont="1" applyFill="1" applyAlignment="1">
      <alignment horizontal="right"/>
    </xf>
    <xf numFmtId="2" fontId="18" fillId="0" borderId="0" xfId="0" applyNumberFormat="1" applyFont="1"/>
    <xf numFmtId="2" fontId="12" fillId="0" borderId="0" xfId="0" applyNumberFormat="1" applyFont="1"/>
    <xf numFmtId="1" fontId="0" fillId="0" borderId="0" xfId="0" applyNumberFormat="1"/>
    <xf numFmtId="169" fontId="36" fillId="0" borderId="0" xfId="0" applyNumberFormat="1" applyFont="1"/>
    <xf numFmtId="1" fontId="0" fillId="0" borderId="0" xfId="0" quotePrefix="1" applyNumberFormat="1"/>
    <xf numFmtId="169" fontId="0" fillId="0" borderId="0" xfId="0" quotePrefix="1" applyNumberFormat="1"/>
    <xf numFmtId="169" fontId="0" fillId="0" borderId="0" xfId="0" applyNumberFormat="1"/>
    <xf numFmtId="2" fontId="0" fillId="0" borderId="0" xfId="0" applyNumberFormat="1" applyAlignment="1">
      <alignment horizontal="center"/>
    </xf>
    <xf numFmtId="168" fontId="0" fillId="0" borderId="0" xfId="0" applyNumberFormat="1" applyAlignment="1">
      <alignment horizontal="right"/>
    </xf>
    <xf numFmtId="170" fontId="0" fillId="0" borderId="0" xfId="0" applyNumberFormat="1"/>
    <xf numFmtId="1" fontId="18" fillId="6" borderId="0" xfId="0" applyNumberFormat="1" applyFont="1" applyFill="1" applyAlignment="1">
      <alignment horizontal="right"/>
    </xf>
    <xf numFmtId="2" fontId="12" fillId="0" borderId="0" xfId="0" quotePrefix="1" applyNumberFormat="1" applyFont="1"/>
    <xf numFmtId="0" fontId="0" fillId="0" borderId="0" xfId="0" quotePrefix="1"/>
    <xf numFmtId="16" fontId="0" fillId="0" borderId="0" xfId="0" applyNumberFormat="1"/>
    <xf numFmtId="2" fontId="0" fillId="0" borderId="0" xfId="0" applyNumberFormat="1" applyAlignment="1">
      <alignment horizontal="left"/>
    </xf>
    <xf numFmtId="2" fontId="36" fillId="0" borderId="0" xfId="0" applyNumberFormat="1" applyFont="1" applyAlignment="1">
      <alignment horizontal="left"/>
    </xf>
    <xf numFmtId="169" fontId="37" fillId="0" borderId="0" xfId="0" applyNumberFormat="1" applyFont="1"/>
    <xf numFmtId="2" fontId="2" fillId="0" borderId="0" xfId="0" applyNumberFormat="1" applyFont="1" applyAlignment="1">
      <alignment horizontal="left"/>
    </xf>
    <xf numFmtId="0" fontId="38" fillId="0" borderId="0" xfId="0" applyFont="1"/>
    <xf numFmtId="0" fontId="35" fillId="0" borderId="0" xfId="0" applyFont="1" applyAlignment="1">
      <alignment horizontal="left"/>
    </xf>
    <xf numFmtId="1" fontId="38" fillId="0" borderId="0" xfId="0" applyNumberFormat="1" applyFont="1"/>
    <xf numFmtId="169" fontId="38" fillId="0" borderId="0" xfId="0" applyNumberFormat="1" applyFont="1"/>
    <xf numFmtId="2" fontId="38" fillId="0" borderId="0" xfId="0" applyNumberFormat="1" applyFont="1" applyAlignment="1">
      <alignment horizontal="center"/>
    </xf>
    <xf numFmtId="169" fontId="38" fillId="0" borderId="0" xfId="0" quotePrefix="1" applyNumberFormat="1" applyFont="1"/>
    <xf numFmtId="168" fontId="38" fillId="0" borderId="0" xfId="0" applyNumberFormat="1" applyFont="1" applyAlignment="1">
      <alignment horizontal="right"/>
    </xf>
    <xf numFmtId="170" fontId="38" fillId="0" borderId="0" xfId="0" applyNumberFormat="1" applyFont="1"/>
    <xf numFmtId="0" fontId="36" fillId="0" borderId="0" xfId="0" applyFont="1"/>
    <xf numFmtId="0" fontId="18" fillId="0" borderId="0" xfId="0" applyFont="1" applyAlignment="1">
      <alignment horizontal="right"/>
    </xf>
    <xf numFmtId="1" fontId="18" fillId="0" borderId="0" xfId="0" applyNumberFormat="1" applyFont="1"/>
    <xf numFmtId="169" fontId="18" fillId="0" borderId="0" xfId="0" applyNumberFormat="1" applyFont="1"/>
    <xf numFmtId="0" fontId="18" fillId="0" borderId="0" xfId="0" applyFont="1" applyAlignment="1">
      <alignment horizontal="left"/>
    </xf>
    <xf numFmtId="169" fontId="32" fillId="0" borderId="0" xfId="0" applyNumberFormat="1" applyFont="1"/>
    <xf numFmtId="1" fontId="32" fillId="0" borderId="0" xfId="0" applyNumberFormat="1" applyFont="1"/>
    <xf numFmtId="1" fontId="18" fillId="0" borderId="0" xfId="0" applyNumberFormat="1" applyFont="1" applyAlignment="1">
      <alignment horizontal="left"/>
    </xf>
    <xf numFmtId="1" fontId="18" fillId="0" borderId="0" xfId="0" applyNumberFormat="1" applyFont="1" applyAlignment="1">
      <alignment horizontal="right"/>
    </xf>
    <xf numFmtId="1" fontId="32" fillId="0" borderId="0" xfId="0" applyNumberFormat="1" applyFont="1" applyAlignment="1">
      <alignment horizontal="left"/>
    </xf>
    <xf numFmtId="0" fontId="39" fillId="0" borderId="0" xfId="0" applyFont="1"/>
    <xf numFmtId="1" fontId="39" fillId="0" borderId="0" xfId="0" applyNumberFormat="1" applyFont="1"/>
    <xf numFmtId="2" fontId="5" fillId="0" borderId="0" xfId="0" applyNumberFormat="1" applyFont="1"/>
    <xf numFmtId="0" fontId="0" fillId="0" borderId="0" xfId="0" applyAlignment="1">
      <alignment horizontal="left"/>
    </xf>
    <xf numFmtId="1" fontId="0" fillId="0" borderId="0" xfId="0" applyNumberFormat="1" applyAlignment="1">
      <alignment horizontal="left"/>
    </xf>
    <xf numFmtId="15" fontId="0" fillId="0" borderId="0" xfId="0" applyNumberFormat="1" applyAlignment="1">
      <alignment horizontal="left"/>
    </xf>
    <xf numFmtId="0" fontId="36" fillId="5" borderId="0" xfId="0" applyFont="1" applyFill="1"/>
    <xf numFmtId="0" fontId="0" fillId="5" borderId="0" xfId="0" applyFill="1"/>
    <xf numFmtId="2" fontId="40" fillId="5" borderId="0" xfId="0" applyNumberFormat="1" applyFont="1" applyFill="1"/>
    <xf numFmtId="1" fontId="39" fillId="5" borderId="0" xfId="0" applyNumberFormat="1" applyFont="1" applyFill="1"/>
    <xf numFmtId="0" fontId="39" fillId="5" borderId="0" xfId="0" applyFont="1" applyFill="1"/>
    <xf numFmtId="2" fontId="39" fillId="5" borderId="0" xfId="0" applyNumberFormat="1" applyFont="1" applyFill="1" applyAlignment="1">
      <alignment horizontal="center"/>
    </xf>
    <xf numFmtId="169" fontId="39" fillId="5" borderId="0" xfId="0" applyNumberFormat="1" applyFont="1" applyFill="1"/>
    <xf numFmtId="168" fontId="39" fillId="5" borderId="0" xfId="0" applyNumberFormat="1" applyFont="1" applyFill="1" applyAlignment="1">
      <alignment horizontal="right"/>
    </xf>
    <xf numFmtId="15" fontId="39" fillId="5" borderId="0" xfId="0" applyNumberFormat="1" applyFont="1" applyFill="1"/>
    <xf numFmtId="1" fontId="18" fillId="6" borderId="0" xfId="0" applyNumberFormat="1" applyFont="1" applyFill="1"/>
    <xf numFmtId="164" fontId="39" fillId="6" borderId="0" xfId="0" applyNumberFormat="1" applyFont="1" applyFill="1"/>
    <xf numFmtId="164" fontId="39" fillId="5" borderId="0" xfId="0" applyNumberFormat="1" applyFont="1" applyFill="1"/>
    <xf numFmtId="2" fontId="18" fillId="5" borderId="0" xfId="0" applyNumberFormat="1" applyFont="1" applyFill="1" applyAlignment="1">
      <alignment horizontal="left"/>
    </xf>
    <xf numFmtId="2" fontId="0" fillId="5" borderId="0" xfId="0" applyNumberFormat="1" applyFill="1"/>
    <xf numFmtId="1" fontId="18" fillId="5" borderId="0" xfId="0" applyNumberFormat="1" applyFont="1" applyFill="1" applyAlignment="1">
      <alignment horizontal="left"/>
    </xf>
    <xf numFmtId="0" fontId="0" fillId="5" borderId="0" xfId="0" applyFill="1" applyAlignment="1">
      <alignment horizontal="left"/>
    </xf>
    <xf numFmtId="21" fontId="0" fillId="0" borderId="0" xfId="0" applyNumberFormat="1"/>
    <xf numFmtId="0" fontId="0" fillId="8" borderId="0" xfId="0" applyFill="1"/>
    <xf numFmtId="15" fontId="0" fillId="0" borderId="0" xfId="0" applyNumberFormat="1"/>
    <xf numFmtId="2" fontId="10" fillId="0" borderId="0" xfId="0" applyNumberFormat="1" applyFont="1"/>
    <xf numFmtId="2" fontId="41" fillId="0" borderId="0" xfId="0" applyNumberFormat="1" applyFont="1"/>
    <xf numFmtId="0" fontId="42" fillId="0" borderId="0" xfId="0" applyFont="1"/>
    <xf numFmtId="0" fontId="41" fillId="0" borderId="0" xfId="0" applyFont="1"/>
    <xf numFmtId="169" fontId="41" fillId="0" borderId="0" xfId="0" applyNumberFormat="1" applyFont="1"/>
    <xf numFmtId="15" fontId="18" fillId="0" borderId="0" xfId="0" applyNumberFormat="1" applyFont="1"/>
    <xf numFmtId="10" fontId="25" fillId="0" borderId="0" xfId="1" applyNumberFormat="1" applyFont="1" applyFill="1"/>
    <xf numFmtId="0" fontId="0" fillId="9" borderId="0" xfId="0" applyFill="1"/>
    <xf numFmtId="14" fontId="0" fillId="9" borderId="0" xfId="0" applyNumberFormat="1" applyFill="1"/>
    <xf numFmtId="1" fontId="0" fillId="9" borderId="0" xfId="0" applyNumberFormat="1" applyFill="1"/>
    <xf numFmtId="10" fontId="0" fillId="9" borderId="0" xfId="1" applyNumberFormat="1" applyFont="1" applyFill="1"/>
    <xf numFmtId="0" fontId="0" fillId="10" borderId="0" xfId="0" applyFill="1"/>
    <xf numFmtId="14" fontId="0" fillId="10" borderId="0" xfId="0" applyNumberFormat="1" applyFill="1"/>
    <xf numFmtId="1" fontId="0" fillId="10" borderId="0" xfId="0" applyNumberFormat="1" applyFill="1"/>
    <xf numFmtId="2" fontId="10" fillId="10" borderId="0" xfId="0" applyNumberFormat="1" applyFont="1" applyFill="1"/>
    <xf numFmtId="0" fontId="25" fillId="10" borderId="0" xfId="1" applyNumberFormat="1" applyFont="1" applyFill="1"/>
    <xf numFmtId="10" fontId="0" fillId="10" borderId="0" xfId="1" applyNumberFormat="1" applyFont="1" applyFill="1"/>
    <xf numFmtId="171" fontId="10" fillId="0" borderId="0" xfId="0" applyNumberFormat="1" applyFont="1"/>
    <xf numFmtId="0" fontId="10" fillId="9" borderId="0" xfId="0" applyFont="1" applyFill="1"/>
    <xf numFmtId="0" fontId="10" fillId="10" borderId="0" xfId="0" applyFont="1" applyFill="1"/>
    <xf numFmtId="0" fontId="0" fillId="11" borderId="0" xfId="0" applyFill="1"/>
    <xf numFmtId="14" fontId="0" fillId="11" borderId="0" xfId="0" applyNumberFormat="1" applyFill="1"/>
    <xf numFmtId="1" fontId="0" fillId="11" borderId="0" xfId="0" applyNumberFormat="1" applyFill="1"/>
    <xf numFmtId="0" fontId="0" fillId="12" borderId="0" xfId="0" applyFill="1"/>
    <xf numFmtId="14" fontId="0" fillId="12" borderId="0" xfId="0" applyNumberFormat="1" applyFill="1"/>
    <xf numFmtId="1" fontId="0" fillId="12" borderId="0" xfId="0" applyNumberFormat="1" applyFill="1"/>
    <xf numFmtId="2" fontId="0" fillId="12" borderId="0" xfId="0" applyNumberFormat="1" applyFill="1"/>
    <xf numFmtId="0" fontId="0" fillId="13" borderId="0" xfId="0" applyFill="1"/>
    <xf numFmtId="14" fontId="0" fillId="13" borderId="0" xfId="0" applyNumberFormat="1" applyFill="1"/>
    <xf numFmtId="1" fontId="0" fillId="13" borderId="0" xfId="0" applyNumberFormat="1" applyFill="1"/>
    <xf numFmtId="2" fontId="0" fillId="13" borderId="0" xfId="0" applyNumberFormat="1" applyFill="1"/>
    <xf numFmtId="0" fontId="0" fillId="2" borderId="0" xfId="0" applyFill="1"/>
    <xf numFmtId="14" fontId="0" fillId="2" borderId="0" xfId="0" applyNumberFormat="1" applyFill="1"/>
    <xf numFmtId="1" fontId="0" fillId="2" borderId="0" xfId="0" applyNumberFormat="1" applyFill="1"/>
    <xf numFmtId="2" fontId="0" fillId="2" borderId="0" xfId="0" applyNumberFormat="1" applyFill="1"/>
    <xf numFmtId="172" fontId="0" fillId="12" borderId="0" xfId="1" applyNumberFormat="1" applyFont="1" applyFill="1"/>
    <xf numFmtId="172" fontId="0" fillId="13" borderId="0" xfId="1" applyNumberFormat="1" applyFont="1" applyFill="1"/>
    <xf numFmtId="172" fontId="0" fillId="2" borderId="0" xfId="1" applyNumberFormat="1" applyFont="1" applyFill="1"/>
    <xf numFmtId="2" fontId="10" fillId="13" borderId="0" xfId="0" applyNumberFormat="1" applyFont="1" applyFill="1"/>
    <xf numFmtId="2" fontId="10" fillId="2" borderId="0" xfId="0" applyNumberFormat="1" applyFont="1" applyFill="1"/>
    <xf numFmtId="10" fontId="25" fillId="2" borderId="0" xfId="1" applyNumberFormat="1" applyFont="1" applyFill="1" applyBorder="1"/>
    <xf numFmtId="10" fontId="0" fillId="12" borderId="0" xfId="1" applyNumberFormat="1" applyFont="1" applyFill="1"/>
    <xf numFmtId="0" fontId="0" fillId="14" borderId="0" xfId="0" applyFill="1"/>
    <xf numFmtId="14" fontId="0" fillId="14" borderId="0" xfId="0" applyNumberFormat="1" applyFill="1"/>
    <xf numFmtId="1" fontId="0" fillId="14" borderId="0" xfId="0" applyNumberFormat="1" applyFill="1"/>
    <xf numFmtId="2" fontId="0" fillId="14" borderId="0" xfId="0" applyNumberFormat="1" applyFill="1"/>
    <xf numFmtId="10" fontId="0" fillId="12" borderId="0" xfId="0" applyNumberFormat="1" applyFill="1"/>
    <xf numFmtId="10" fontId="10" fillId="13" borderId="0" xfId="0" applyNumberFormat="1" applyFont="1" applyFill="1"/>
    <xf numFmtId="10" fontId="10" fillId="2" borderId="0" xfId="0" applyNumberFormat="1" applyFont="1" applyFill="1"/>
    <xf numFmtId="10" fontId="0" fillId="14" borderId="0" xfId="0" applyNumberFormat="1" applyFill="1"/>
    <xf numFmtId="0" fontId="10" fillId="12" borderId="0" xfId="0" applyFont="1" applyFill="1"/>
    <xf numFmtId="0" fontId="43" fillId="15" borderId="0" xfId="0" applyFont="1" applyFill="1"/>
    <xf numFmtId="2" fontId="43" fillId="15" borderId="0" xfId="0" applyNumberFormat="1" applyFont="1" applyFill="1"/>
    <xf numFmtId="169" fontId="43" fillId="15" borderId="0" xfId="0" applyNumberFormat="1" applyFont="1" applyFill="1"/>
    <xf numFmtId="169" fontId="43" fillId="15" borderId="0" xfId="0" applyNumberFormat="1" applyFont="1" applyFill="1" applyAlignment="1">
      <alignment horizontal="center"/>
    </xf>
    <xf numFmtId="14" fontId="43" fillId="15" borderId="0" xfId="0" applyNumberFormat="1" applyFont="1" applyFill="1"/>
    <xf numFmtId="2" fontId="43" fillId="15" borderId="4" xfId="0" applyNumberFormat="1" applyFont="1" applyFill="1" applyBorder="1"/>
    <xf numFmtId="14" fontId="18" fillId="15" borderId="0" xfId="0" applyNumberFormat="1" applyFont="1" applyFill="1"/>
    <xf numFmtId="169" fontId="18" fillId="15" borderId="0" xfId="0" applyNumberFormat="1" applyFont="1" applyFill="1" applyAlignment="1">
      <alignment horizontal="center"/>
    </xf>
    <xf numFmtId="0" fontId="43" fillId="15" borderId="4" xfId="0" applyFont="1" applyFill="1" applyBorder="1"/>
    <xf numFmtId="169" fontId="43" fillId="15" borderId="0" xfId="0" quotePrefix="1" applyNumberFormat="1" applyFont="1" applyFill="1"/>
    <xf numFmtId="0" fontId="12" fillId="0" borderId="0" xfId="0" applyFont="1" applyAlignment="1">
      <alignment wrapText="1"/>
    </xf>
    <xf numFmtId="0" fontId="43" fillId="0" borderId="0" xfId="0" applyFont="1"/>
    <xf numFmtId="14" fontId="9" fillId="0" borderId="0" xfId="0" applyNumberFormat="1" applyFont="1"/>
    <xf numFmtId="0" fontId="45" fillId="0" borderId="0" xfId="0" applyFont="1"/>
    <xf numFmtId="171" fontId="0" fillId="0" borderId="0" xfId="0" applyNumberFormat="1"/>
    <xf numFmtId="0" fontId="44" fillId="0" borderId="0" xfId="0" applyFont="1"/>
    <xf numFmtId="10" fontId="43" fillId="0" borderId="0" xfId="1" applyNumberFormat="1" applyFont="1"/>
    <xf numFmtId="173" fontId="43" fillId="0" borderId="0" xfId="0" applyNumberFormat="1" applyFont="1"/>
    <xf numFmtId="173" fontId="45" fillId="0" borderId="0" xfId="0" applyNumberFormat="1" applyFont="1"/>
    <xf numFmtId="0" fontId="43" fillId="0" borderId="11" xfId="0" applyFont="1" applyBorder="1"/>
    <xf numFmtId="171" fontId="43" fillId="0" borderId="0" xfId="0" applyNumberFormat="1" applyFont="1"/>
    <xf numFmtId="0" fontId="18" fillId="0" borderId="11" xfId="0" applyFont="1" applyBorder="1"/>
    <xf numFmtId="0" fontId="0" fillId="0" borderId="11" xfId="0" applyBorder="1"/>
    <xf numFmtId="0" fontId="18" fillId="0" borderId="12" xfId="0" applyFont="1" applyBorder="1"/>
    <xf numFmtId="0" fontId="0" fillId="0" borderId="12" xfId="0" applyBorder="1"/>
    <xf numFmtId="171" fontId="43" fillId="0" borderId="11" xfId="0" applyNumberFormat="1" applyFont="1" applyBorder="1"/>
    <xf numFmtId="0" fontId="43" fillId="0" borderId="12" xfId="0" applyFont="1" applyBorder="1"/>
    <xf numFmtId="0" fontId="44" fillId="0" borderId="12" xfId="0" applyFont="1" applyBorder="1"/>
    <xf numFmtId="171" fontId="43" fillId="0" borderId="12" xfId="0" applyNumberFormat="1" applyFont="1" applyBorder="1"/>
    <xf numFmtId="0" fontId="3" fillId="0" borderId="11" xfId="0" applyFont="1" applyBorder="1"/>
    <xf numFmtId="169" fontId="0" fillId="0" borderId="11" xfId="0" applyNumberFormat="1" applyBorder="1"/>
    <xf numFmtId="0" fontId="0" fillId="0" borderId="13" xfId="0" applyBorder="1"/>
    <xf numFmtId="0" fontId="18" fillId="0" borderId="13" xfId="0" applyFont="1" applyBorder="1"/>
    <xf numFmtId="1" fontId="46" fillId="0" borderId="0" xfId="2" applyNumberFormat="1" applyFont="1" applyAlignment="1">
      <alignment horizontal="center" vertical="top"/>
    </xf>
    <xf numFmtId="2" fontId="46" fillId="0" borderId="0" xfId="2" applyNumberFormat="1" applyFont="1" applyAlignment="1">
      <alignment horizontal="center" vertical="top"/>
    </xf>
    <xf numFmtId="167" fontId="18" fillId="0" borderId="0" xfId="0" applyNumberFormat="1" applyFont="1"/>
    <xf numFmtId="0" fontId="12" fillId="0" borderId="0" xfId="0" applyFont="1" applyAlignment="1">
      <alignment horizontal="center"/>
    </xf>
    <xf numFmtId="0" fontId="18" fillId="0" borderId="0" xfId="0" applyFont="1" applyAlignment="1">
      <alignment horizontal="center"/>
    </xf>
    <xf numFmtId="0" fontId="12" fillId="0" borderId="4" xfId="0" applyFont="1" applyBorder="1" applyAlignment="1">
      <alignment horizontal="center"/>
    </xf>
    <xf numFmtId="0" fontId="0" fillId="16" borderId="13" xfId="0" applyFill="1" applyBorder="1"/>
    <xf numFmtId="0" fontId="0" fillId="16" borderId="0" xfId="0" applyFill="1"/>
    <xf numFmtId="14" fontId="0" fillId="16" borderId="0" xfId="0" applyNumberFormat="1" applyFill="1"/>
    <xf numFmtId="2" fontId="0" fillId="16" borderId="0" xfId="0" applyNumberFormat="1" applyFill="1"/>
    <xf numFmtId="0" fontId="18" fillId="17" borderId="13" xfId="0" applyFont="1" applyFill="1" applyBorder="1"/>
    <xf numFmtId="0" fontId="0" fillId="17" borderId="13" xfId="0" applyFill="1" applyBorder="1"/>
    <xf numFmtId="0" fontId="0" fillId="17" borderId="0" xfId="0" applyFill="1"/>
    <xf numFmtId="1" fontId="46" fillId="0" borderId="6" xfId="2" applyNumberFormat="1" applyFont="1" applyBorder="1" applyAlignment="1">
      <alignment horizontal="center" vertical="top"/>
    </xf>
    <xf numFmtId="2" fontId="46" fillId="0" borderId="5" xfId="2" applyNumberFormat="1" applyFont="1" applyBorder="1" applyAlignment="1">
      <alignment horizontal="center" vertical="top"/>
    </xf>
    <xf numFmtId="167" fontId="46" fillId="0" borderId="5" xfId="2" applyNumberFormat="1" applyFont="1" applyBorder="1" applyAlignment="1">
      <alignment horizontal="center" vertical="top"/>
    </xf>
    <xf numFmtId="2" fontId="46" fillId="0" borderId="4" xfId="2" applyNumberFormat="1" applyFont="1" applyBorder="1" applyAlignment="1">
      <alignment horizontal="center" vertical="top"/>
    </xf>
    <xf numFmtId="2" fontId="46" fillId="17" borderId="5" xfId="2" applyNumberFormat="1" applyFont="1" applyFill="1" applyBorder="1" applyAlignment="1">
      <alignment horizontal="center" vertical="top"/>
    </xf>
    <xf numFmtId="2" fontId="46" fillId="17" borderId="4" xfId="2" applyNumberFormat="1" applyFont="1" applyFill="1" applyBorder="1" applyAlignment="1">
      <alignment horizontal="center" vertical="top"/>
    </xf>
    <xf numFmtId="2" fontId="46" fillId="9" borderId="5" xfId="2" applyNumberFormat="1" applyFont="1" applyFill="1" applyBorder="1" applyAlignment="1">
      <alignment horizontal="center" vertical="top"/>
    </xf>
    <xf numFmtId="2" fontId="46" fillId="9" borderId="4" xfId="2" applyNumberFormat="1" applyFont="1" applyFill="1" applyBorder="1" applyAlignment="1">
      <alignment horizontal="center" vertical="top"/>
    </xf>
    <xf numFmtId="0" fontId="0" fillId="9" borderId="13" xfId="0" applyFill="1" applyBorder="1"/>
    <xf numFmtId="1" fontId="46" fillId="0" borderId="0" xfId="2" applyNumberFormat="1" applyFont="1" applyAlignment="1">
      <alignment vertical="top"/>
    </xf>
    <xf numFmtId="2" fontId="46" fillId="0" borderId="0" xfId="2" applyNumberFormat="1" applyFont="1" applyAlignment="1">
      <alignment vertical="top"/>
    </xf>
    <xf numFmtId="167" fontId="46" fillId="0" borderId="0" xfId="2" applyNumberFormat="1" applyFont="1" applyAlignment="1">
      <alignment vertical="top"/>
    </xf>
    <xf numFmtId="167" fontId="34" fillId="0" borderId="10" xfId="0" applyNumberFormat="1" applyFont="1" applyBorder="1"/>
    <xf numFmtId="167" fontId="34" fillId="0" borderId="0" xfId="0" applyNumberFormat="1" applyFont="1"/>
    <xf numFmtId="0" fontId="1" fillId="0" borderId="0" xfId="0" applyFont="1" applyAlignment="1">
      <alignment vertical="center" wrapText="1"/>
    </xf>
    <xf numFmtId="14" fontId="12" fillId="0" borderId="0" xfId="0" applyNumberFormat="1" applyFont="1"/>
    <xf numFmtId="0" fontId="0" fillId="0" borderId="14" xfId="0" applyBorder="1"/>
    <xf numFmtId="2" fontId="0" fillId="0" borderId="14" xfId="0" applyNumberFormat="1" applyBorder="1"/>
    <xf numFmtId="14" fontId="0" fillId="0" borderId="14" xfId="0" applyNumberFormat="1" applyBorder="1"/>
    <xf numFmtId="0" fontId="36" fillId="0" borderId="13" xfId="0" applyFont="1" applyBorder="1"/>
    <xf numFmtId="0" fontId="18" fillId="0" borderId="5" xfId="0" applyFont="1" applyBorder="1"/>
    <xf numFmtId="171" fontId="41" fillId="0" borderId="0" xfId="0" applyNumberFormat="1" applyFont="1"/>
    <xf numFmtId="0" fontId="13" fillId="0" borderId="0" xfId="0" applyFont="1"/>
    <xf numFmtId="171" fontId="9" fillId="0" borderId="0" xfId="0" applyNumberFormat="1" applyFont="1"/>
    <xf numFmtId="167" fontId="47" fillId="0" borderId="0" xfId="2" applyNumberFormat="1" applyFont="1" applyAlignment="1">
      <alignment vertical="top"/>
    </xf>
    <xf numFmtId="2" fontId="47" fillId="0" borderId="0" xfId="2" applyNumberFormat="1" applyFont="1" applyAlignment="1">
      <alignment vertical="top"/>
    </xf>
    <xf numFmtId="0" fontId="48" fillId="0" borderId="13" xfId="0" applyFont="1" applyBorder="1"/>
    <xf numFmtId="0" fontId="49" fillId="0" borderId="13" xfId="0" applyFont="1" applyBorder="1"/>
    <xf numFmtId="0" fontId="48" fillId="0" borderId="5" xfId="0" applyFont="1" applyBorder="1"/>
    <xf numFmtId="1" fontId="46" fillId="16" borderId="6" xfId="2" applyNumberFormat="1" applyFont="1" applyFill="1" applyBorder="1" applyAlignment="1">
      <alignment horizontal="center" vertical="top"/>
    </xf>
    <xf numFmtId="2" fontId="46" fillId="16" borderId="5" xfId="2" applyNumberFormat="1" applyFont="1" applyFill="1" applyBorder="1" applyAlignment="1">
      <alignment horizontal="center" vertical="top"/>
    </xf>
    <xf numFmtId="167" fontId="46" fillId="16" borderId="5" xfId="2" applyNumberFormat="1" applyFont="1" applyFill="1" applyBorder="1" applyAlignment="1">
      <alignment horizontal="center" vertical="top"/>
    </xf>
    <xf numFmtId="2" fontId="46" fillId="16" borderId="4" xfId="2" applyNumberFormat="1" applyFont="1" applyFill="1" applyBorder="1" applyAlignment="1">
      <alignment horizontal="center" vertical="top"/>
    </xf>
    <xf numFmtId="0" fontId="48" fillId="16" borderId="13" xfId="0" applyFont="1" applyFill="1" applyBorder="1"/>
    <xf numFmtId="0" fontId="1" fillId="16" borderId="0" xfId="0" applyFont="1" applyFill="1" applyAlignment="1">
      <alignment vertical="center"/>
    </xf>
    <xf numFmtId="1" fontId="46" fillId="18" borderId="6" xfId="2" applyNumberFormat="1" applyFont="1" applyFill="1" applyBorder="1" applyAlignment="1">
      <alignment horizontal="center" vertical="top"/>
    </xf>
    <xf numFmtId="2" fontId="46" fillId="18" borderId="5" xfId="2" applyNumberFormat="1" applyFont="1" applyFill="1" applyBorder="1" applyAlignment="1">
      <alignment horizontal="center" vertical="top"/>
    </xf>
    <xf numFmtId="167" fontId="46" fillId="18" borderId="5" xfId="2" applyNumberFormat="1" applyFont="1" applyFill="1" applyBorder="1" applyAlignment="1">
      <alignment horizontal="center" vertical="top"/>
    </xf>
    <xf numFmtId="2" fontId="46" fillId="18" borderId="4" xfId="2" applyNumberFormat="1" applyFont="1" applyFill="1" applyBorder="1" applyAlignment="1">
      <alignment horizontal="center" vertical="top"/>
    </xf>
    <xf numFmtId="0" fontId="48" fillId="18" borderId="13" xfId="0" applyFont="1" applyFill="1" applyBorder="1"/>
    <xf numFmtId="0" fontId="0" fillId="18" borderId="13" xfId="0" applyFill="1" applyBorder="1"/>
    <xf numFmtId="0" fontId="0" fillId="18" borderId="0" xfId="0" applyFill="1"/>
    <xf numFmtId="2" fontId="0" fillId="18" borderId="0" xfId="0" applyNumberFormat="1" applyFill="1"/>
    <xf numFmtId="14" fontId="0" fillId="18" borderId="0" xfId="0" applyNumberFormat="1" applyFill="1"/>
    <xf numFmtId="14" fontId="12" fillId="18" borderId="0" xfId="0" applyNumberFormat="1" applyFont="1" applyFill="1"/>
    <xf numFmtId="1" fontId="46" fillId="9" borderId="6" xfId="2" applyNumberFormat="1" applyFont="1" applyFill="1" applyBorder="1" applyAlignment="1">
      <alignment horizontal="center" vertical="top"/>
    </xf>
    <xf numFmtId="167" fontId="46" fillId="9" borderId="5" xfId="2" applyNumberFormat="1" applyFont="1" applyFill="1" applyBorder="1" applyAlignment="1">
      <alignment horizontal="center" vertical="top"/>
    </xf>
    <xf numFmtId="0" fontId="48" fillId="9" borderId="13" xfId="0" applyFont="1" applyFill="1" applyBorder="1"/>
    <xf numFmtId="2" fontId="0" fillId="9" borderId="0" xfId="0" applyNumberFormat="1" applyFill="1"/>
    <xf numFmtId="1" fontId="46" fillId="10" borderId="6" xfId="2" applyNumberFormat="1" applyFont="1" applyFill="1" applyBorder="1" applyAlignment="1">
      <alignment horizontal="center" vertical="top"/>
    </xf>
    <xf numFmtId="2" fontId="46" fillId="10" borderId="5" xfId="2" applyNumberFormat="1" applyFont="1" applyFill="1" applyBorder="1" applyAlignment="1">
      <alignment horizontal="center" vertical="top"/>
    </xf>
    <xf numFmtId="167" fontId="46" fillId="10" borderId="5" xfId="2" applyNumberFormat="1" applyFont="1" applyFill="1" applyBorder="1" applyAlignment="1">
      <alignment horizontal="center" vertical="top"/>
    </xf>
    <xf numFmtId="2" fontId="46" fillId="10" borderId="4" xfId="2" applyNumberFormat="1" applyFont="1" applyFill="1" applyBorder="1" applyAlignment="1">
      <alignment horizontal="center" vertical="top"/>
    </xf>
    <xf numFmtId="0" fontId="48" fillId="10" borderId="13" xfId="0" applyFont="1" applyFill="1" applyBorder="1"/>
    <xf numFmtId="0" fontId="0" fillId="10" borderId="13" xfId="0" applyFill="1" applyBorder="1"/>
    <xf numFmtId="2" fontId="0" fillId="10" borderId="0" xfId="0" applyNumberFormat="1" applyFill="1"/>
    <xf numFmtId="0" fontId="12" fillId="10" borderId="0" xfId="0" applyFont="1" applyFill="1"/>
    <xf numFmtId="0" fontId="2" fillId="10" borderId="0" xfId="0" applyFont="1" applyFill="1"/>
    <xf numFmtId="0" fontId="41" fillId="10" borderId="0" xfId="0" applyFont="1" applyFill="1"/>
    <xf numFmtId="1" fontId="46" fillId="19" borderId="6" xfId="2" applyNumberFormat="1" applyFont="1" applyFill="1" applyBorder="1" applyAlignment="1">
      <alignment horizontal="center" vertical="top"/>
    </xf>
    <xf numFmtId="2" fontId="46" fillId="19" borderId="5" xfId="2" applyNumberFormat="1" applyFont="1" applyFill="1" applyBorder="1" applyAlignment="1">
      <alignment horizontal="center" vertical="top"/>
    </xf>
    <xf numFmtId="167" fontId="46" fillId="19" borderId="5" xfId="2" applyNumberFormat="1" applyFont="1" applyFill="1" applyBorder="1" applyAlignment="1">
      <alignment horizontal="center" vertical="top"/>
    </xf>
    <xf numFmtId="2" fontId="46" fillId="19" borderId="4" xfId="2" applyNumberFormat="1" applyFont="1" applyFill="1" applyBorder="1" applyAlignment="1">
      <alignment horizontal="center" vertical="top"/>
    </xf>
    <xf numFmtId="0" fontId="48" fillId="19" borderId="13" xfId="0" applyFont="1" applyFill="1" applyBorder="1"/>
    <xf numFmtId="0" fontId="0" fillId="19" borderId="13" xfId="0" applyFill="1" applyBorder="1"/>
    <xf numFmtId="0" fontId="0" fillId="19" borderId="0" xfId="0" applyFill="1"/>
    <xf numFmtId="171" fontId="41" fillId="19" borderId="0" xfId="0" applyNumberFormat="1" applyFont="1" applyFill="1"/>
    <xf numFmtId="0" fontId="13" fillId="19" borderId="0" xfId="0" applyFont="1" applyFill="1"/>
    <xf numFmtId="14" fontId="0" fillId="19" borderId="0" xfId="0" applyNumberFormat="1" applyFill="1"/>
    <xf numFmtId="0" fontId="0" fillId="0" borderId="5" xfId="0" applyBorder="1"/>
    <xf numFmtId="1" fontId="46" fillId="16" borderId="0" xfId="2" applyNumberFormat="1" applyFont="1" applyFill="1" applyAlignment="1">
      <alignment vertical="top"/>
    </xf>
    <xf numFmtId="2" fontId="46" fillId="16" borderId="0" xfId="2" applyNumberFormat="1" applyFont="1" applyFill="1" applyAlignment="1">
      <alignment vertical="top"/>
    </xf>
    <xf numFmtId="167" fontId="46" fillId="16" borderId="0" xfId="2" applyNumberFormat="1" applyFont="1" applyFill="1" applyAlignment="1">
      <alignment vertical="top"/>
    </xf>
    <xf numFmtId="0" fontId="18" fillId="16" borderId="13" xfId="0" applyFont="1" applyFill="1" applyBorder="1"/>
    <xf numFmtId="14" fontId="12" fillId="16" borderId="0" xfId="0" applyNumberFormat="1" applyFont="1" applyFill="1"/>
    <xf numFmtId="1" fontId="46" fillId="18" borderId="0" xfId="2" applyNumberFormat="1" applyFont="1" applyFill="1" applyAlignment="1">
      <alignment vertical="top"/>
    </xf>
    <xf numFmtId="2" fontId="46" fillId="18" borderId="0" xfId="2" applyNumberFormat="1" applyFont="1" applyFill="1" applyAlignment="1">
      <alignment vertical="top"/>
    </xf>
    <xf numFmtId="167" fontId="46" fillId="18" borderId="0" xfId="2" applyNumberFormat="1" applyFont="1" applyFill="1" applyAlignment="1">
      <alignment vertical="top"/>
    </xf>
    <xf numFmtId="0" fontId="18" fillId="18" borderId="13" xfId="0" applyFont="1" applyFill="1" applyBorder="1"/>
    <xf numFmtId="1" fontId="46" fillId="9" borderId="0" xfId="2" applyNumberFormat="1" applyFont="1" applyFill="1" applyAlignment="1">
      <alignment vertical="top"/>
    </xf>
    <xf numFmtId="2" fontId="46" fillId="9" borderId="0" xfId="2" applyNumberFormat="1" applyFont="1" applyFill="1" applyAlignment="1">
      <alignment vertical="top"/>
    </xf>
    <xf numFmtId="167" fontId="46" fillId="9" borderId="0" xfId="2" applyNumberFormat="1" applyFont="1" applyFill="1" applyAlignment="1">
      <alignment vertical="top"/>
    </xf>
    <xf numFmtId="0" fontId="18" fillId="9" borderId="13" xfId="0" applyFont="1" applyFill="1" applyBorder="1"/>
    <xf numFmtId="0" fontId="12" fillId="9" borderId="0" xfId="0" applyFont="1" applyFill="1"/>
    <xf numFmtId="1" fontId="46" fillId="20" borderId="0" xfId="2" applyNumberFormat="1" applyFont="1" applyFill="1" applyAlignment="1">
      <alignment vertical="top"/>
    </xf>
    <xf numFmtId="2" fontId="46" fillId="20" borderId="0" xfId="2" applyNumberFormat="1" applyFont="1" applyFill="1" applyAlignment="1">
      <alignment vertical="top"/>
    </xf>
    <xf numFmtId="167" fontId="46" fillId="20" borderId="0" xfId="2" applyNumberFormat="1" applyFont="1" applyFill="1" applyAlignment="1">
      <alignment vertical="top"/>
    </xf>
    <xf numFmtId="0" fontId="18" fillId="20" borderId="13" xfId="0" applyFont="1" applyFill="1" applyBorder="1"/>
    <xf numFmtId="0" fontId="0" fillId="20" borderId="13" xfId="0" applyFill="1" applyBorder="1"/>
    <xf numFmtId="0" fontId="0" fillId="20" borderId="0" xfId="0" applyFill="1"/>
    <xf numFmtId="171" fontId="41" fillId="20" borderId="0" xfId="0" applyNumberFormat="1" applyFont="1" applyFill="1"/>
    <xf numFmtId="2" fontId="0" fillId="20" borderId="0" xfId="0" applyNumberFormat="1" applyFill="1"/>
    <xf numFmtId="171" fontId="0" fillId="20" borderId="0" xfId="0" applyNumberFormat="1" applyFill="1"/>
    <xf numFmtId="0" fontId="13" fillId="20" borderId="0" xfId="0" applyFont="1" applyFill="1"/>
    <xf numFmtId="14" fontId="0" fillId="20" borderId="0" xfId="0" applyNumberFormat="1" applyFill="1"/>
    <xf numFmtId="1" fontId="46" fillId="10" borderId="0" xfId="2" applyNumberFormat="1" applyFont="1" applyFill="1" applyAlignment="1">
      <alignment vertical="top"/>
    </xf>
    <xf numFmtId="2" fontId="46" fillId="10" borderId="0" xfId="2" applyNumberFormat="1" applyFont="1" applyFill="1" applyAlignment="1">
      <alignment vertical="top"/>
    </xf>
    <xf numFmtId="167" fontId="46" fillId="10" borderId="0" xfId="2" applyNumberFormat="1" applyFont="1" applyFill="1" applyAlignment="1">
      <alignment vertical="top"/>
    </xf>
    <xf numFmtId="0" fontId="18" fillId="10" borderId="13" xfId="0" applyFont="1" applyFill="1" applyBorder="1"/>
    <xf numFmtId="0" fontId="41" fillId="21" borderId="0" xfId="0" applyFont="1" applyFill="1"/>
    <xf numFmtId="0" fontId="0" fillId="21" borderId="0" xfId="0" applyFill="1"/>
    <xf numFmtId="0" fontId="0" fillId="3" borderId="0" xfId="0" applyFill="1"/>
    <xf numFmtId="0" fontId="1" fillId="21" borderId="0" xfId="0" applyFont="1" applyFill="1"/>
    <xf numFmtId="0" fontId="0" fillId="0" borderId="0" xfId="0" applyAlignment="1">
      <alignment vertical="top"/>
    </xf>
    <xf numFmtId="0" fontId="0" fillId="0" borderId="11" xfId="0" applyBorder="1" applyAlignment="1">
      <alignment vertical="top"/>
    </xf>
    <xf numFmtId="174" fontId="0" fillId="0" borderId="0" xfId="0" applyNumberFormat="1" applyAlignment="1">
      <alignment vertical="top"/>
    </xf>
    <xf numFmtId="1" fontId="0" fillId="0" borderId="0" xfId="0" applyNumberFormat="1" applyAlignment="1">
      <alignment vertical="top"/>
    </xf>
    <xf numFmtId="2" fontId="0" fillId="0" borderId="11" xfId="0" applyNumberFormat="1" applyBorder="1" applyAlignment="1">
      <alignment vertical="top" wrapText="1"/>
    </xf>
    <xf numFmtId="2" fontId="0" fillId="0" borderId="0" xfId="0" applyNumberFormat="1" applyAlignment="1">
      <alignment vertical="top"/>
    </xf>
    <xf numFmtId="2" fontId="0" fillId="0" borderId="0" xfId="0" applyNumberFormat="1" applyAlignment="1">
      <alignment vertical="top" wrapText="1"/>
    </xf>
    <xf numFmtId="2" fontId="0" fillId="0" borderId="0" xfId="0" applyNumberFormat="1" applyAlignment="1">
      <alignment horizontal="center" vertical="top" wrapText="1"/>
    </xf>
    <xf numFmtId="0" fontId="9" fillId="0" borderId="15" xfId="0" applyFont="1" applyBorder="1" applyAlignment="1">
      <alignment vertical="top"/>
    </xf>
    <xf numFmtId="0" fontId="10" fillId="0" borderId="16" xfId="0" applyFont="1" applyBorder="1" applyAlignment="1">
      <alignment vertical="top"/>
    </xf>
    <xf numFmtId="0" fontId="10" fillId="0" borderId="17" xfId="0" applyFont="1" applyBorder="1"/>
    <xf numFmtId="174" fontId="0" fillId="0" borderId="11" xfId="0" applyNumberFormat="1" applyBorder="1" applyAlignment="1">
      <alignment vertical="top" wrapText="1"/>
    </xf>
    <xf numFmtId="1" fontId="0" fillId="0" borderId="11" xfId="0" applyNumberFormat="1" applyBorder="1" applyAlignment="1">
      <alignment vertical="top" wrapText="1"/>
    </xf>
    <xf numFmtId="0" fontId="0" fillId="0" borderId="11" xfId="0" applyBorder="1" applyAlignment="1">
      <alignment vertical="top" wrapText="1"/>
    </xf>
    <xf numFmtId="2" fontId="0" fillId="0" borderId="7" xfId="0" applyNumberFormat="1" applyBorder="1" applyAlignment="1">
      <alignment vertical="top" wrapText="1"/>
    </xf>
    <xf numFmtId="2" fontId="0" fillId="3" borderId="9" xfId="0" applyNumberFormat="1" applyFill="1" applyBorder="1" applyAlignment="1">
      <alignment vertical="top" wrapText="1"/>
    </xf>
    <xf numFmtId="2" fontId="0" fillId="0" borderId="9" xfId="0" applyNumberFormat="1" applyBorder="1" applyAlignment="1">
      <alignment vertical="top"/>
    </xf>
    <xf numFmtId="0" fontId="9" fillId="0" borderId="18" xfId="0" applyFont="1" applyBorder="1" applyAlignment="1">
      <alignment vertical="top" wrapText="1"/>
    </xf>
    <xf numFmtId="2" fontId="25" fillId="0" borderId="4" xfId="0" applyNumberFormat="1" applyFont="1" applyBorder="1" applyAlignment="1">
      <alignment vertical="top" wrapText="1"/>
    </xf>
    <xf numFmtId="0" fontId="9" fillId="0" borderId="0" xfId="0" applyFont="1" applyAlignment="1">
      <alignment vertical="center" wrapText="1"/>
    </xf>
    <xf numFmtId="0" fontId="9" fillId="0" borderId="19" xfId="0" applyFont="1" applyBorder="1" applyAlignment="1">
      <alignment wrapText="1"/>
    </xf>
    <xf numFmtId="0" fontId="0" fillId="22" borderId="0" xfId="0" applyFill="1"/>
    <xf numFmtId="2" fontId="0" fillId="22" borderId="0" xfId="0" applyNumberFormat="1" applyFill="1"/>
    <xf numFmtId="0" fontId="3" fillId="0" borderId="18" xfId="0" applyFont="1" applyBorder="1" applyAlignment="1">
      <alignment vertical="top"/>
    </xf>
    <xf numFmtId="0" fontId="3" fillId="0" borderId="0" xfId="0" applyFont="1" applyAlignment="1">
      <alignment vertical="top"/>
    </xf>
    <xf numFmtId="2" fontId="9" fillId="0" borderId="0" xfId="0" applyNumberFormat="1" applyFont="1" applyAlignment="1">
      <alignment vertical="top"/>
    </xf>
    <xf numFmtId="2" fontId="9" fillId="0" borderId="19" xfId="0" applyNumberFormat="1" applyFont="1" applyBorder="1"/>
    <xf numFmtId="2" fontId="9" fillId="0" borderId="12" xfId="0" applyNumberFormat="1" applyFont="1" applyBorder="1"/>
    <xf numFmtId="2" fontId="9" fillId="0" borderId="21" xfId="0" applyNumberFormat="1" applyFont="1" applyBorder="1"/>
    <xf numFmtId="0" fontId="9" fillId="0" borderId="0" xfId="0" applyFont="1" applyAlignment="1">
      <alignment wrapText="1"/>
    </xf>
    <xf numFmtId="174" fontId="10" fillId="0" borderId="0" xfId="0" applyNumberFormat="1" applyFont="1"/>
    <xf numFmtId="0" fontId="51" fillId="0" borderId="0" xfId="0" applyFont="1"/>
    <xf numFmtId="2" fontId="9" fillId="0" borderId="0" xfId="0" applyNumberFormat="1" applyFont="1"/>
    <xf numFmtId="0" fontId="10" fillId="0" borderId="12" xfId="0" applyFont="1" applyBorder="1"/>
    <xf numFmtId="0" fontId="1" fillId="0" borderId="12" xfId="0" applyFont="1" applyBorder="1"/>
    <xf numFmtId="0" fontId="0" fillId="0" borderId="1" xfId="0" applyBorder="1"/>
    <xf numFmtId="0" fontId="0" fillId="0" borderId="3" xfId="0" applyBorder="1"/>
    <xf numFmtId="0" fontId="0" fillId="0" borderId="7" xfId="0" applyBorder="1"/>
    <xf numFmtId="0" fontId="0" fillId="0" borderId="9" xfId="0" applyBorder="1"/>
    <xf numFmtId="0" fontId="1" fillId="0" borderId="3" xfId="0" applyFont="1" applyBorder="1"/>
    <xf numFmtId="0" fontId="0" fillId="0" borderId="6" xfId="0" applyBorder="1"/>
    <xf numFmtId="0" fontId="0" fillId="0" borderId="4" xfId="0" applyBorder="1"/>
    <xf numFmtId="0" fontId="1" fillId="0" borderId="6" xfId="0" applyFont="1" applyBorder="1"/>
    <xf numFmtId="0" fontId="10" fillId="0" borderId="7" xfId="0" applyFont="1" applyBorder="1"/>
    <xf numFmtId="0" fontId="1" fillId="0" borderId="9" xfId="0" applyFont="1" applyBorder="1"/>
    <xf numFmtId="14" fontId="0" fillId="23" borderId="0" xfId="0" applyNumberFormat="1" applyFill="1"/>
    <xf numFmtId="0" fontId="0" fillId="23" borderId="0" xfId="0" applyFill="1"/>
    <xf numFmtId="0" fontId="2" fillId="0" borderId="0" xfId="3" applyFont="1"/>
    <xf numFmtId="0" fontId="2" fillId="0" borderId="0" xfId="3" applyFont="1" applyAlignment="1">
      <alignment wrapText="1"/>
    </xf>
    <xf numFmtId="0" fontId="2" fillId="5" borderId="0" xfId="3" applyFont="1" applyFill="1" applyAlignment="1">
      <alignment wrapText="1"/>
    </xf>
    <xf numFmtId="0" fontId="10" fillId="0" borderId="13" xfId="0" applyFont="1" applyBorder="1"/>
    <xf numFmtId="0" fontId="0" fillId="24" borderId="0" xfId="0" applyFill="1"/>
    <xf numFmtId="0" fontId="10" fillId="3" borderId="22" xfId="0" applyFont="1" applyFill="1" applyBorder="1"/>
    <xf numFmtId="0" fontId="10" fillId="0" borderId="8" xfId="0" applyFont="1" applyBorder="1"/>
    <xf numFmtId="0" fontId="10" fillId="3" borderId="13" xfId="0" applyFont="1" applyFill="1" applyBorder="1"/>
    <xf numFmtId="0" fontId="54" fillId="0" borderId="0" xfId="0" applyFont="1"/>
    <xf numFmtId="0" fontId="55" fillId="0" borderId="0" xfId="0" applyFont="1"/>
    <xf numFmtId="0" fontId="0" fillId="0" borderId="0" xfId="0" applyAlignment="1">
      <alignment horizontal="right"/>
    </xf>
    <xf numFmtId="0" fontId="56" fillId="0" borderId="13" xfId="0" applyFont="1" applyBorder="1"/>
    <xf numFmtId="0" fontId="56" fillId="0" borderId="8" xfId="0" applyFont="1" applyBorder="1"/>
    <xf numFmtId="0" fontId="10" fillId="0" borderId="23" xfId="0" applyFont="1" applyBorder="1"/>
    <xf numFmtId="0" fontId="0" fillId="3" borderId="0" xfId="0" applyFill="1" applyAlignment="1">
      <alignment horizontal="right"/>
    </xf>
    <xf numFmtId="0" fontId="56" fillId="3" borderId="22" xfId="0" applyFont="1" applyFill="1" applyBorder="1"/>
    <xf numFmtId="0" fontId="56" fillId="3" borderId="13" xfId="0" applyFont="1" applyFill="1" applyBorder="1"/>
    <xf numFmtId="0" fontId="0" fillId="25" borderId="0" xfId="0" applyFill="1"/>
    <xf numFmtId="0" fontId="18" fillId="0" borderId="0" xfId="3" applyAlignment="1">
      <alignment horizontal="left" vertical="center" wrapText="1"/>
    </xf>
    <xf numFmtId="0" fontId="0" fillId="7" borderId="11" xfId="0" applyFill="1" applyBorder="1"/>
    <xf numFmtId="14" fontId="0" fillId="7" borderId="11" xfId="0" applyNumberFormat="1" applyFill="1" applyBorder="1"/>
    <xf numFmtId="0" fontId="0" fillId="7" borderId="0" xfId="0" applyFill="1"/>
    <xf numFmtId="14" fontId="0" fillId="7" borderId="0" xfId="0" applyNumberFormat="1" applyFill="1"/>
    <xf numFmtId="0" fontId="1" fillId="7" borderId="10" xfId="0" applyFont="1" applyFill="1" applyBorder="1"/>
    <xf numFmtId="14" fontId="1" fillId="7" borderId="10" xfId="0" applyNumberFormat="1" applyFont="1" applyFill="1" applyBorder="1"/>
    <xf numFmtId="0" fontId="10" fillId="7" borderId="11" xfId="0" applyFont="1" applyFill="1" applyBorder="1"/>
    <xf numFmtId="0" fontId="1" fillId="7" borderId="0" xfId="0" applyFont="1" applyFill="1"/>
    <xf numFmtId="14" fontId="1" fillId="7" borderId="0" xfId="0" applyNumberFormat="1" applyFont="1" applyFill="1"/>
    <xf numFmtId="0" fontId="10" fillId="7" borderId="0" xfId="0" applyFont="1" applyFill="1"/>
    <xf numFmtId="0" fontId="10" fillId="0" borderId="1" xfId="0" applyFont="1" applyBorder="1"/>
    <xf numFmtId="0" fontId="10" fillId="7" borderId="10" xfId="0" applyFont="1" applyFill="1" applyBorder="1"/>
    <xf numFmtId="10" fontId="0" fillId="0" borderId="0" xfId="1" applyNumberFormat="1" applyFont="1"/>
    <xf numFmtId="14" fontId="10" fillId="7" borderId="0" xfId="0" applyNumberFormat="1" applyFont="1" applyFill="1"/>
    <xf numFmtId="14" fontId="10" fillId="7" borderId="10" xfId="0" applyNumberFormat="1" applyFont="1" applyFill="1" applyBorder="1"/>
    <xf numFmtId="14" fontId="10" fillId="7" borderId="11" xfId="0" applyNumberFormat="1" applyFont="1" applyFill="1" applyBorder="1"/>
    <xf numFmtId="0" fontId="10" fillId="0" borderId="3" xfId="0" applyFont="1" applyBorder="1"/>
    <xf numFmtId="0" fontId="10" fillId="0" borderId="6" xfId="0" applyFont="1" applyBorder="1"/>
    <xf numFmtId="0" fontId="0" fillId="7" borderId="6" xfId="0" applyFill="1" applyBorder="1"/>
    <xf numFmtId="0" fontId="0" fillId="7" borderId="7" xfId="0" applyFill="1" applyBorder="1"/>
    <xf numFmtId="0" fontId="0" fillId="7" borderId="9" xfId="0" applyFill="1" applyBorder="1"/>
    <xf numFmtId="0" fontId="0" fillId="7" borderId="4" xfId="0" applyFill="1" applyBorder="1"/>
    <xf numFmtId="0" fontId="10" fillId="0" borderId="9" xfId="0" applyFont="1" applyBorder="1"/>
    <xf numFmtId="14" fontId="0" fillId="3" borderId="0" xfId="0" applyNumberFormat="1" applyFill="1"/>
    <xf numFmtId="0" fontId="25" fillId="0" borderId="12" xfId="0" applyFont="1" applyBorder="1"/>
    <xf numFmtId="0" fontId="1" fillId="0" borderId="11" xfId="0" applyFont="1" applyBorder="1"/>
    <xf numFmtId="0" fontId="10" fillId="3" borderId="1" xfId="0" applyFont="1" applyFill="1" applyBorder="1"/>
    <xf numFmtId="0" fontId="10" fillId="3" borderId="7" xfId="0" applyFont="1" applyFill="1" applyBorder="1"/>
    <xf numFmtId="0" fontId="10" fillId="0" borderId="4" xfId="0" applyFont="1" applyBorder="1"/>
    <xf numFmtId="0" fontId="10" fillId="3" borderId="4" xfId="0" applyFont="1" applyFill="1" applyBorder="1"/>
    <xf numFmtId="0" fontId="0" fillId="3" borderId="1" xfId="0" applyFill="1" applyBorder="1"/>
    <xf numFmtId="0" fontId="0" fillId="3" borderId="10" xfId="0" applyFill="1" applyBorder="1"/>
    <xf numFmtId="14" fontId="0" fillId="3" borderId="10" xfId="0" applyNumberFormat="1" applyFill="1" applyBorder="1"/>
    <xf numFmtId="0" fontId="0" fillId="3" borderId="3" xfId="0" applyFill="1" applyBorder="1"/>
    <xf numFmtId="0" fontId="0" fillId="3" borderId="4" xfId="0" applyFill="1" applyBorder="1"/>
    <xf numFmtId="0" fontId="0" fillId="3" borderId="6" xfId="0" applyFill="1" applyBorder="1"/>
    <xf numFmtId="0" fontId="0" fillId="3" borderId="7" xfId="0" applyFill="1" applyBorder="1"/>
    <xf numFmtId="0" fontId="0" fillId="3" borderId="11" xfId="0" applyFill="1" applyBorder="1"/>
    <xf numFmtId="14" fontId="0" fillId="3" borderId="11" xfId="0" applyNumberFormat="1" applyFill="1" applyBorder="1"/>
    <xf numFmtId="0" fontId="0" fillId="3" borderId="9" xfId="0" applyFill="1" applyBorder="1"/>
    <xf numFmtId="0" fontId="25" fillId="17" borderId="0" xfId="0" applyFont="1" applyFill="1"/>
    <xf numFmtId="0" fontId="25" fillId="3" borderId="0" xfId="0" applyFont="1" applyFill="1"/>
    <xf numFmtId="14" fontId="25" fillId="0" borderId="0" xfId="0" applyNumberFormat="1" applyFont="1"/>
    <xf numFmtId="0" fontId="10" fillId="17" borderId="0" xfId="0" applyFont="1" applyFill="1"/>
    <xf numFmtId="1" fontId="10" fillId="0" borderId="0" xfId="0" applyNumberFormat="1" applyFont="1"/>
    <xf numFmtId="169" fontId="10" fillId="3" borderId="0" xfId="0" applyNumberFormat="1" applyFont="1" applyFill="1"/>
    <xf numFmtId="169" fontId="10" fillId="0" borderId="0" xfId="0" applyNumberFormat="1" applyFont="1"/>
    <xf numFmtId="169" fontId="25" fillId="3" borderId="0" xfId="0" applyNumberFormat="1" applyFont="1" applyFill="1"/>
    <xf numFmtId="1" fontId="10" fillId="0" borderId="12" xfId="0" applyNumberFormat="1" applyFont="1" applyBorder="1"/>
    <xf numFmtId="2" fontId="10" fillId="0" borderId="12" xfId="0" applyNumberFormat="1" applyFont="1" applyBorder="1"/>
    <xf numFmtId="169" fontId="10" fillId="3" borderId="12" xfId="0" applyNumberFormat="1" applyFont="1" applyFill="1" applyBorder="1"/>
    <xf numFmtId="169" fontId="10" fillId="0" borderId="12" xfId="0" applyNumberFormat="1" applyFont="1" applyBorder="1"/>
    <xf numFmtId="14" fontId="10" fillId="0" borderId="12" xfId="0" applyNumberFormat="1" applyFont="1" applyBorder="1"/>
    <xf numFmtId="0" fontId="0" fillId="26" borderId="0" xfId="0" applyFill="1"/>
    <xf numFmtId="0" fontId="0" fillId="27" borderId="0" xfId="0" applyFill="1"/>
    <xf numFmtId="0" fontId="25" fillId="3" borderId="12" xfId="0" applyFont="1" applyFill="1" applyBorder="1"/>
    <xf numFmtId="1" fontId="25" fillId="0" borderId="0" xfId="0" applyNumberFormat="1" applyFont="1"/>
    <xf numFmtId="175" fontId="25" fillId="0" borderId="0" xfId="0" applyNumberFormat="1" applyFont="1"/>
    <xf numFmtId="0" fontId="25" fillId="0" borderId="0" xfId="0" applyFont="1" applyAlignment="1">
      <alignment horizontal="center" vertical="center"/>
    </xf>
    <xf numFmtId="175" fontId="25" fillId="0" borderId="0" xfId="0" applyNumberFormat="1" applyFont="1" applyAlignment="1">
      <alignment horizontal="left"/>
    </xf>
    <xf numFmtId="1" fontId="25" fillId="0" borderId="0" xfId="0" applyNumberFormat="1" applyFont="1" applyAlignment="1">
      <alignment horizontal="left"/>
    </xf>
    <xf numFmtId="169" fontId="25" fillId="0" borderId="0" xfId="0" applyNumberFormat="1" applyFont="1" applyAlignment="1">
      <alignment horizontal="center"/>
    </xf>
    <xf numFmtId="14" fontId="2" fillId="0" borderId="0" xfId="0" applyNumberFormat="1" applyFont="1" applyAlignment="1">
      <alignment horizontal="left"/>
    </xf>
    <xf numFmtId="0" fontId="25" fillId="0" borderId="0" xfId="0" applyFont="1" applyAlignment="1">
      <alignment horizontal="center"/>
    </xf>
    <xf numFmtId="0" fontId="10" fillId="0" borderId="0" xfId="0" applyFont="1" applyAlignment="1">
      <alignment horizontal="left"/>
    </xf>
    <xf numFmtId="1" fontId="10" fillId="0" borderId="0" xfId="0" applyNumberFormat="1" applyFont="1" applyAlignment="1">
      <alignment horizontal="left"/>
    </xf>
    <xf numFmtId="175" fontId="10" fillId="0" borderId="0" xfId="0" applyNumberFormat="1" applyFont="1" applyAlignment="1">
      <alignment horizontal="left"/>
    </xf>
    <xf numFmtId="0" fontId="10" fillId="0" borderId="0" xfId="0" applyFont="1" applyAlignment="1">
      <alignment horizontal="left" vertical="center"/>
    </xf>
    <xf numFmtId="169" fontId="31" fillId="0" borderId="0" xfId="0" applyNumberFormat="1" applyFont="1" applyAlignment="1">
      <alignment horizontal="left"/>
    </xf>
    <xf numFmtId="14" fontId="18" fillId="0" borderId="0" xfId="0" applyNumberFormat="1" applyFont="1" applyAlignment="1">
      <alignment horizontal="left"/>
    </xf>
    <xf numFmtId="0" fontId="31" fillId="0" borderId="0" xfId="0" applyFont="1" applyAlignment="1">
      <alignment horizontal="left"/>
    </xf>
    <xf numFmtId="0" fontId="57" fillId="0" borderId="0" xfId="2" applyFont="1" applyAlignment="1">
      <alignment horizontal="left"/>
    </xf>
    <xf numFmtId="0" fontId="59" fillId="0" borderId="0" xfId="4" applyFont="1" applyFill="1"/>
    <xf numFmtId="0" fontId="3" fillId="0" borderId="0" xfId="0" applyFont="1" applyAlignment="1">
      <alignment horizontal="left"/>
    </xf>
    <xf numFmtId="1" fontId="31" fillId="0" borderId="0" xfId="0" applyNumberFormat="1" applyFont="1" applyAlignment="1">
      <alignment horizontal="left"/>
    </xf>
    <xf numFmtId="0" fontId="43" fillId="0" borderId="0" xfId="4" applyFont="1" applyFill="1"/>
    <xf numFmtId="0" fontId="31" fillId="0" borderId="0" xfId="0" quotePrefix="1" applyFont="1" applyAlignment="1">
      <alignment horizontal="left"/>
    </xf>
    <xf numFmtId="0" fontId="3" fillId="3" borderId="0" xfId="0" applyFont="1" applyFill="1" applyAlignment="1">
      <alignment horizontal="left"/>
    </xf>
    <xf numFmtId="0" fontId="3" fillId="0" borderId="0" xfId="0" applyFont="1" applyAlignment="1">
      <alignment horizontal="left" vertical="center"/>
    </xf>
    <xf numFmtId="175" fontId="3" fillId="0" borderId="0" xfId="0" applyNumberFormat="1" applyFont="1" applyAlignment="1">
      <alignment horizontal="left"/>
    </xf>
    <xf numFmtId="10" fontId="31" fillId="0" borderId="0" xfId="0" applyNumberFormat="1" applyFont="1" applyAlignment="1">
      <alignment horizontal="right"/>
    </xf>
    <xf numFmtId="172" fontId="31" fillId="0" borderId="0" xfId="1" applyNumberFormat="1" applyFont="1" applyFill="1" applyAlignment="1">
      <alignment horizontal="left"/>
    </xf>
    <xf numFmtId="2" fontId="31" fillId="0" borderId="0" xfId="0" applyNumberFormat="1" applyFont="1" applyAlignment="1">
      <alignment horizontal="left"/>
    </xf>
    <xf numFmtId="172" fontId="31" fillId="0" borderId="0" xfId="0" applyNumberFormat="1" applyFont="1" applyAlignment="1">
      <alignment horizontal="left"/>
    </xf>
    <xf numFmtId="0" fontId="18" fillId="0" borderId="0" xfId="0" applyFont="1" applyAlignment="1">
      <alignment horizontal="left" vertical="center"/>
    </xf>
    <xf numFmtId="0" fontId="10" fillId="3" borderId="0" xfId="0" applyFont="1" applyFill="1" applyAlignment="1">
      <alignment horizontal="left"/>
    </xf>
    <xf numFmtId="2" fontId="10" fillId="3" borderId="0" xfId="0" applyNumberFormat="1" applyFont="1" applyFill="1"/>
    <xf numFmtId="169" fontId="3" fillId="3" borderId="0" xfId="0" applyNumberFormat="1" applyFont="1" applyFill="1"/>
    <xf numFmtId="169" fontId="3" fillId="0" borderId="0" xfId="0" applyNumberFormat="1" applyFont="1"/>
    <xf numFmtId="1" fontId="3" fillId="0" borderId="0" xfId="0" applyNumberFormat="1" applyFont="1"/>
    <xf numFmtId="169" fontId="3" fillId="0" borderId="12" xfId="0" applyNumberFormat="1" applyFont="1" applyBorder="1"/>
    <xf numFmtId="1" fontId="3" fillId="0" borderId="12" xfId="0" applyNumberFormat="1" applyFont="1" applyBorder="1"/>
    <xf numFmtId="176" fontId="10" fillId="0" borderId="0" xfId="0" applyNumberFormat="1" applyFont="1"/>
    <xf numFmtId="169" fontId="1" fillId="0" borderId="0" xfId="0" applyNumberFormat="1" applyFont="1"/>
    <xf numFmtId="169" fontId="0" fillId="0" borderId="12" xfId="0" applyNumberFormat="1" applyBorder="1"/>
    <xf numFmtId="1" fontId="12" fillId="0" borderId="0" xfId="0" applyNumberFormat="1" applyFont="1"/>
    <xf numFmtId="1" fontId="0" fillId="3" borderId="0" xfId="0" applyNumberFormat="1" applyFill="1" applyAlignment="1">
      <alignment horizontal="left"/>
    </xf>
    <xf numFmtId="1" fontId="36" fillId="0" borderId="0" xfId="0" applyNumberFormat="1" applyFont="1" applyAlignment="1">
      <alignment horizontal="left"/>
    </xf>
    <xf numFmtId="0" fontId="13" fillId="0" borderId="0" xfId="0" applyFont="1" applyAlignment="1">
      <alignment horizontal="left"/>
    </xf>
    <xf numFmtId="1" fontId="0" fillId="0" borderId="12" xfId="0" applyNumberFormat="1" applyBorder="1"/>
    <xf numFmtId="0" fontId="0" fillId="28" borderId="0" xfId="0" applyFill="1"/>
    <xf numFmtId="1" fontId="0" fillId="28" borderId="0" xfId="0" applyNumberFormat="1" applyFill="1"/>
    <xf numFmtId="2" fontId="0" fillId="28" borderId="0" xfId="0" applyNumberFormat="1" applyFill="1"/>
    <xf numFmtId="14" fontId="0" fillId="28" borderId="0" xfId="0" applyNumberFormat="1" applyFill="1"/>
    <xf numFmtId="0" fontId="0" fillId="29" borderId="0" xfId="0" applyFill="1"/>
    <xf numFmtId="1" fontId="0" fillId="29" borderId="0" xfId="0" applyNumberFormat="1" applyFill="1"/>
    <xf numFmtId="2" fontId="0" fillId="29" borderId="0" xfId="0" applyNumberFormat="1" applyFill="1"/>
    <xf numFmtId="14" fontId="0" fillId="29" borderId="0" xfId="0" applyNumberFormat="1" applyFill="1"/>
    <xf numFmtId="0" fontId="12" fillId="0" borderId="0" xfId="0" applyFont="1" applyAlignment="1">
      <alignment horizontal="center" wrapText="1"/>
    </xf>
    <xf numFmtId="0" fontId="12" fillId="0" borderId="11" xfId="0" applyFont="1" applyBorder="1" applyAlignment="1">
      <alignment horizontal="center" wrapText="1"/>
    </xf>
    <xf numFmtId="0" fontId="2" fillId="0" borderId="0" xfId="0" applyFont="1" applyAlignment="1">
      <alignment horizontal="center" wrapText="1"/>
    </xf>
    <xf numFmtId="0" fontId="2" fillId="0" borderId="11" xfId="0" applyFont="1" applyBorder="1" applyAlignment="1">
      <alignment horizontal="center" wrapText="1"/>
    </xf>
    <xf numFmtId="2" fontId="0" fillId="0" borderId="4" xfId="0" applyNumberFormat="1" applyBorder="1" applyAlignment="1">
      <alignment horizontal="center" vertical="top" wrapText="1"/>
    </xf>
    <xf numFmtId="2" fontId="0" fillId="0" borderId="0" xfId="0" applyNumberFormat="1" applyAlignment="1">
      <alignment horizontal="center" vertical="top" wrapText="1"/>
    </xf>
    <xf numFmtId="2" fontId="0" fillId="0" borderId="6" xfId="0" applyNumberFormat="1" applyBorder="1" applyAlignment="1">
      <alignment horizontal="center" vertical="top" wrapText="1"/>
    </xf>
    <xf numFmtId="0" fontId="50" fillId="0" borderId="0" xfId="0" applyFont="1" applyAlignment="1">
      <alignment horizontal="center" vertical="center" wrapText="1"/>
    </xf>
    <xf numFmtId="0" fontId="9" fillId="0" borderId="20" xfId="0" applyFont="1" applyBorder="1" applyAlignment="1">
      <alignment horizontal="center" vertical="center"/>
    </xf>
    <xf numFmtId="0" fontId="9" fillId="0" borderId="12" xfId="0" applyFont="1" applyBorder="1" applyAlignment="1">
      <alignment horizontal="center" vertical="center"/>
    </xf>
    <xf numFmtId="0" fontId="1" fillId="0" borderId="0" xfId="0" applyFont="1" applyAlignment="1">
      <alignment horizontal="center" wrapText="1"/>
    </xf>
  </cellXfs>
  <cellStyles count="5">
    <cellStyle name="Hyperlink" xfId="4" builtinId="8"/>
    <cellStyle name="Normal" xfId="0" builtinId="0"/>
    <cellStyle name="Normal 2" xfId="2" xr:uid="{51C09B08-A9FB-4CF4-A381-CD837C62235C}"/>
    <cellStyle name="Normal 3" xfId="3" xr:uid="{5686B654-3940-493F-9904-328B8504C3D0}"/>
    <cellStyle name="Percent" xfId="1" builtinId="5"/>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SAZ25 bSi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('BSi data'!$T$4,'BSi data'!$T$6,'BSi data'!$T$8,'BSi data'!$T$10,'BSi data'!$T$12,'BSi data'!$T$16,'BSi data'!$T$18,'BSi data'!$T$20,'BSi data'!$T$22,'BSi data'!$T$24,'BSi data'!$T$28,'BSi data'!$T$30,'BSi data'!$T$32,'BSi data'!$T$34,'BSi data'!$T$36,'BSi data'!$T$40,'BSi data'!$T$42,'BSi data'!$T$44,'BSi data'!$T$46,'BSi data'!$T$48,'BSi data'!$T$52)</c:f>
              <c:numCache>
                <c:formatCode>General</c:formatCode>
                <c:ptCount val="21"/>
                <c:pt idx="0">
                  <c:v>5.4428935725350263</c:v>
                </c:pt>
                <c:pt idx="1">
                  <c:v>4.0843706259634178</c:v>
                </c:pt>
                <c:pt idx="2">
                  <c:v>3.0975058461657268</c:v>
                </c:pt>
                <c:pt idx="3">
                  <c:v>3.4736117628248202</c:v>
                </c:pt>
                <c:pt idx="4">
                  <c:v>4.0695577039929836</c:v>
                </c:pt>
                <c:pt idx="5">
                  <c:v>4.5270138724510112</c:v>
                </c:pt>
                <c:pt idx="6">
                  <c:v>4.6826134822467935</c:v>
                </c:pt>
                <c:pt idx="7">
                  <c:v>6.2231245896270231</c:v>
                </c:pt>
                <c:pt idx="8">
                  <c:v>5.8024817107940319</c:v>
                </c:pt>
                <c:pt idx="9">
                  <c:v>4.7619507956176461</c:v>
                </c:pt>
                <c:pt idx="10">
                  <c:v>4.9779950508655402</c:v>
                </c:pt>
                <c:pt idx="11">
                  <c:v>5.9120175633439995</c:v>
                </c:pt>
                <c:pt idx="12">
                  <c:v>8.5667506125256203</c:v>
                </c:pt>
                <c:pt idx="13">
                  <c:v>8.3453555222023592</c:v>
                </c:pt>
                <c:pt idx="14">
                  <c:v>4.4888014720976344</c:v>
                </c:pt>
                <c:pt idx="15">
                  <c:v>6.1909153326088671</c:v>
                </c:pt>
                <c:pt idx="16">
                  <c:v>4.4431011577470745</c:v>
                </c:pt>
                <c:pt idx="17">
                  <c:v>4.9601501962830952</c:v>
                </c:pt>
                <c:pt idx="18">
                  <c:v>2.9193337347883643</c:v>
                </c:pt>
                <c:pt idx="19">
                  <c:v>3.7609987044885154</c:v>
                </c:pt>
                <c:pt idx="20">
                  <c:v>3.2930572107687501</c:v>
                </c:pt>
              </c:numCache>
            </c:numRef>
          </c:yVal>
          <c:smooth val="0"/>
          <c:extLst>
            <c:ext xmlns:c16="http://schemas.microsoft.com/office/drawing/2014/chart" uri="{C3380CC4-5D6E-409C-BE32-E72D297353CC}">
              <c16:uniqueId val="{00000000-E29C-4369-963B-867DBDB9731C}"/>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main!$V$31:$V$32</c:f>
              <c:numCache>
                <c:formatCode>m/d/yyyy</c:formatCode>
                <c:ptCount val="2"/>
                <c:pt idx="0">
                  <c:v>45075.5</c:v>
                </c:pt>
                <c:pt idx="1">
                  <c:v>45090.5</c:v>
                </c:pt>
              </c:numCache>
            </c:numRef>
          </c:xVal>
          <c:yVal>
            <c:numRef>
              <c:f>('BSi data'!$T$54,'BSi data'!$T$56)</c:f>
              <c:numCache>
                <c:formatCode>General</c:formatCode>
                <c:ptCount val="2"/>
                <c:pt idx="0">
                  <c:v>6.7327979373468292</c:v>
                </c:pt>
                <c:pt idx="1">
                  <c:v>2.4811494270211876</c:v>
                </c:pt>
              </c:numCache>
            </c:numRef>
          </c:yVal>
          <c:smooth val="0"/>
          <c:extLst>
            <c:ext xmlns:c16="http://schemas.microsoft.com/office/drawing/2014/chart" uri="{C3380CC4-5D6E-409C-BE32-E72D297353CC}">
              <c16:uniqueId val="{00000001-E29C-4369-963B-867DBDB9731C}"/>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('BSi data'!$T$58,'BSi data'!$T$60,'BSi data'!$T$64,'BSi data'!$T$66,'BSi data'!$T$68,'BSi data'!$T$70,'BSi data'!$T$72,'BSi data'!$T$76,'BSi data'!$T$78,'BSi data'!$T$80,'BSi data'!$T$82,'BSi data'!$T$84,'BSi data'!$T$88,'BSi data'!$T$90,'BSi data'!$T$92,'BSi data'!$T$94,'BSi data'!$T$96,'BSi data'!$T$100,'BSi data'!$T$102,'BSi data'!$T$104,'BSi data'!$T$106)</c:f>
              <c:numCache>
                <c:formatCode>General</c:formatCode>
                <c:ptCount val="21"/>
                <c:pt idx="0">
                  <c:v>6.1639201969283812</c:v>
                </c:pt>
                <c:pt idx="1">
                  <c:v>5.2068795361780396</c:v>
                </c:pt>
                <c:pt idx="2">
                  <c:v>4.2687705903628839</c:v>
                </c:pt>
                <c:pt idx="3">
                  <c:v>5.0101056207442376</c:v>
                </c:pt>
                <c:pt idx="4">
                  <c:v>5.0193551141446857</c:v>
                </c:pt>
                <c:pt idx="5">
                  <c:v>4.4344260593336244</c:v>
                </c:pt>
                <c:pt idx="6">
                  <c:v>4.5929593926033796</c:v>
                </c:pt>
                <c:pt idx="7">
                  <c:v>5.1715275437005124</c:v>
                </c:pt>
                <c:pt idx="8">
                  <c:v>4.75447923665525</c:v>
                </c:pt>
                <c:pt idx="9">
                  <c:v>4.8360228066795798</c:v>
                </c:pt>
                <c:pt idx="10">
                  <c:v>4.9558574752183464</c:v>
                </c:pt>
                <c:pt idx="11">
                  <c:v>4.9262419441444081</c:v>
                </c:pt>
                <c:pt idx="12">
                  <c:v>8.2995230023769722</c:v>
                </c:pt>
                <c:pt idx="13">
                  <c:v>10.758794629562725</c:v>
                </c:pt>
                <c:pt idx="14">
                  <c:v>10.548169766895079</c:v>
                </c:pt>
                <c:pt idx="15">
                  <c:v>7.0820878037999151</c:v>
                </c:pt>
                <c:pt idx="16">
                  <c:v>6.4375391254336876</c:v>
                </c:pt>
                <c:pt idx="17">
                  <c:v>5.6802096079029036</c:v>
                </c:pt>
                <c:pt idx="18">
                  <c:v>4.2321698656129758</c:v>
                </c:pt>
                <c:pt idx="19">
                  <c:v>3.4350290601162907</c:v>
                </c:pt>
                <c:pt idx="20">
                  <c:v>3.4583152898644407</c:v>
                </c:pt>
              </c:numCache>
            </c:numRef>
          </c:yVal>
          <c:smooth val="0"/>
          <c:extLst>
            <c:ext xmlns:c16="http://schemas.microsoft.com/office/drawing/2014/chart" uri="{C3380CC4-5D6E-409C-BE32-E72D297353CC}">
              <c16:uniqueId val="{00000002-E29C-4369-963B-867DBDB9731C}"/>
            </c:ext>
          </c:extLst>
        </c:ser>
        <c:dLbls>
          <c:showLegendKey val="0"/>
          <c:showVal val="0"/>
          <c:showCatName val="0"/>
          <c:showSerName val="0"/>
          <c:showPercent val="0"/>
          <c:showBubbleSize val="0"/>
        </c:dLbls>
        <c:axId val="1403119904"/>
        <c:axId val="1403121824"/>
      </c:scatterChart>
      <c:valAx>
        <c:axId val="1403119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Midpoint</a:t>
                </a:r>
                <a:r>
                  <a:rPr lang="en-AU" baseline="0"/>
                  <a:t> time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21824"/>
        <c:crosses val="autoZero"/>
        <c:crossBetween val="midCat"/>
      </c:valAx>
      <c:valAx>
        <c:axId val="140312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199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SAZ25 bSi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6"/>
              </a:solidFill>
              <a:ln w="9525">
                <a:solidFill>
                  <a:schemeClr val="accent6"/>
                </a:solidFill>
              </a:ln>
              <a:effectLst/>
            </c:spPr>
          </c:marker>
          <c:xVal>
            <c:numRef>
              <c:f>('BSi data'!$W$4:$W$13,'BSi data'!$W$16:$W$25,'BSi data'!$W$40:$W$49,'BSi data'!$W$52:$W$53)</c:f>
              <c:numCache>
                <c:formatCode>m/d/yyyy</c:formatCode>
                <c:ptCount val="32"/>
                <c:pt idx="0">
                  <c:v>45075.5</c:v>
                </c:pt>
                <c:pt idx="1">
                  <c:v>45075.5</c:v>
                </c:pt>
                <c:pt idx="2">
                  <c:v>45090.5</c:v>
                </c:pt>
                <c:pt idx="3">
                  <c:v>45090.5</c:v>
                </c:pt>
                <c:pt idx="4">
                  <c:v>45105.5</c:v>
                </c:pt>
                <c:pt idx="5">
                  <c:v>45105.5</c:v>
                </c:pt>
                <c:pt idx="6">
                  <c:v>45120.5</c:v>
                </c:pt>
                <c:pt idx="7">
                  <c:v>45120.5</c:v>
                </c:pt>
                <c:pt idx="8">
                  <c:v>45135.5</c:v>
                </c:pt>
                <c:pt idx="9">
                  <c:v>45135.5</c:v>
                </c:pt>
                <c:pt idx="10">
                  <c:v>45150.5</c:v>
                </c:pt>
                <c:pt idx="11">
                  <c:v>45150.5</c:v>
                </c:pt>
                <c:pt idx="12">
                  <c:v>45165.5</c:v>
                </c:pt>
                <c:pt idx="13">
                  <c:v>45165.5</c:v>
                </c:pt>
                <c:pt idx="14">
                  <c:v>45180.5</c:v>
                </c:pt>
                <c:pt idx="15">
                  <c:v>45180.5</c:v>
                </c:pt>
                <c:pt idx="16">
                  <c:v>45195.5</c:v>
                </c:pt>
                <c:pt idx="17">
                  <c:v>45195.5</c:v>
                </c:pt>
                <c:pt idx="18">
                  <c:v>45210.5</c:v>
                </c:pt>
                <c:pt idx="19">
                  <c:v>45210.5</c:v>
                </c:pt>
                <c:pt idx="20">
                  <c:v>45300.5</c:v>
                </c:pt>
                <c:pt idx="21">
                  <c:v>45300.5</c:v>
                </c:pt>
                <c:pt idx="22">
                  <c:v>45315.5</c:v>
                </c:pt>
                <c:pt idx="23">
                  <c:v>45315.5</c:v>
                </c:pt>
                <c:pt idx="24">
                  <c:v>45330.5</c:v>
                </c:pt>
                <c:pt idx="25">
                  <c:v>45330.5</c:v>
                </c:pt>
                <c:pt idx="26">
                  <c:v>45345.5</c:v>
                </c:pt>
                <c:pt idx="27">
                  <c:v>45345.5</c:v>
                </c:pt>
                <c:pt idx="28">
                  <c:v>45360.5</c:v>
                </c:pt>
                <c:pt idx="29">
                  <c:v>45360.5</c:v>
                </c:pt>
                <c:pt idx="30">
                  <c:v>45375.5</c:v>
                </c:pt>
                <c:pt idx="31">
                  <c:v>45375.5</c:v>
                </c:pt>
              </c:numCache>
            </c:numRef>
          </c:xVal>
          <c:yVal>
            <c:numRef>
              <c:f>('BSi data'!$O$4:$O$13,'BSi data'!$O$16:$O$25,'BSi data'!$O$40:$O$49,'BSi data'!$O$52:$O$53)</c:f>
              <c:numCache>
                <c:formatCode>General</c:formatCode>
                <c:ptCount val="32"/>
                <c:pt idx="0">
                  <c:v>5.4480922368136619</c:v>
                </c:pt>
                <c:pt idx="1">
                  <c:v>5.4376949082563906</c:v>
                </c:pt>
                <c:pt idx="2">
                  <c:v>4.083146507728201</c:v>
                </c:pt>
                <c:pt idx="3">
                  <c:v>4.0855947441986347</c:v>
                </c:pt>
                <c:pt idx="4">
                  <c:v>3.091303506413178</c:v>
                </c:pt>
                <c:pt idx="5">
                  <c:v>3.1037081859182756</c:v>
                </c:pt>
                <c:pt idx="6">
                  <c:v>3.4546285962301591</c:v>
                </c:pt>
                <c:pt idx="7">
                  <c:v>3.4925949294194818</c:v>
                </c:pt>
                <c:pt idx="8">
                  <c:v>4.0556592521978612</c:v>
                </c:pt>
                <c:pt idx="9">
                  <c:v>4.0834561557881059</c:v>
                </c:pt>
                <c:pt idx="10">
                  <c:v>4.5331734363156384</c:v>
                </c:pt>
                <c:pt idx="11">
                  <c:v>4.520854308586383</c:v>
                </c:pt>
                <c:pt idx="12">
                  <c:v>4.6842127039956312</c:v>
                </c:pt>
                <c:pt idx="13">
                  <c:v>4.6810142604979568</c:v>
                </c:pt>
                <c:pt idx="14">
                  <c:v>6.2116562722691313</c:v>
                </c:pt>
                <c:pt idx="15">
                  <c:v>6.2345929069849158</c:v>
                </c:pt>
                <c:pt idx="16">
                  <c:v>5.766864235267013</c:v>
                </c:pt>
                <c:pt idx="17">
                  <c:v>5.8380991863210498</c:v>
                </c:pt>
                <c:pt idx="18">
                  <c:v>4.7256543628655177</c:v>
                </c:pt>
                <c:pt idx="19">
                  <c:v>4.7982472283697746</c:v>
                </c:pt>
                <c:pt idx="20">
                  <c:v>6.188515054634534</c:v>
                </c:pt>
                <c:pt idx="21">
                  <c:v>6.193315610583201</c:v>
                </c:pt>
                <c:pt idx="22">
                  <c:v>4.4036277139915416</c:v>
                </c:pt>
                <c:pt idx="23">
                  <c:v>4.4825746015026082</c:v>
                </c:pt>
                <c:pt idx="24">
                  <c:v>4.940884564103218</c:v>
                </c:pt>
                <c:pt idx="25">
                  <c:v>4.9794158284629733</c:v>
                </c:pt>
                <c:pt idx="26">
                  <c:v>2.889912664980117</c:v>
                </c:pt>
                <c:pt idx="27">
                  <c:v>2.9487548045966117</c:v>
                </c:pt>
                <c:pt idx="28">
                  <c:v>3.716891823517507</c:v>
                </c:pt>
                <c:pt idx="29">
                  <c:v>3.8051055854595242</c:v>
                </c:pt>
                <c:pt idx="30">
                  <c:v>3.3113470388456823</c:v>
                </c:pt>
                <c:pt idx="31">
                  <c:v>3.2747673826918184</c:v>
                </c:pt>
              </c:numCache>
            </c:numRef>
          </c:yVal>
          <c:smooth val="0"/>
          <c:extLst>
            <c:ext xmlns:c16="http://schemas.microsoft.com/office/drawing/2014/chart" uri="{C3380CC4-5D6E-409C-BE32-E72D297353CC}">
              <c16:uniqueId val="{00000000-5521-42EC-801B-064E323F5C49}"/>
            </c:ext>
          </c:extLst>
        </c:ser>
        <c:ser>
          <c:idx val="2"/>
          <c:order val="1"/>
          <c:tx>
            <c:v>3800m</c:v>
          </c:tx>
          <c:spPr>
            <a:ln w="25400" cap="rnd">
              <a:noFill/>
              <a:round/>
            </a:ln>
            <a:effectLst/>
          </c:spPr>
          <c:marker>
            <c:symbol val="circle"/>
            <c:size val="5"/>
            <c:spPr>
              <a:solidFill>
                <a:schemeClr val="accent4"/>
              </a:solidFill>
              <a:ln w="9525">
                <a:solidFill>
                  <a:schemeClr val="accent4"/>
                </a:solidFill>
              </a:ln>
              <a:effectLst/>
            </c:spPr>
          </c:marker>
          <c:dPt>
            <c:idx val="32"/>
            <c:marker>
              <c:symbol val="circle"/>
              <c:size val="5"/>
              <c:spPr>
                <a:solidFill>
                  <a:schemeClr val="accent1">
                    <a:lumMod val="75000"/>
                  </a:schemeClr>
                </a:solidFill>
                <a:ln w="9525">
                  <a:solidFill>
                    <a:schemeClr val="accent1">
                      <a:lumMod val="75000"/>
                    </a:schemeClr>
                  </a:solidFill>
                </a:ln>
                <a:effectLst/>
              </c:spPr>
            </c:marker>
            <c:bubble3D val="0"/>
            <c:spPr>
              <a:ln w="19050" cap="rnd">
                <a:noFill/>
                <a:round/>
              </a:ln>
              <a:effectLst/>
            </c:spPr>
            <c:extLst>
              <c:ext xmlns:c16="http://schemas.microsoft.com/office/drawing/2014/chart" uri="{C3380CC4-5D6E-409C-BE32-E72D297353CC}">
                <c16:uniqueId val="{0000000B-5521-42EC-801B-064E323F5C49}"/>
              </c:ext>
            </c:extLst>
          </c:dPt>
          <c:dPt>
            <c:idx val="33"/>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A-5521-42EC-801B-064E323F5C49}"/>
              </c:ext>
            </c:extLst>
          </c:dPt>
          <c:xVal>
            <c:numRef>
              <c:f>('BSi data'!$W$58:$W$61,'BSi data'!$W$64:$W$73,'BSi data'!$W$76:$W$85,'BSi data'!$W$88:$W$97,'BSi data'!$W$100:$W$107)</c:f>
              <c:numCache>
                <c:formatCode>m/d/yyyy</c:formatCode>
                <c:ptCount val="42"/>
                <c:pt idx="0">
                  <c:v>45075.5</c:v>
                </c:pt>
                <c:pt idx="1">
                  <c:v>45075.5</c:v>
                </c:pt>
                <c:pt idx="2">
                  <c:v>45090.5</c:v>
                </c:pt>
                <c:pt idx="3">
                  <c:v>45090.5</c:v>
                </c:pt>
                <c:pt idx="4">
                  <c:v>45105.5</c:v>
                </c:pt>
                <c:pt idx="5">
                  <c:v>45105.5</c:v>
                </c:pt>
                <c:pt idx="6">
                  <c:v>45120.5</c:v>
                </c:pt>
                <c:pt idx="7">
                  <c:v>45120.5</c:v>
                </c:pt>
                <c:pt idx="8">
                  <c:v>45135.5</c:v>
                </c:pt>
                <c:pt idx="9">
                  <c:v>45135.5</c:v>
                </c:pt>
                <c:pt idx="10">
                  <c:v>45150.5</c:v>
                </c:pt>
                <c:pt idx="11">
                  <c:v>45150.5</c:v>
                </c:pt>
                <c:pt idx="12">
                  <c:v>45165.5</c:v>
                </c:pt>
                <c:pt idx="13">
                  <c:v>45165.5</c:v>
                </c:pt>
                <c:pt idx="14">
                  <c:v>45180.5</c:v>
                </c:pt>
                <c:pt idx="15">
                  <c:v>45180.5</c:v>
                </c:pt>
                <c:pt idx="16">
                  <c:v>45195.5</c:v>
                </c:pt>
                <c:pt idx="17">
                  <c:v>45195.5</c:v>
                </c:pt>
                <c:pt idx="18">
                  <c:v>45210.5</c:v>
                </c:pt>
                <c:pt idx="19">
                  <c:v>45210.5</c:v>
                </c:pt>
                <c:pt idx="20">
                  <c:v>45225.5</c:v>
                </c:pt>
                <c:pt idx="21">
                  <c:v>45225.5</c:v>
                </c:pt>
                <c:pt idx="22">
                  <c:v>45240.5</c:v>
                </c:pt>
                <c:pt idx="23">
                  <c:v>45240.5</c:v>
                </c:pt>
                <c:pt idx="24">
                  <c:v>45255.5</c:v>
                </c:pt>
                <c:pt idx="25">
                  <c:v>45255.5</c:v>
                </c:pt>
                <c:pt idx="26">
                  <c:v>45270.5</c:v>
                </c:pt>
                <c:pt idx="27">
                  <c:v>45270.5</c:v>
                </c:pt>
                <c:pt idx="28">
                  <c:v>45285.5</c:v>
                </c:pt>
                <c:pt idx="29">
                  <c:v>45285.5</c:v>
                </c:pt>
                <c:pt idx="30">
                  <c:v>45300.5</c:v>
                </c:pt>
                <c:pt idx="31">
                  <c:v>45300.5</c:v>
                </c:pt>
                <c:pt idx="32">
                  <c:v>45315.5</c:v>
                </c:pt>
                <c:pt idx="33">
                  <c:v>45315.5</c:v>
                </c:pt>
                <c:pt idx="34">
                  <c:v>45330.5</c:v>
                </c:pt>
                <c:pt idx="35">
                  <c:v>45330.5</c:v>
                </c:pt>
                <c:pt idx="36">
                  <c:v>45345.5</c:v>
                </c:pt>
                <c:pt idx="37">
                  <c:v>45345.5</c:v>
                </c:pt>
                <c:pt idx="38">
                  <c:v>45360.5</c:v>
                </c:pt>
                <c:pt idx="39">
                  <c:v>45360.5</c:v>
                </c:pt>
                <c:pt idx="40">
                  <c:v>45375.5</c:v>
                </c:pt>
                <c:pt idx="41">
                  <c:v>45375.5</c:v>
                </c:pt>
              </c:numCache>
            </c:numRef>
          </c:xVal>
          <c:yVal>
            <c:numRef>
              <c:f>('BSi data'!$O$58:$O$61,'BSi data'!$O$64:$O$73,'BSi data'!$O$76:$O$85,'BSi data'!$O$88:$O$97,'BSi data'!$O$100:$O$107)</c:f>
              <c:numCache>
                <c:formatCode>General</c:formatCode>
                <c:ptCount val="42"/>
                <c:pt idx="0">
                  <c:v>6.2353113204872752</c:v>
                </c:pt>
                <c:pt idx="1">
                  <c:v>6.0925290733694872</c:v>
                </c:pt>
                <c:pt idx="2">
                  <c:v>5.229527783221199</c:v>
                </c:pt>
                <c:pt idx="3">
                  <c:v>5.1842312891348792</c:v>
                </c:pt>
                <c:pt idx="4">
                  <c:v>4.273901699223762</c:v>
                </c:pt>
                <c:pt idx="5">
                  <c:v>4.2636394815020049</c:v>
                </c:pt>
                <c:pt idx="6">
                  <c:v>5.0309936127689374</c:v>
                </c:pt>
                <c:pt idx="7">
                  <c:v>4.9892176287195387</c:v>
                </c:pt>
                <c:pt idx="8">
                  <c:v>5.0273643148528029</c:v>
                </c:pt>
                <c:pt idx="9">
                  <c:v>5.0113459134365677</c:v>
                </c:pt>
                <c:pt idx="10">
                  <c:v>4.4294895415220079</c:v>
                </c:pt>
                <c:pt idx="11">
                  <c:v>4.4393625771452419</c:v>
                </c:pt>
                <c:pt idx="12">
                  <c:v>4.5547051139778976</c:v>
                </c:pt>
                <c:pt idx="13">
                  <c:v>4.6312136712288625</c:v>
                </c:pt>
                <c:pt idx="14">
                  <c:v>5.1587986753924593</c:v>
                </c:pt>
                <c:pt idx="15">
                  <c:v>5.1842564120085655</c:v>
                </c:pt>
                <c:pt idx="16">
                  <c:v>4.7649510460325741</c:v>
                </c:pt>
                <c:pt idx="17">
                  <c:v>4.7440074272779267</c:v>
                </c:pt>
                <c:pt idx="18">
                  <c:v>4.824554204199381</c:v>
                </c:pt>
                <c:pt idx="19">
                  <c:v>4.8474914091597778</c:v>
                </c:pt>
                <c:pt idx="20">
                  <c:v>5.0053208636661521</c:v>
                </c:pt>
                <c:pt idx="21">
                  <c:v>4.9063940867705398</c:v>
                </c:pt>
                <c:pt idx="22">
                  <c:v>4.9316400220384189</c:v>
                </c:pt>
                <c:pt idx="23">
                  <c:v>4.9208438662503973</c:v>
                </c:pt>
                <c:pt idx="24">
                  <c:v>8.3406117710416332</c:v>
                </c:pt>
                <c:pt idx="25">
                  <c:v>8.2584342337123129</c:v>
                </c:pt>
                <c:pt idx="26">
                  <c:v>10.730340352523065</c:v>
                </c:pt>
                <c:pt idx="27">
                  <c:v>10.787248906602386</c:v>
                </c:pt>
                <c:pt idx="28">
                  <c:v>10.540782975897153</c:v>
                </c:pt>
                <c:pt idx="29">
                  <c:v>10.555556557893006</c:v>
                </c:pt>
                <c:pt idx="30">
                  <c:v>7.0778029572903396</c:v>
                </c:pt>
                <c:pt idx="31">
                  <c:v>7.0863726503094897</c:v>
                </c:pt>
                <c:pt idx="32">
                  <c:v>6.7905727351027068</c:v>
                </c:pt>
                <c:pt idx="33">
                  <c:v>6.0845055157646675</c:v>
                </c:pt>
                <c:pt idx="34">
                  <c:v>5.6888728697154427</c:v>
                </c:pt>
                <c:pt idx="35">
                  <c:v>5.6715463460903646</c:v>
                </c:pt>
                <c:pt idx="36">
                  <c:v>4.2149396268962684</c:v>
                </c:pt>
                <c:pt idx="37">
                  <c:v>4.2494001043296823</c:v>
                </c:pt>
                <c:pt idx="38">
                  <c:v>3.4428013324192723</c:v>
                </c:pt>
                <c:pt idx="39">
                  <c:v>3.4272567878133091</c:v>
                </c:pt>
                <c:pt idx="40">
                  <c:v>3.4987723583865886</c:v>
                </c:pt>
                <c:pt idx="41">
                  <c:v>3.4178582213422932</c:v>
                </c:pt>
              </c:numCache>
            </c:numRef>
          </c:yVal>
          <c:smooth val="0"/>
          <c:extLst>
            <c:ext xmlns:c16="http://schemas.microsoft.com/office/drawing/2014/chart" uri="{C3380CC4-5D6E-409C-BE32-E72D297353CC}">
              <c16:uniqueId val="{00000002-5521-42EC-801B-064E323F5C49}"/>
            </c:ext>
          </c:extLst>
        </c:ser>
        <c:ser>
          <c:idx val="1"/>
          <c:order val="2"/>
          <c:tx>
            <c:v>batch 3</c:v>
          </c:tx>
          <c:spPr>
            <a:ln w="25400" cap="rnd">
              <a:noFill/>
              <a:round/>
            </a:ln>
            <a:effectLst/>
          </c:spPr>
          <c:marker>
            <c:symbol val="circle"/>
            <c:size val="5"/>
            <c:spPr>
              <a:solidFill>
                <a:srgbClr val="FF0000"/>
              </a:solidFill>
              <a:ln w="9525">
                <a:solidFill>
                  <a:srgbClr val="FF0000"/>
                </a:solidFill>
              </a:ln>
              <a:effectLst/>
            </c:spPr>
          </c:marker>
          <c:xVal>
            <c:numRef>
              <c:f>'BSi data'!$W$28:$W$37</c:f>
              <c:numCache>
                <c:formatCode>m/d/yyyy</c:formatCode>
                <c:ptCount val="10"/>
                <c:pt idx="0">
                  <c:v>45225.5</c:v>
                </c:pt>
                <c:pt idx="1">
                  <c:v>45225.5</c:v>
                </c:pt>
                <c:pt idx="2">
                  <c:v>45240.5</c:v>
                </c:pt>
                <c:pt idx="3">
                  <c:v>45240.5</c:v>
                </c:pt>
                <c:pt idx="4">
                  <c:v>45255.5</c:v>
                </c:pt>
                <c:pt idx="5">
                  <c:v>45255.5</c:v>
                </c:pt>
                <c:pt idx="6">
                  <c:v>45270.5</c:v>
                </c:pt>
                <c:pt idx="7">
                  <c:v>45270.5</c:v>
                </c:pt>
                <c:pt idx="8">
                  <c:v>45285.5</c:v>
                </c:pt>
                <c:pt idx="9">
                  <c:v>45285.5</c:v>
                </c:pt>
              </c:numCache>
            </c:numRef>
          </c:xVal>
          <c:yVal>
            <c:numRef>
              <c:f>'BSi data'!$O$28:$O$37</c:f>
              <c:numCache>
                <c:formatCode>General</c:formatCode>
                <c:ptCount val="10"/>
                <c:pt idx="0">
                  <c:v>4.9868236315126291</c:v>
                </c:pt>
                <c:pt idx="1">
                  <c:v>4.9691664702184513</c:v>
                </c:pt>
                <c:pt idx="2">
                  <c:v>5.9262833615449315</c:v>
                </c:pt>
                <c:pt idx="3">
                  <c:v>5.8977517651430684</c:v>
                </c:pt>
                <c:pt idx="4">
                  <c:v>8.5497392008687374</c:v>
                </c:pt>
                <c:pt idx="5">
                  <c:v>8.5837620241825014</c:v>
                </c:pt>
                <c:pt idx="6">
                  <c:v>8.2797144645287819</c:v>
                </c:pt>
                <c:pt idx="7">
                  <c:v>8.4109965798759365</c:v>
                </c:pt>
                <c:pt idx="8">
                  <c:v>5.9749087683219422</c:v>
                </c:pt>
                <c:pt idx="9">
                  <c:v>3.0026941758733265</c:v>
                </c:pt>
              </c:numCache>
            </c:numRef>
          </c:yVal>
          <c:smooth val="0"/>
          <c:extLst>
            <c:ext xmlns:c16="http://schemas.microsoft.com/office/drawing/2014/chart" uri="{C3380CC4-5D6E-409C-BE32-E72D297353CC}">
              <c16:uniqueId val="{00000008-5521-42EC-801B-064E323F5C49}"/>
            </c:ext>
          </c:extLst>
        </c:ser>
        <c:dLbls>
          <c:showLegendKey val="0"/>
          <c:showVal val="0"/>
          <c:showCatName val="0"/>
          <c:showSerName val="0"/>
          <c:showPercent val="0"/>
          <c:showBubbleSize val="0"/>
        </c:dLbls>
        <c:axId val="1403119904"/>
        <c:axId val="1403121824"/>
      </c:scatterChart>
      <c:valAx>
        <c:axId val="1403119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Midpoint</a:t>
                </a:r>
                <a:r>
                  <a:rPr lang="en-AU" baseline="0"/>
                  <a:t> time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21824"/>
        <c:crosses val="autoZero"/>
        <c:crossBetween val="midCat"/>
      </c:valAx>
      <c:valAx>
        <c:axId val="140312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199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Acetanilide</c:v>
          </c:tx>
          <c:spPr>
            <a:ln w="25400" cap="rnd">
              <a:noFill/>
              <a:round/>
            </a:ln>
            <a:effectLst/>
          </c:spPr>
          <c:marker>
            <c:symbol val="circle"/>
            <c:size val="5"/>
            <c:spPr>
              <a:solidFill>
                <a:schemeClr val="accent1"/>
              </a:solidFill>
              <a:ln w="9525">
                <a:solidFill>
                  <a:schemeClr val="accent1"/>
                </a:solidFill>
              </a:ln>
              <a:effectLst/>
            </c:spPr>
          </c:marker>
          <c:xVal>
            <c:numRef>
              <c:f>('CHN data'!$E$78,'CHN data'!$E$71,'CHN data'!$E$58,'CHN data'!$E$57,'CHN data'!$E$38,'CHN data'!$E$29)</c:f>
              <c:numCache>
                <c:formatCode>0.00</c:formatCode>
                <c:ptCount val="6"/>
                <c:pt idx="0">
                  <c:v>10.267561912536621</c:v>
                </c:pt>
                <c:pt idx="1">
                  <c:v>10.24276065826416</c:v>
                </c:pt>
                <c:pt idx="2">
                  <c:v>10.3231512069702</c:v>
                </c:pt>
                <c:pt idx="3">
                  <c:v>10.305452919006299</c:v>
                </c:pt>
                <c:pt idx="4">
                  <c:v>10.3039752960205</c:v>
                </c:pt>
                <c:pt idx="5">
                  <c:v>10.3814693450928</c:v>
                </c:pt>
              </c:numCache>
            </c:numRef>
          </c:xVal>
          <c:yVal>
            <c:numRef>
              <c:f>('CHN data'!$F$78,'CHN data'!$F$71,'CHN data'!$F$58,'CHN data'!$F$57,'CHN data'!$F$38,'CHN data'!$F$29)</c:f>
              <c:numCache>
                <c:formatCode>0.00</c:formatCode>
                <c:ptCount val="6"/>
                <c:pt idx="0">
                  <c:v>70.960658264160202</c:v>
                </c:pt>
                <c:pt idx="1">
                  <c:v>70.943904113769506</c:v>
                </c:pt>
                <c:pt idx="2">
                  <c:v>71.038684082031196</c:v>
                </c:pt>
                <c:pt idx="3">
                  <c:v>71.094754028320295</c:v>
                </c:pt>
                <c:pt idx="4">
                  <c:v>71.175482177734395</c:v>
                </c:pt>
                <c:pt idx="5">
                  <c:v>71.055839538574219</c:v>
                </c:pt>
              </c:numCache>
            </c:numRef>
          </c:yVal>
          <c:smooth val="0"/>
          <c:extLst>
            <c:ext xmlns:c16="http://schemas.microsoft.com/office/drawing/2014/chart" uri="{C3380CC4-5D6E-409C-BE32-E72D297353CC}">
              <c16:uniqueId val="{00000000-8D36-47CC-A703-F00F1C572455}"/>
            </c:ext>
          </c:extLst>
        </c:ser>
        <c:dLbls>
          <c:showLegendKey val="0"/>
          <c:showVal val="0"/>
          <c:showCatName val="0"/>
          <c:showSerName val="0"/>
          <c:showPercent val="0"/>
          <c:showBubbleSize val="0"/>
        </c:dLbls>
        <c:axId val="26547519"/>
        <c:axId val="2036529151"/>
      </c:scatterChart>
      <c:valAx>
        <c:axId val="2654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29151"/>
        <c:crosses val="autoZero"/>
        <c:crossBetween val="midCat"/>
      </c:valAx>
      <c:valAx>
        <c:axId val="203652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4751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without</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20E2-4125-ADFA-835E37748BBE}"/>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data'!$E$3:$E$7,'CHN data'!$E$9:$E$14,'CHN data'!$E$16:$E$21,'CHN data'!$E$23:$E$26,'CHN data'!$E$68,'CHN data'!$E$73)</c:f>
              <c:numCache>
                <c:formatCode>0.00</c:formatCode>
                <c:ptCount val="23"/>
                <c:pt idx="0">
                  <c:v>1.0731297731399536</c:v>
                </c:pt>
                <c:pt idx="1">
                  <c:v>0.8994293212890625</c:v>
                </c:pt>
                <c:pt idx="2">
                  <c:v>1.2202469110488892</c:v>
                </c:pt>
                <c:pt idx="3">
                  <c:v>1.4989533424377441</c:v>
                </c:pt>
                <c:pt idx="4">
                  <c:v>1.5151194334030151</c:v>
                </c:pt>
                <c:pt idx="5">
                  <c:v>1.2040331363677979</c:v>
                </c:pt>
                <c:pt idx="6">
                  <c:v>1.4789501428604126</c:v>
                </c:pt>
                <c:pt idx="7">
                  <c:v>1.24662184715271</c:v>
                </c:pt>
                <c:pt idx="8">
                  <c:v>1.1763488054275513</c:v>
                </c:pt>
                <c:pt idx="9">
                  <c:v>0.8675951361656189</c:v>
                </c:pt>
                <c:pt idx="10">
                  <c:v>0.77254652976989746</c:v>
                </c:pt>
                <c:pt idx="11">
                  <c:v>0.84064942598342896</c:v>
                </c:pt>
                <c:pt idx="12">
                  <c:v>0.87698572874069214</c:v>
                </c:pt>
                <c:pt idx="13">
                  <c:v>0.87384563684463501</c:v>
                </c:pt>
                <c:pt idx="14">
                  <c:v>0.94786739349365234</c:v>
                </c:pt>
                <c:pt idx="15">
                  <c:v>1.0029878616333008</c:v>
                </c:pt>
                <c:pt idx="16">
                  <c:v>1.1869363784790039</c:v>
                </c:pt>
                <c:pt idx="17">
                  <c:v>1.4525940418243408</c:v>
                </c:pt>
                <c:pt idx="18">
                  <c:v>0.85808426141738892</c:v>
                </c:pt>
                <c:pt idx="19">
                  <c:v>0.77039182186126709</c:v>
                </c:pt>
                <c:pt idx="20">
                  <c:v>0.60380738973617554</c:v>
                </c:pt>
                <c:pt idx="21">
                  <c:v>1.6078505516052246</c:v>
                </c:pt>
                <c:pt idx="22">
                  <c:v>0.87022620439529419</c:v>
                </c:pt>
              </c:numCache>
            </c:numRef>
          </c:xVal>
          <c:yVal>
            <c:numRef>
              <c:f>('CHN data'!$F$3:$F$7,'CHN data'!$F$9:$F$14,'CHN data'!$F$16:$F$21,'CHN data'!$F$23:$F$26,'CHN data'!$F$68,'CHN data'!$F$73)</c:f>
              <c:numCache>
                <c:formatCode>0.00</c:formatCode>
                <c:ptCount val="23"/>
                <c:pt idx="0">
                  <c:v>14.71473217010498</c:v>
                </c:pt>
                <c:pt idx="1">
                  <c:v>14.187359809875488</c:v>
                </c:pt>
                <c:pt idx="2">
                  <c:v>15.580052375793457</c:v>
                </c:pt>
                <c:pt idx="3">
                  <c:v>16.941841125488281</c:v>
                </c:pt>
                <c:pt idx="4">
                  <c:v>16.930234909057617</c:v>
                </c:pt>
                <c:pt idx="5">
                  <c:v>15.826993942260742</c:v>
                </c:pt>
                <c:pt idx="6">
                  <c:v>16.868778228759766</c:v>
                </c:pt>
                <c:pt idx="7">
                  <c:v>15.056515693664551</c:v>
                </c:pt>
                <c:pt idx="8">
                  <c:v>14.936423301696777</c:v>
                </c:pt>
                <c:pt idx="9">
                  <c:v>14.13904857635498</c:v>
                </c:pt>
                <c:pt idx="10">
                  <c:v>13.897967338562012</c:v>
                </c:pt>
                <c:pt idx="11">
                  <c:v>14.053555488586426</c:v>
                </c:pt>
                <c:pt idx="12">
                  <c:v>14.414851188659668</c:v>
                </c:pt>
                <c:pt idx="13">
                  <c:v>13.559201240539551</c:v>
                </c:pt>
                <c:pt idx="14">
                  <c:v>13.887373924255371</c:v>
                </c:pt>
                <c:pt idx="15">
                  <c:v>14.294573783874512</c:v>
                </c:pt>
                <c:pt idx="16">
                  <c:v>14.818084716796875</c:v>
                </c:pt>
                <c:pt idx="17">
                  <c:v>16.111581802368164</c:v>
                </c:pt>
                <c:pt idx="18">
                  <c:v>14.079899787902832</c:v>
                </c:pt>
                <c:pt idx="19">
                  <c:v>14.234511375427246</c:v>
                </c:pt>
                <c:pt idx="20">
                  <c:v>13.566348075866699</c:v>
                </c:pt>
                <c:pt idx="21">
                  <c:v>16.646936416625977</c:v>
                </c:pt>
                <c:pt idx="22">
                  <c:v>14.146236419677734</c:v>
                </c:pt>
              </c:numCache>
            </c:numRef>
          </c:yVal>
          <c:smooth val="0"/>
          <c:extLst>
            <c:ext xmlns:c16="http://schemas.microsoft.com/office/drawing/2014/chart" uri="{C3380CC4-5D6E-409C-BE32-E72D297353CC}">
              <c16:uniqueId val="{00000001-3D24-4681-B1A9-77D3BB13ABEE}"/>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data'!$E$27,'CHN data'!$E$40)</c:f>
              <c:numCache>
                <c:formatCode>0.00</c:formatCode>
                <c:ptCount val="2"/>
                <c:pt idx="0">
                  <c:v>0.88150405883789063</c:v>
                </c:pt>
                <c:pt idx="1">
                  <c:v>0.87499135732650757</c:v>
                </c:pt>
              </c:numCache>
            </c:numRef>
          </c:xVal>
          <c:yVal>
            <c:numRef>
              <c:f>('CHN data'!$F$27,'CHN data'!$F$40)</c:f>
              <c:numCache>
                <c:formatCode>0.00</c:formatCode>
                <c:ptCount val="2"/>
                <c:pt idx="0">
                  <c:v>13.624052047729492</c:v>
                </c:pt>
                <c:pt idx="1">
                  <c:v>13.602847099304199</c:v>
                </c:pt>
              </c:numCache>
            </c:numRef>
          </c:yVal>
          <c:smooth val="0"/>
          <c:extLst>
            <c:ext xmlns:c16="http://schemas.microsoft.com/office/drawing/2014/chart" uri="{C3380CC4-5D6E-409C-BE32-E72D297353CC}">
              <c16:uniqueId val="{00000003-3D24-4681-B1A9-77D3BB13ABEE}"/>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data'!$E$30:$E$37,'CHN data'!$E$42:$E$47,'CHN data'!$E$50:$E$53,'CHN data'!$E$55:$E$56,'CHN data'!$E$67,'CHN data'!$E$69,'CHN data'!$E$74,'CHN data'!$E$76)</c:f>
              <c:numCache>
                <c:formatCode>0.00</c:formatCode>
                <c:ptCount val="24"/>
                <c:pt idx="0">
                  <c:v>1.0882322788238525</c:v>
                </c:pt>
                <c:pt idx="1">
                  <c:v>0.66240662336349487</c:v>
                </c:pt>
                <c:pt idx="2">
                  <c:v>0.82626485824584961</c:v>
                </c:pt>
                <c:pt idx="3">
                  <c:v>0.43048149347305298</c:v>
                </c:pt>
                <c:pt idx="4">
                  <c:v>0.65128165483474731</c:v>
                </c:pt>
                <c:pt idx="5">
                  <c:v>0.54511123895645142</c:v>
                </c:pt>
                <c:pt idx="6">
                  <c:v>0.44688236713409424</c:v>
                </c:pt>
                <c:pt idx="7">
                  <c:v>0.39903417229652405</c:v>
                </c:pt>
                <c:pt idx="8">
                  <c:v>0.36282044649124146</c:v>
                </c:pt>
                <c:pt idx="9">
                  <c:v>0.41840517520904541</c:v>
                </c:pt>
                <c:pt idx="10">
                  <c:v>0.60423123836517334</c:v>
                </c:pt>
                <c:pt idx="11">
                  <c:v>0.69014662504196167</c:v>
                </c:pt>
                <c:pt idx="12">
                  <c:v>0.43474856019020081</c:v>
                </c:pt>
                <c:pt idx="13">
                  <c:v>0.60996341705322266</c:v>
                </c:pt>
                <c:pt idx="14">
                  <c:v>0.52007579803466797</c:v>
                </c:pt>
                <c:pt idx="15">
                  <c:v>0.41507834196090698</c:v>
                </c:pt>
                <c:pt idx="16">
                  <c:v>0.36940157413482666</c:v>
                </c:pt>
                <c:pt idx="17">
                  <c:v>0.40945658087730408</c:v>
                </c:pt>
                <c:pt idx="18">
                  <c:v>0.30700737237930298</c:v>
                </c:pt>
                <c:pt idx="19">
                  <c:v>0.36594283580780029</c:v>
                </c:pt>
                <c:pt idx="20">
                  <c:v>0.59698903560638428</c:v>
                </c:pt>
                <c:pt idx="21">
                  <c:v>0.45895856618881226</c:v>
                </c:pt>
                <c:pt idx="22">
                  <c:v>0.59382522106170654</c:v>
                </c:pt>
                <c:pt idx="23">
                  <c:v>0.62558716535568237</c:v>
                </c:pt>
              </c:numCache>
            </c:numRef>
          </c:xVal>
          <c:yVal>
            <c:numRef>
              <c:f>('CHN data'!$F$30:$F$37,'CHN data'!$F$42:$F$47,'CHN data'!$F$50:$F$53,'CHN data'!$F$55:$F$56,'CHN data'!$F$67,'CHN data'!$F$69,'CHN data'!$F$74,'CHN data'!$F$76)</c:f>
              <c:numCache>
                <c:formatCode>0.00</c:formatCode>
                <c:ptCount val="24"/>
                <c:pt idx="0">
                  <c:v>14.708972930908203</c:v>
                </c:pt>
                <c:pt idx="1">
                  <c:v>13.25831413269043</c:v>
                </c:pt>
                <c:pt idx="2">
                  <c:v>14.330452919006348</c:v>
                </c:pt>
                <c:pt idx="3">
                  <c:v>12.299344062805176</c:v>
                </c:pt>
                <c:pt idx="4">
                  <c:v>13.242649078369141</c:v>
                </c:pt>
                <c:pt idx="5">
                  <c:v>12.876192092895508</c:v>
                </c:pt>
                <c:pt idx="6">
                  <c:v>12.361801147460938</c:v>
                </c:pt>
                <c:pt idx="7">
                  <c:v>12.352426528930664</c:v>
                </c:pt>
                <c:pt idx="8">
                  <c:v>12.193502426147461</c:v>
                </c:pt>
                <c:pt idx="9">
                  <c:v>12.338925361633301</c:v>
                </c:pt>
                <c:pt idx="10">
                  <c:v>13.286656379699707</c:v>
                </c:pt>
                <c:pt idx="11">
                  <c:v>13.127504348754883</c:v>
                </c:pt>
                <c:pt idx="12">
                  <c:v>12.390985488891602</c:v>
                </c:pt>
                <c:pt idx="13">
                  <c:v>11.752729415893555</c:v>
                </c:pt>
                <c:pt idx="14">
                  <c:v>12.282519340515137</c:v>
                </c:pt>
                <c:pt idx="15">
                  <c:v>12.192169189453125</c:v>
                </c:pt>
                <c:pt idx="16">
                  <c:v>12.55713939666748</c:v>
                </c:pt>
                <c:pt idx="17">
                  <c:v>12.442910194396973</c:v>
                </c:pt>
                <c:pt idx="18">
                  <c:v>12.380021095275879</c:v>
                </c:pt>
                <c:pt idx="19">
                  <c:v>12.550811767578125</c:v>
                </c:pt>
                <c:pt idx="20">
                  <c:v>12.196744918823242</c:v>
                </c:pt>
                <c:pt idx="21">
                  <c:v>12.082046508789063</c:v>
                </c:pt>
                <c:pt idx="22">
                  <c:v>12.233369827270508</c:v>
                </c:pt>
                <c:pt idx="23">
                  <c:v>11.583279609680176</c:v>
                </c:pt>
              </c:numCache>
            </c:numRef>
          </c:yVal>
          <c:smooth val="0"/>
          <c:extLst>
            <c:ext xmlns:c16="http://schemas.microsoft.com/office/drawing/2014/chart" uri="{C3380CC4-5D6E-409C-BE32-E72D297353CC}">
              <c16:uniqueId val="{00000005-3D24-4681-B1A9-77D3BB13ABEE}"/>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('CHN data'!$E$22,'CHN data'!$E$39,'CHN data'!$E$48,'CHN data'!$E$49,'CHN data'!$E$70,'CHN data'!$E$77)</c:f>
              <c:numCache>
                <c:formatCode>0.00</c:formatCode>
                <c:ptCount val="6"/>
                <c:pt idx="0">
                  <c:v>0.24911825358867645</c:v>
                </c:pt>
                <c:pt idx="1">
                  <c:v>0.26151299476623535</c:v>
                </c:pt>
                <c:pt idx="2">
                  <c:v>0.26234325766563416</c:v>
                </c:pt>
                <c:pt idx="3">
                  <c:v>0.25376543402671814</c:v>
                </c:pt>
                <c:pt idx="4">
                  <c:v>0.26647788286209106</c:v>
                </c:pt>
                <c:pt idx="5">
                  <c:v>0.26558923721313477</c:v>
                </c:pt>
              </c:numCache>
            </c:numRef>
          </c:xVal>
          <c:yVal>
            <c:numRef>
              <c:f>('CHN data'!$F$22,'CHN data'!$F$39,'CHN data'!$F$48,'CHN data'!$F$49,'CHN data'!$F$70,'CHN data'!$F$77)</c:f>
              <c:numCache>
                <c:formatCode>0.00</c:formatCode>
                <c:ptCount val="6"/>
                <c:pt idx="0">
                  <c:v>3.2787590026855469</c:v>
                </c:pt>
                <c:pt idx="1">
                  <c:v>3.2589535713195801</c:v>
                </c:pt>
                <c:pt idx="2">
                  <c:v>3.2444820404052734</c:v>
                </c:pt>
                <c:pt idx="3">
                  <c:v>3.1866369247436523</c:v>
                </c:pt>
                <c:pt idx="4">
                  <c:v>3.1944830417633057</c:v>
                </c:pt>
                <c:pt idx="5">
                  <c:v>3.1904447078704834</c:v>
                </c:pt>
              </c:numCache>
            </c:numRef>
          </c:yVal>
          <c:smooth val="0"/>
          <c:extLst>
            <c:ext xmlns:c16="http://schemas.microsoft.com/office/drawing/2014/chart" uri="{C3380CC4-5D6E-409C-BE32-E72D297353CC}">
              <c16:uniqueId val="{00000006-3D24-4681-B1A9-77D3BB13ABEE}"/>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8BB5-40E6-A34B-CC436FA5C5B6}"/>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data'!$E$3:$E$7,'CHN data'!$E$9:$E$14,'CHN data'!$E$16:$E$21,'CHN data'!$E$23:$E$26,'CHN data'!$E$68,'CHN data'!$E$73)</c:f>
              <c:numCache>
                <c:formatCode>0.00</c:formatCode>
                <c:ptCount val="23"/>
                <c:pt idx="0">
                  <c:v>1.0731297731399536</c:v>
                </c:pt>
                <c:pt idx="1">
                  <c:v>0.8994293212890625</c:v>
                </c:pt>
                <c:pt idx="2">
                  <c:v>1.2202469110488892</c:v>
                </c:pt>
                <c:pt idx="3">
                  <c:v>1.4989533424377441</c:v>
                </c:pt>
                <c:pt idx="4">
                  <c:v>1.5151194334030151</c:v>
                </c:pt>
                <c:pt idx="5">
                  <c:v>1.2040331363677979</c:v>
                </c:pt>
                <c:pt idx="6">
                  <c:v>1.4789501428604126</c:v>
                </c:pt>
                <c:pt idx="7">
                  <c:v>1.24662184715271</c:v>
                </c:pt>
                <c:pt idx="8">
                  <c:v>1.1763488054275513</c:v>
                </c:pt>
                <c:pt idx="9">
                  <c:v>0.8675951361656189</c:v>
                </c:pt>
                <c:pt idx="10">
                  <c:v>0.77254652976989746</c:v>
                </c:pt>
                <c:pt idx="11">
                  <c:v>0.84064942598342896</c:v>
                </c:pt>
                <c:pt idx="12">
                  <c:v>0.87698572874069214</c:v>
                </c:pt>
                <c:pt idx="13">
                  <c:v>0.87384563684463501</c:v>
                </c:pt>
                <c:pt idx="14">
                  <c:v>0.94786739349365234</c:v>
                </c:pt>
                <c:pt idx="15">
                  <c:v>1.0029878616333008</c:v>
                </c:pt>
                <c:pt idx="16">
                  <c:v>1.1869363784790039</c:v>
                </c:pt>
                <c:pt idx="17">
                  <c:v>1.4525940418243408</c:v>
                </c:pt>
                <c:pt idx="18">
                  <c:v>0.85808426141738892</c:v>
                </c:pt>
                <c:pt idx="19">
                  <c:v>0.77039182186126709</c:v>
                </c:pt>
                <c:pt idx="20">
                  <c:v>0.60380738973617554</c:v>
                </c:pt>
                <c:pt idx="21">
                  <c:v>1.6078505516052246</c:v>
                </c:pt>
                <c:pt idx="22">
                  <c:v>0.87022620439529419</c:v>
                </c:pt>
              </c:numCache>
            </c:numRef>
          </c:xVal>
          <c:yVal>
            <c:numRef>
              <c:f>('CHN data'!$F$3:$F$7,'CHN data'!$F$9:$F$14,'CHN data'!$F$16:$F$21,'CHN data'!$F$23:$F$26,'CHN data'!$F$68,'CHN data'!$F$73)</c:f>
              <c:numCache>
                <c:formatCode>0.00</c:formatCode>
                <c:ptCount val="23"/>
                <c:pt idx="0">
                  <c:v>14.71473217010498</c:v>
                </c:pt>
                <c:pt idx="1">
                  <c:v>14.187359809875488</c:v>
                </c:pt>
                <c:pt idx="2">
                  <c:v>15.580052375793457</c:v>
                </c:pt>
                <c:pt idx="3">
                  <c:v>16.941841125488281</c:v>
                </c:pt>
                <c:pt idx="4">
                  <c:v>16.930234909057617</c:v>
                </c:pt>
                <c:pt idx="5">
                  <c:v>15.826993942260742</c:v>
                </c:pt>
                <c:pt idx="6">
                  <c:v>16.868778228759766</c:v>
                </c:pt>
                <c:pt idx="7">
                  <c:v>15.056515693664551</c:v>
                </c:pt>
                <c:pt idx="8">
                  <c:v>14.936423301696777</c:v>
                </c:pt>
                <c:pt idx="9">
                  <c:v>14.13904857635498</c:v>
                </c:pt>
                <c:pt idx="10">
                  <c:v>13.897967338562012</c:v>
                </c:pt>
                <c:pt idx="11">
                  <c:v>14.053555488586426</c:v>
                </c:pt>
                <c:pt idx="12">
                  <c:v>14.414851188659668</c:v>
                </c:pt>
                <c:pt idx="13">
                  <c:v>13.559201240539551</c:v>
                </c:pt>
                <c:pt idx="14">
                  <c:v>13.887373924255371</c:v>
                </c:pt>
                <c:pt idx="15">
                  <c:v>14.294573783874512</c:v>
                </c:pt>
                <c:pt idx="16">
                  <c:v>14.818084716796875</c:v>
                </c:pt>
                <c:pt idx="17">
                  <c:v>16.111581802368164</c:v>
                </c:pt>
                <c:pt idx="18">
                  <c:v>14.079899787902832</c:v>
                </c:pt>
                <c:pt idx="19">
                  <c:v>14.234511375427246</c:v>
                </c:pt>
                <c:pt idx="20">
                  <c:v>13.566348075866699</c:v>
                </c:pt>
                <c:pt idx="21">
                  <c:v>16.646936416625977</c:v>
                </c:pt>
                <c:pt idx="22">
                  <c:v>14.146236419677734</c:v>
                </c:pt>
              </c:numCache>
            </c:numRef>
          </c:yVal>
          <c:smooth val="0"/>
          <c:extLst>
            <c:ext xmlns:c16="http://schemas.microsoft.com/office/drawing/2014/chart" uri="{C3380CC4-5D6E-409C-BE32-E72D297353CC}">
              <c16:uniqueId val="{00000003-8BB5-40E6-A34B-CC436FA5C5B6}"/>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data'!$E$27,'CHN data'!$E$40,'CHN data'!$E$75)</c:f>
              <c:numCache>
                <c:formatCode>0.00</c:formatCode>
                <c:ptCount val="3"/>
                <c:pt idx="0">
                  <c:v>0.88150405883789063</c:v>
                </c:pt>
                <c:pt idx="1">
                  <c:v>0.87499135732650757</c:v>
                </c:pt>
                <c:pt idx="2">
                  <c:v>5.2049813270568848</c:v>
                </c:pt>
              </c:numCache>
            </c:numRef>
          </c:xVal>
          <c:yVal>
            <c:numRef>
              <c:f>('CHN data'!$F$27,'CHN data'!$F$40,'CHN data'!$F$75)</c:f>
              <c:numCache>
                <c:formatCode>0.00</c:formatCode>
                <c:ptCount val="3"/>
                <c:pt idx="0">
                  <c:v>13.624052047729492</c:v>
                </c:pt>
                <c:pt idx="1">
                  <c:v>13.602847099304199</c:v>
                </c:pt>
                <c:pt idx="2">
                  <c:v>27.487150192260742</c:v>
                </c:pt>
              </c:numCache>
            </c:numRef>
          </c:yVal>
          <c:smooth val="0"/>
          <c:extLst>
            <c:ext xmlns:c16="http://schemas.microsoft.com/office/drawing/2014/chart" uri="{C3380CC4-5D6E-409C-BE32-E72D297353CC}">
              <c16:uniqueId val="{00000005-8BB5-40E6-A34B-CC436FA5C5B6}"/>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data'!$E$30:$E$37,'CHN data'!$E$42:$E$47,'CHN data'!$E$50:$E$53,'CHN data'!$E$55:$E$56,'CHN data'!$E$67,'CHN data'!$E$69,'CHN data'!$E$74,'CHN data'!$E$76)</c:f>
              <c:numCache>
                <c:formatCode>0.00</c:formatCode>
                <c:ptCount val="24"/>
                <c:pt idx="0">
                  <c:v>1.0882322788238525</c:v>
                </c:pt>
                <c:pt idx="1">
                  <c:v>0.66240662336349487</c:v>
                </c:pt>
                <c:pt idx="2">
                  <c:v>0.82626485824584961</c:v>
                </c:pt>
                <c:pt idx="3">
                  <c:v>0.43048149347305298</c:v>
                </c:pt>
                <c:pt idx="4">
                  <c:v>0.65128165483474731</c:v>
                </c:pt>
                <c:pt idx="5">
                  <c:v>0.54511123895645142</c:v>
                </c:pt>
                <c:pt idx="6">
                  <c:v>0.44688236713409424</c:v>
                </c:pt>
                <c:pt idx="7">
                  <c:v>0.39903417229652405</c:v>
                </c:pt>
                <c:pt idx="8">
                  <c:v>0.36282044649124146</c:v>
                </c:pt>
                <c:pt idx="9">
                  <c:v>0.41840517520904541</c:v>
                </c:pt>
                <c:pt idx="10">
                  <c:v>0.60423123836517334</c:v>
                </c:pt>
                <c:pt idx="11">
                  <c:v>0.69014662504196167</c:v>
                </c:pt>
                <c:pt idx="12">
                  <c:v>0.43474856019020081</c:v>
                </c:pt>
                <c:pt idx="13">
                  <c:v>0.60996341705322266</c:v>
                </c:pt>
                <c:pt idx="14">
                  <c:v>0.52007579803466797</c:v>
                </c:pt>
                <c:pt idx="15">
                  <c:v>0.41507834196090698</c:v>
                </c:pt>
                <c:pt idx="16">
                  <c:v>0.36940157413482666</c:v>
                </c:pt>
                <c:pt idx="17">
                  <c:v>0.40945658087730408</c:v>
                </c:pt>
                <c:pt idx="18">
                  <c:v>0.30700737237930298</c:v>
                </c:pt>
                <c:pt idx="19">
                  <c:v>0.36594283580780029</c:v>
                </c:pt>
                <c:pt idx="20">
                  <c:v>0.59698903560638428</c:v>
                </c:pt>
                <c:pt idx="21">
                  <c:v>0.45895856618881226</c:v>
                </c:pt>
                <c:pt idx="22">
                  <c:v>0.59382522106170654</c:v>
                </c:pt>
                <c:pt idx="23">
                  <c:v>0.62558716535568237</c:v>
                </c:pt>
              </c:numCache>
            </c:numRef>
          </c:xVal>
          <c:yVal>
            <c:numRef>
              <c:f>('CHN data'!$F$30:$F$37,'CHN data'!$F$42:$F$47,'CHN data'!$F$50:$F$53,'CHN data'!$F$55:$F$56,'CHN data'!$F$67,'CHN data'!$F$69,'CHN data'!$F$74,'CHN data'!$F$76)</c:f>
              <c:numCache>
                <c:formatCode>0.00</c:formatCode>
                <c:ptCount val="24"/>
                <c:pt idx="0">
                  <c:v>14.708972930908203</c:v>
                </c:pt>
                <c:pt idx="1">
                  <c:v>13.25831413269043</c:v>
                </c:pt>
                <c:pt idx="2">
                  <c:v>14.330452919006348</c:v>
                </c:pt>
                <c:pt idx="3">
                  <c:v>12.299344062805176</c:v>
                </c:pt>
                <c:pt idx="4">
                  <c:v>13.242649078369141</c:v>
                </c:pt>
                <c:pt idx="5">
                  <c:v>12.876192092895508</c:v>
                </c:pt>
                <c:pt idx="6">
                  <c:v>12.361801147460938</c:v>
                </c:pt>
                <c:pt idx="7">
                  <c:v>12.352426528930664</c:v>
                </c:pt>
                <c:pt idx="8">
                  <c:v>12.193502426147461</c:v>
                </c:pt>
                <c:pt idx="9">
                  <c:v>12.338925361633301</c:v>
                </c:pt>
                <c:pt idx="10">
                  <c:v>13.286656379699707</c:v>
                </c:pt>
                <c:pt idx="11">
                  <c:v>13.127504348754883</c:v>
                </c:pt>
                <c:pt idx="12">
                  <c:v>12.390985488891602</c:v>
                </c:pt>
                <c:pt idx="13">
                  <c:v>11.752729415893555</c:v>
                </c:pt>
                <c:pt idx="14">
                  <c:v>12.282519340515137</c:v>
                </c:pt>
                <c:pt idx="15">
                  <c:v>12.192169189453125</c:v>
                </c:pt>
                <c:pt idx="16">
                  <c:v>12.55713939666748</c:v>
                </c:pt>
                <c:pt idx="17">
                  <c:v>12.442910194396973</c:v>
                </c:pt>
                <c:pt idx="18">
                  <c:v>12.380021095275879</c:v>
                </c:pt>
                <c:pt idx="19">
                  <c:v>12.550811767578125</c:v>
                </c:pt>
                <c:pt idx="20">
                  <c:v>12.196744918823242</c:v>
                </c:pt>
                <c:pt idx="21">
                  <c:v>12.082046508789063</c:v>
                </c:pt>
                <c:pt idx="22">
                  <c:v>12.233369827270508</c:v>
                </c:pt>
                <c:pt idx="23">
                  <c:v>11.583279609680176</c:v>
                </c:pt>
              </c:numCache>
            </c:numRef>
          </c:yVal>
          <c:smooth val="0"/>
          <c:extLst>
            <c:ext xmlns:c16="http://schemas.microsoft.com/office/drawing/2014/chart" uri="{C3380CC4-5D6E-409C-BE32-E72D297353CC}">
              <c16:uniqueId val="{00000007-8BB5-40E6-A34B-CC436FA5C5B6}"/>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('CHN data'!$E$22,'CHN data'!$E$39,'CHN data'!$E$48,'CHN data'!$E$49,'CHN data'!$E$70,'CHN data'!$E$77)</c:f>
              <c:numCache>
                <c:formatCode>0.00</c:formatCode>
                <c:ptCount val="6"/>
                <c:pt idx="0">
                  <c:v>0.24911825358867645</c:v>
                </c:pt>
                <c:pt idx="1">
                  <c:v>0.26151299476623535</c:v>
                </c:pt>
                <c:pt idx="2">
                  <c:v>0.26234325766563416</c:v>
                </c:pt>
                <c:pt idx="3">
                  <c:v>0.25376543402671814</c:v>
                </c:pt>
                <c:pt idx="4">
                  <c:v>0.26647788286209106</c:v>
                </c:pt>
                <c:pt idx="5">
                  <c:v>0.26558923721313477</c:v>
                </c:pt>
              </c:numCache>
            </c:numRef>
          </c:xVal>
          <c:yVal>
            <c:numRef>
              <c:f>('CHN data'!$F$22,'CHN data'!$F$39,'CHN data'!$F$48,'CHN data'!$F$49,'CHN data'!$F$70,'CHN data'!$F$77)</c:f>
              <c:numCache>
                <c:formatCode>0.00</c:formatCode>
                <c:ptCount val="6"/>
                <c:pt idx="0">
                  <c:v>3.2787590026855469</c:v>
                </c:pt>
                <c:pt idx="1">
                  <c:v>3.2589535713195801</c:v>
                </c:pt>
                <c:pt idx="2">
                  <c:v>3.2444820404052734</c:v>
                </c:pt>
                <c:pt idx="3">
                  <c:v>3.1866369247436523</c:v>
                </c:pt>
                <c:pt idx="4">
                  <c:v>3.1944830417633057</c:v>
                </c:pt>
                <c:pt idx="5">
                  <c:v>3.1904447078704834</c:v>
                </c:pt>
              </c:numCache>
            </c:numRef>
          </c:yVal>
          <c:smooth val="0"/>
          <c:extLst>
            <c:ext xmlns:c16="http://schemas.microsoft.com/office/drawing/2014/chart" uri="{C3380CC4-5D6E-409C-BE32-E72D297353CC}">
              <c16:uniqueId val="{00000008-8BB5-40E6-A34B-CC436FA5C5B6}"/>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Acetanilide</c:v>
          </c:tx>
          <c:spPr>
            <a:ln w="25400" cap="rnd">
              <a:noFill/>
              <a:round/>
            </a:ln>
            <a:effectLst/>
          </c:spPr>
          <c:marker>
            <c:symbol val="circle"/>
            <c:size val="5"/>
            <c:spPr>
              <a:solidFill>
                <a:schemeClr val="accent1"/>
              </a:solidFill>
              <a:ln w="9525">
                <a:solidFill>
                  <a:schemeClr val="accent1"/>
                </a:solidFill>
              </a:ln>
              <a:effectLst/>
            </c:spPr>
          </c:marker>
          <c:xVal>
            <c:numRef>
              <c:f>('CSIRO CHN data  - DO NOT USE'!$E$33,'CSIRO CHN data  - DO NOT USE'!$E$45,'CSIRO CHN data  - DO NOT USE'!$E$67:$E$68)</c:f>
              <c:numCache>
                <c:formatCode>0.00</c:formatCode>
                <c:ptCount val="4"/>
                <c:pt idx="0">
                  <c:v>10.233995056152301</c:v>
                </c:pt>
                <c:pt idx="1">
                  <c:v>10.222079277038574</c:v>
                </c:pt>
                <c:pt idx="2">
                  <c:v>10.150540542602499</c:v>
                </c:pt>
                <c:pt idx="3">
                  <c:v>10.117638206481899</c:v>
                </c:pt>
              </c:numCache>
            </c:numRef>
          </c:xVal>
          <c:yVal>
            <c:numRef>
              <c:f>('CSIRO CHN data  - DO NOT USE'!$F$33,'CSIRO CHN data  - DO NOT USE'!$F$45,'CSIRO CHN data  - DO NOT USE'!$F$67:$F$68)</c:f>
              <c:numCache>
                <c:formatCode>0.00</c:formatCode>
                <c:ptCount val="4"/>
                <c:pt idx="0">
                  <c:v>70.901586914062506</c:v>
                </c:pt>
                <c:pt idx="1">
                  <c:v>70.925115966796895</c:v>
                </c:pt>
                <c:pt idx="2">
                  <c:v>71.083732604980497</c:v>
                </c:pt>
                <c:pt idx="3">
                  <c:v>71.108192443847699</c:v>
                </c:pt>
              </c:numCache>
            </c:numRef>
          </c:yVal>
          <c:smooth val="0"/>
          <c:extLst>
            <c:ext xmlns:c16="http://schemas.microsoft.com/office/drawing/2014/chart" uri="{C3380CC4-5D6E-409C-BE32-E72D297353CC}">
              <c16:uniqueId val="{00000000-3A52-4D80-B837-220DF892AF07}"/>
            </c:ext>
          </c:extLst>
        </c:ser>
        <c:dLbls>
          <c:showLegendKey val="0"/>
          <c:showVal val="0"/>
          <c:showCatName val="0"/>
          <c:showSerName val="0"/>
          <c:showPercent val="0"/>
          <c:showBubbleSize val="0"/>
        </c:dLbls>
        <c:axId val="26547519"/>
        <c:axId val="2036529151"/>
      </c:scatterChart>
      <c:valAx>
        <c:axId val="2654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29151"/>
        <c:crosses val="autoZero"/>
        <c:crossBetween val="midCat"/>
      </c:valAx>
      <c:valAx>
        <c:axId val="203652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4751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without</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17F6-42BD-B608-E5D2A52F171D}"/>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USE'!$E$3:$E$7,'CSIRO CHN data  - DO NOT USE'!$E$9:$E$14,'CSIRO CHN data  - DO NOT USE'!$E$16:$E$21,'CSIRO CHN data  - DO NOT USE'!$E$24:$E$28,'CSIRO CHN data  - DO NOT USE'!$E$30)</c:f>
              <c:numCache>
                <c:formatCode>0.00</c:formatCode>
                <c:ptCount val="23"/>
                <c:pt idx="0">
                  <c:v>1.0620532035827637</c:v>
                </c:pt>
                <c:pt idx="1">
                  <c:v>0.89551663398742676</c:v>
                </c:pt>
                <c:pt idx="2">
                  <c:v>1.1684569120407104</c:v>
                </c:pt>
                <c:pt idx="3">
                  <c:v>1.5020374059677124</c:v>
                </c:pt>
                <c:pt idx="4">
                  <c:v>1.4788566827774048</c:v>
                </c:pt>
                <c:pt idx="5">
                  <c:v>1.1823410987854004</c:v>
                </c:pt>
                <c:pt idx="6">
                  <c:v>1.6000605821609497</c:v>
                </c:pt>
                <c:pt idx="7">
                  <c:v>1.2476441860198975</c:v>
                </c:pt>
                <c:pt idx="8">
                  <c:v>1.152154803276062</c:v>
                </c:pt>
                <c:pt idx="9">
                  <c:v>0.83103388547897339</c:v>
                </c:pt>
                <c:pt idx="10">
                  <c:v>0.77182066440582275</c:v>
                </c:pt>
                <c:pt idx="11">
                  <c:v>1.2036257982254028</c:v>
                </c:pt>
                <c:pt idx="12">
                  <c:v>0.84790986776351929</c:v>
                </c:pt>
                <c:pt idx="13">
                  <c:v>0.83778500556945801</c:v>
                </c:pt>
                <c:pt idx="14">
                  <c:v>0.94628375768661499</c:v>
                </c:pt>
                <c:pt idx="15">
                  <c:v>0.96075564622879028</c:v>
                </c:pt>
                <c:pt idx="16">
                  <c:v>1.1566618680953979</c:v>
                </c:pt>
                <c:pt idx="17">
                  <c:v>1.16943359375</c:v>
                </c:pt>
                <c:pt idx="18">
                  <c:v>1.4151146411895752</c:v>
                </c:pt>
                <c:pt idx="19">
                  <c:v>0.83043384552001953</c:v>
                </c:pt>
                <c:pt idx="20">
                  <c:v>0.76641571521759033</c:v>
                </c:pt>
                <c:pt idx="21">
                  <c:v>0.85138094425201416</c:v>
                </c:pt>
                <c:pt idx="22">
                  <c:v>0.64429372549057007</c:v>
                </c:pt>
              </c:numCache>
            </c:numRef>
          </c:xVal>
          <c:yVal>
            <c:numRef>
              <c:f>('CSIRO CHN data  - DO NOT USE'!$F$3:$F$7,'CSIRO CHN data  - DO NOT USE'!$F$9:$F$14,'CSIRO CHN data  - DO NOT USE'!$F$16:$F$21,'CSIRO CHN data  - DO NOT USE'!$F$24:$F$28,'CSIRO CHN data  - DO NOT USE'!$F$30)</c:f>
              <c:numCache>
                <c:formatCode>0.00</c:formatCode>
                <c:ptCount val="23"/>
                <c:pt idx="0">
                  <c:v>14.14313793182373</c:v>
                </c:pt>
                <c:pt idx="1">
                  <c:v>13.689865112304688</c:v>
                </c:pt>
                <c:pt idx="2">
                  <c:v>15.087624549865723</c:v>
                </c:pt>
                <c:pt idx="3">
                  <c:v>16.343240737915039</c:v>
                </c:pt>
                <c:pt idx="4">
                  <c:v>16.197906494140625</c:v>
                </c:pt>
                <c:pt idx="5">
                  <c:v>15.451682090759277</c:v>
                </c:pt>
                <c:pt idx="6">
                  <c:v>16.3023681640625</c:v>
                </c:pt>
                <c:pt idx="7">
                  <c:v>14.628109931945801</c:v>
                </c:pt>
                <c:pt idx="8">
                  <c:v>14.447134971618652</c:v>
                </c:pt>
                <c:pt idx="9">
                  <c:v>13.739360809326172</c:v>
                </c:pt>
                <c:pt idx="10">
                  <c:v>13.441401481628418</c:v>
                </c:pt>
                <c:pt idx="11">
                  <c:v>15.371766090393066</c:v>
                </c:pt>
                <c:pt idx="12">
                  <c:v>14.231636047363281</c:v>
                </c:pt>
                <c:pt idx="13">
                  <c:v>13.403855323791504</c:v>
                </c:pt>
                <c:pt idx="14">
                  <c:v>13.69426155090332</c:v>
                </c:pt>
                <c:pt idx="15">
                  <c:v>14.058713912963867</c:v>
                </c:pt>
                <c:pt idx="16">
                  <c:v>14.544150352478027</c:v>
                </c:pt>
                <c:pt idx="17">
                  <c:v>14.335752487182617</c:v>
                </c:pt>
                <c:pt idx="18">
                  <c:v>15.614274024963379</c:v>
                </c:pt>
                <c:pt idx="19">
                  <c:v>13.622712135314941</c:v>
                </c:pt>
                <c:pt idx="20">
                  <c:v>13.872353553771973</c:v>
                </c:pt>
                <c:pt idx="21">
                  <c:v>14.000311851501465</c:v>
                </c:pt>
                <c:pt idx="22">
                  <c:v>13.182314872741699</c:v>
                </c:pt>
              </c:numCache>
            </c:numRef>
          </c:yVal>
          <c:smooth val="0"/>
          <c:extLst>
            <c:ext xmlns:c16="http://schemas.microsoft.com/office/drawing/2014/chart" uri="{C3380CC4-5D6E-409C-BE32-E72D297353CC}">
              <c16:uniqueId val="{00000003-17F6-42BD-B608-E5D2A52F171D}"/>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USE'!$E$31,'CSIRO CHN data  - DO NOT USE'!$E$47)</c:f>
              <c:numCache>
                <c:formatCode>0.00</c:formatCode>
                <c:ptCount val="2"/>
                <c:pt idx="0">
                  <c:v>0.87448042631149292</c:v>
                </c:pt>
                <c:pt idx="1">
                  <c:v>0.89163362979888916</c:v>
                </c:pt>
              </c:numCache>
            </c:numRef>
          </c:xVal>
          <c:yVal>
            <c:numRef>
              <c:f>('CSIRO CHN data  - DO NOT USE'!$F$31,'CSIRO CHN data  - DO NOT USE'!$F$47)</c:f>
              <c:numCache>
                <c:formatCode>0.00</c:formatCode>
                <c:ptCount val="2"/>
                <c:pt idx="0">
                  <c:v>13.211616516113281</c:v>
                </c:pt>
                <c:pt idx="1">
                  <c:v>13.219948768615723</c:v>
                </c:pt>
              </c:numCache>
            </c:numRef>
          </c:yVal>
          <c:smooth val="0"/>
          <c:extLst>
            <c:ext xmlns:c16="http://schemas.microsoft.com/office/drawing/2014/chart" uri="{C3380CC4-5D6E-409C-BE32-E72D297353CC}">
              <c16:uniqueId val="{00000005-17F6-42BD-B608-E5D2A52F171D}"/>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USE'!$E$34:$E$35,'CSIRO CHN data  - DO NOT USE'!$E$37:$E$42,'CSIRO CHN data  - DO NOT USE'!$E$44,'CSIRO CHN data  - DO NOT USE'!$E$48:$E$49,'CSIRO CHN data  - DO NOT USE'!$E$51:$E$54,'CSIRO CHN data  - DO NOT USE'!$E$58:$E$63,'CSIRO CHN data  - DO NOT USE'!$E$65:$E$66)</c:f>
              <c:numCache>
                <c:formatCode>0.00</c:formatCode>
                <c:ptCount val="23"/>
                <c:pt idx="0">
                  <c:v>1.0760360956192017</c:v>
                </c:pt>
                <c:pt idx="1">
                  <c:v>0.66838455200195313</c:v>
                </c:pt>
                <c:pt idx="2">
                  <c:v>0.82736462354660034</c:v>
                </c:pt>
                <c:pt idx="3">
                  <c:v>0.42679211497306824</c:v>
                </c:pt>
                <c:pt idx="4">
                  <c:v>0.44107049703598022</c:v>
                </c:pt>
                <c:pt idx="5">
                  <c:v>0.65554952621459961</c:v>
                </c:pt>
                <c:pt idx="6">
                  <c:v>0.53904098272323608</c:v>
                </c:pt>
                <c:pt idx="7">
                  <c:v>0.44172486662864685</c:v>
                </c:pt>
                <c:pt idx="8">
                  <c:v>0.41290146112442017</c:v>
                </c:pt>
                <c:pt idx="9">
                  <c:v>0.36998188495635986</c:v>
                </c:pt>
                <c:pt idx="10">
                  <c:v>0.4133274257183075</c:v>
                </c:pt>
                <c:pt idx="11">
                  <c:v>0.61049318313598633</c:v>
                </c:pt>
                <c:pt idx="12">
                  <c:v>0.69941461086273193</c:v>
                </c:pt>
                <c:pt idx="13">
                  <c:v>0.642539381980896</c:v>
                </c:pt>
                <c:pt idx="14">
                  <c:v>0.62347358465194702</c:v>
                </c:pt>
                <c:pt idx="15">
                  <c:v>0.50728166103363037</c:v>
                </c:pt>
                <c:pt idx="16">
                  <c:v>0.56919234991073608</c:v>
                </c:pt>
                <c:pt idx="17">
                  <c:v>0.52204030752182007</c:v>
                </c:pt>
                <c:pt idx="18">
                  <c:v>0.40267428755760193</c:v>
                </c:pt>
                <c:pt idx="19">
                  <c:v>0.41688171029090881</c:v>
                </c:pt>
                <c:pt idx="20">
                  <c:v>0.40572351217269897</c:v>
                </c:pt>
                <c:pt idx="21">
                  <c:v>0.29116258025169373</c:v>
                </c:pt>
                <c:pt idx="22">
                  <c:v>0.35983774065971375</c:v>
                </c:pt>
              </c:numCache>
            </c:numRef>
          </c:xVal>
          <c:yVal>
            <c:numRef>
              <c:f>('CSIRO CHN data  - DO NOT USE'!$F$34,'CSIRO CHN data  - DO NOT USE'!$F$34:$F$35,'CSIRO CHN data  - DO NOT USE'!$F$37:$F$42,'CSIRO CHN data  - DO NOT USE'!$F$44,'CSIRO CHN data  - DO NOT USE'!$F$48:$F$49,'CSIRO CHN data  - DO NOT USE'!$F$51:$F$54,'CSIRO CHN data  - DO NOT USE'!$F$58:$F$63,'CSIRO CHN data  - DO NOT USE'!$F$65:$F$66)</c:f>
              <c:numCache>
                <c:formatCode>0.00</c:formatCode>
                <c:ptCount val="24"/>
                <c:pt idx="0">
                  <c:v>14.157011032104492</c:v>
                </c:pt>
                <c:pt idx="1">
                  <c:v>14.157011032104492</c:v>
                </c:pt>
                <c:pt idx="2">
                  <c:v>12.783132553100586</c:v>
                </c:pt>
                <c:pt idx="3">
                  <c:v>13.97739315032959</c:v>
                </c:pt>
                <c:pt idx="4">
                  <c:v>11.939963340759277</c:v>
                </c:pt>
                <c:pt idx="5">
                  <c:v>11.982534408569336</c:v>
                </c:pt>
                <c:pt idx="6">
                  <c:v>12.86846923828125</c:v>
                </c:pt>
                <c:pt idx="7">
                  <c:v>12.516523361206055</c:v>
                </c:pt>
                <c:pt idx="8">
                  <c:v>12.097273826599121</c:v>
                </c:pt>
                <c:pt idx="9">
                  <c:v>12.105298042297363</c:v>
                </c:pt>
                <c:pt idx="10">
                  <c:v>11.743414878845215</c:v>
                </c:pt>
                <c:pt idx="11">
                  <c:v>11.921630859375</c:v>
                </c:pt>
                <c:pt idx="12">
                  <c:v>12.921391487121582</c:v>
                </c:pt>
                <c:pt idx="13">
                  <c:v>12.768791198730469</c:v>
                </c:pt>
                <c:pt idx="14">
                  <c:v>11.625124931335449</c:v>
                </c:pt>
                <c:pt idx="15">
                  <c:v>11.521919250488281</c:v>
                </c:pt>
                <c:pt idx="16">
                  <c:v>10.354607582092285</c:v>
                </c:pt>
                <c:pt idx="17">
                  <c:v>12.183394432067871</c:v>
                </c:pt>
                <c:pt idx="18">
                  <c:v>11.989205360412598</c:v>
                </c:pt>
                <c:pt idx="19">
                  <c:v>11.903401374816895</c:v>
                </c:pt>
                <c:pt idx="20">
                  <c:v>12.090027809143066</c:v>
                </c:pt>
                <c:pt idx="21">
                  <c:v>12.174310684204102</c:v>
                </c:pt>
                <c:pt idx="22">
                  <c:v>11.526795387268066</c:v>
                </c:pt>
                <c:pt idx="23">
                  <c:v>12.221823692321777</c:v>
                </c:pt>
              </c:numCache>
            </c:numRef>
          </c:yVal>
          <c:smooth val="0"/>
          <c:extLst>
            <c:ext xmlns:c16="http://schemas.microsoft.com/office/drawing/2014/chart" uri="{C3380CC4-5D6E-409C-BE32-E72D297353CC}">
              <c16:uniqueId val="{00000007-17F6-42BD-B608-E5D2A52F171D}"/>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('CSIRO CHN data  - DO NOT USE'!$E$23,'CSIRO CHN data  - DO NOT USE'!$E$46,'CSIRO CHN data  - DO NOT USE'!$E$55:$E$56)</c:f>
              <c:numCache>
                <c:formatCode>0.00</c:formatCode>
                <c:ptCount val="4"/>
                <c:pt idx="0">
                  <c:v>0.24977244436740875</c:v>
                </c:pt>
                <c:pt idx="1">
                  <c:v>0.25835642218589783</c:v>
                </c:pt>
                <c:pt idx="2">
                  <c:v>0.26348024606704712</c:v>
                </c:pt>
                <c:pt idx="3">
                  <c:v>0.24828773736953735</c:v>
                </c:pt>
              </c:numCache>
            </c:numRef>
          </c:xVal>
          <c:yVal>
            <c:numRef>
              <c:f>('CSIRO CHN data  - DO NOT USE'!$F$23,'CSIRO CHN data  - DO NOT USE'!$F$46,'CSIRO CHN data  - DO NOT USE'!$F$55:$F$56)</c:f>
              <c:numCache>
                <c:formatCode>0.00</c:formatCode>
                <c:ptCount val="4"/>
                <c:pt idx="0">
                  <c:v>3.1863595008850099</c:v>
                </c:pt>
                <c:pt idx="1">
                  <c:v>3.1970623493194599</c:v>
                </c:pt>
                <c:pt idx="2">
                  <c:v>3.1974318504333499</c:v>
                </c:pt>
                <c:pt idx="3">
                  <c:v>3.1825662612915</c:v>
                </c:pt>
              </c:numCache>
            </c:numRef>
          </c:yVal>
          <c:smooth val="0"/>
          <c:extLst>
            <c:ext xmlns:c16="http://schemas.microsoft.com/office/drawing/2014/chart" uri="{C3380CC4-5D6E-409C-BE32-E72D297353CC}">
              <c16:uniqueId val="{00000008-17F6-42BD-B608-E5D2A52F171D}"/>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606B-4E70-A63A-33B92CE2505B}"/>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USE'!$E$3:$E$7,'CSIRO CHN data  - DO NOT USE'!$E$9:$E$14,'CSIRO CHN data  - DO NOT USE'!$E$16:$E$21,'CSIRO CHN data  - DO NOT USE'!$E$24:$E$28,'CSIRO CHN data  - DO NOT USE'!$E$30)</c:f>
              <c:numCache>
                <c:formatCode>0.00</c:formatCode>
                <c:ptCount val="23"/>
                <c:pt idx="0">
                  <c:v>1.0620532035827637</c:v>
                </c:pt>
                <c:pt idx="1">
                  <c:v>0.89551663398742676</c:v>
                </c:pt>
                <c:pt idx="2">
                  <c:v>1.1684569120407104</c:v>
                </c:pt>
                <c:pt idx="3">
                  <c:v>1.5020374059677124</c:v>
                </c:pt>
                <c:pt idx="4">
                  <c:v>1.4788566827774048</c:v>
                </c:pt>
                <c:pt idx="5">
                  <c:v>1.1823410987854004</c:v>
                </c:pt>
                <c:pt idx="6">
                  <c:v>1.6000605821609497</c:v>
                </c:pt>
                <c:pt idx="7">
                  <c:v>1.2476441860198975</c:v>
                </c:pt>
                <c:pt idx="8">
                  <c:v>1.152154803276062</c:v>
                </c:pt>
                <c:pt idx="9">
                  <c:v>0.83103388547897339</c:v>
                </c:pt>
                <c:pt idx="10">
                  <c:v>0.77182066440582275</c:v>
                </c:pt>
                <c:pt idx="11">
                  <c:v>1.2036257982254028</c:v>
                </c:pt>
                <c:pt idx="12">
                  <c:v>0.84790986776351929</c:v>
                </c:pt>
                <c:pt idx="13">
                  <c:v>0.83778500556945801</c:v>
                </c:pt>
                <c:pt idx="14">
                  <c:v>0.94628375768661499</c:v>
                </c:pt>
                <c:pt idx="15">
                  <c:v>0.96075564622879028</c:v>
                </c:pt>
                <c:pt idx="16">
                  <c:v>1.1566618680953979</c:v>
                </c:pt>
                <c:pt idx="17">
                  <c:v>1.16943359375</c:v>
                </c:pt>
                <c:pt idx="18">
                  <c:v>1.4151146411895752</c:v>
                </c:pt>
                <c:pt idx="19">
                  <c:v>0.83043384552001953</c:v>
                </c:pt>
                <c:pt idx="20">
                  <c:v>0.76641571521759033</c:v>
                </c:pt>
                <c:pt idx="21">
                  <c:v>0.85138094425201416</c:v>
                </c:pt>
                <c:pt idx="22">
                  <c:v>0.64429372549057007</c:v>
                </c:pt>
              </c:numCache>
            </c:numRef>
          </c:xVal>
          <c:yVal>
            <c:numRef>
              <c:f>('CSIRO CHN data  - DO NOT USE'!$F$3:$F$7,'CSIRO CHN data  - DO NOT USE'!$F$9:$F$14,'CSIRO CHN data  - DO NOT USE'!$F$16:$F$21,'CSIRO CHN data  - DO NOT USE'!$F$24:$F$28,'CSIRO CHN data  - DO NOT USE'!$F$30)</c:f>
              <c:numCache>
                <c:formatCode>0.00</c:formatCode>
                <c:ptCount val="23"/>
                <c:pt idx="0">
                  <c:v>14.14313793182373</c:v>
                </c:pt>
                <c:pt idx="1">
                  <c:v>13.689865112304688</c:v>
                </c:pt>
                <c:pt idx="2">
                  <c:v>15.087624549865723</c:v>
                </c:pt>
                <c:pt idx="3">
                  <c:v>16.343240737915039</c:v>
                </c:pt>
                <c:pt idx="4">
                  <c:v>16.197906494140625</c:v>
                </c:pt>
                <c:pt idx="5">
                  <c:v>15.451682090759277</c:v>
                </c:pt>
                <c:pt idx="6">
                  <c:v>16.3023681640625</c:v>
                </c:pt>
                <c:pt idx="7">
                  <c:v>14.628109931945801</c:v>
                </c:pt>
                <c:pt idx="8">
                  <c:v>14.447134971618652</c:v>
                </c:pt>
                <c:pt idx="9">
                  <c:v>13.739360809326172</c:v>
                </c:pt>
                <c:pt idx="10">
                  <c:v>13.441401481628418</c:v>
                </c:pt>
                <c:pt idx="11">
                  <c:v>15.371766090393066</c:v>
                </c:pt>
                <c:pt idx="12">
                  <c:v>14.231636047363281</c:v>
                </c:pt>
                <c:pt idx="13">
                  <c:v>13.403855323791504</c:v>
                </c:pt>
                <c:pt idx="14">
                  <c:v>13.69426155090332</c:v>
                </c:pt>
                <c:pt idx="15">
                  <c:v>14.058713912963867</c:v>
                </c:pt>
                <c:pt idx="16">
                  <c:v>14.544150352478027</c:v>
                </c:pt>
                <c:pt idx="17">
                  <c:v>14.335752487182617</c:v>
                </c:pt>
                <c:pt idx="18">
                  <c:v>15.614274024963379</c:v>
                </c:pt>
                <c:pt idx="19">
                  <c:v>13.622712135314941</c:v>
                </c:pt>
                <c:pt idx="20">
                  <c:v>13.872353553771973</c:v>
                </c:pt>
                <c:pt idx="21">
                  <c:v>14.000311851501465</c:v>
                </c:pt>
                <c:pt idx="22">
                  <c:v>13.182314872741699</c:v>
                </c:pt>
              </c:numCache>
            </c:numRef>
          </c:yVal>
          <c:smooth val="0"/>
          <c:extLst>
            <c:ext xmlns:c16="http://schemas.microsoft.com/office/drawing/2014/chart" uri="{C3380CC4-5D6E-409C-BE32-E72D297353CC}">
              <c16:uniqueId val="{00000003-606B-4E70-A63A-33B92CE2505B}"/>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USE'!$E$31,'CSIRO CHN data  - DO NOT USE'!$E$47,'CSIRO CHN data  - DO NOT USE'!$E$32)</c:f>
              <c:numCache>
                <c:formatCode>0.00</c:formatCode>
                <c:ptCount val="3"/>
                <c:pt idx="0">
                  <c:v>0.87448042631149292</c:v>
                </c:pt>
                <c:pt idx="1">
                  <c:v>0.89163362979888916</c:v>
                </c:pt>
                <c:pt idx="2">
                  <c:v>5.1916017532348633</c:v>
                </c:pt>
              </c:numCache>
            </c:numRef>
          </c:xVal>
          <c:yVal>
            <c:numRef>
              <c:f>('CSIRO CHN data  - DO NOT USE'!$F$31,'CSIRO CHN data  - DO NOT USE'!$F$47,'CSIRO CHN data  - DO NOT USE'!$F$32)</c:f>
              <c:numCache>
                <c:formatCode>0.00</c:formatCode>
                <c:ptCount val="3"/>
                <c:pt idx="0">
                  <c:v>13.211616516113281</c:v>
                </c:pt>
                <c:pt idx="1">
                  <c:v>13.219948768615723</c:v>
                </c:pt>
                <c:pt idx="2">
                  <c:v>27.375263214111328</c:v>
                </c:pt>
              </c:numCache>
            </c:numRef>
          </c:yVal>
          <c:smooth val="0"/>
          <c:extLst>
            <c:ext xmlns:c16="http://schemas.microsoft.com/office/drawing/2014/chart" uri="{C3380CC4-5D6E-409C-BE32-E72D297353CC}">
              <c16:uniqueId val="{00000005-606B-4E70-A63A-33B92CE2505B}"/>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USE'!$E$34:$E$35,'CSIRO CHN data  - DO NOT USE'!$E$37:$E$42,'CSIRO CHN data  - DO NOT USE'!$E$44,'CSIRO CHN data  - DO NOT USE'!$E$48:$E$49,'CSIRO CHN data  - DO NOT USE'!$E$51:$E$54,'CSIRO CHN data  - DO NOT USE'!$E$58:$E$63,'CSIRO CHN data  - DO NOT USE'!$E$65:$E$66)</c:f>
              <c:numCache>
                <c:formatCode>0.00</c:formatCode>
                <c:ptCount val="23"/>
                <c:pt idx="0">
                  <c:v>1.0760360956192017</c:v>
                </c:pt>
                <c:pt idx="1">
                  <c:v>0.66838455200195313</c:v>
                </c:pt>
                <c:pt idx="2">
                  <c:v>0.82736462354660034</c:v>
                </c:pt>
                <c:pt idx="3">
                  <c:v>0.42679211497306824</c:v>
                </c:pt>
                <c:pt idx="4">
                  <c:v>0.44107049703598022</c:v>
                </c:pt>
                <c:pt idx="5">
                  <c:v>0.65554952621459961</c:v>
                </c:pt>
                <c:pt idx="6">
                  <c:v>0.53904098272323608</c:v>
                </c:pt>
                <c:pt idx="7">
                  <c:v>0.44172486662864685</c:v>
                </c:pt>
                <c:pt idx="8">
                  <c:v>0.41290146112442017</c:v>
                </c:pt>
                <c:pt idx="9">
                  <c:v>0.36998188495635986</c:v>
                </c:pt>
                <c:pt idx="10">
                  <c:v>0.4133274257183075</c:v>
                </c:pt>
                <c:pt idx="11">
                  <c:v>0.61049318313598633</c:v>
                </c:pt>
                <c:pt idx="12">
                  <c:v>0.69941461086273193</c:v>
                </c:pt>
                <c:pt idx="13">
                  <c:v>0.642539381980896</c:v>
                </c:pt>
                <c:pt idx="14">
                  <c:v>0.62347358465194702</c:v>
                </c:pt>
                <c:pt idx="15">
                  <c:v>0.50728166103363037</c:v>
                </c:pt>
                <c:pt idx="16">
                  <c:v>0.56919234991073608</c:v>
                </c:pt>
                <c:pt idx="17">
                  <c:v>0.52204030752182007</c:v>
                </c:pt>
                <c:pt idx="18">
                  <c:v>0.40267428755760193</c:v>
                </c:pt>
                <c:pt idx="19">
                  <c:v>0.41688171029090881</c:v>
                </c:pt>
                <c:pt idx="20">
                  <c:v>0.40572351217269897</c:v>
                </c:pt>
                <c:pt idx="21">
                  <c:v>0.29116258025169373</c:v>
                </c:pt>
                <c:pt idx="22">
                  <c:v>0.35983774065971375</c:v>
                </c:pt>
              </c:numCache>
            </c:numRef>
          </c:xVal>
          <c:yVal>
            <c:numRef>
              <c:f>('CSIRO CHN data  - DO NOT USE'!$F$34,'CSIRO CHN data  - DO NOT USE'!$F$34:$F$35,'CSIRO CHN data  - DO NOT USE'!$F$37:$F$42,'CSIRO CHN data  - DO NOT USE'!$F$44,'CSIRO CHN data  - DO NOT USE'!$F$48:$F$49,'CSIRO CHN data  - DO NOT USE'!$F$51:$F$54,'CSIRO CHN data  - DO NOT USE'!$F$58:$F$63,'CSIRO CHN data  - DO NOT USE'!$F$65:$F$66)</c:f>
              <c:numCache>
                <c:formatCode>0.00</c:formatCode>
                <c:ptCount val="24"/>
                <c:pt idx="0">
                  <c:v>14.157011032104492</c:v>
                </c:pt>
                <c:pt idx="1">
                  <c:v>14.157011032104492</c:v>
                </c:pt>
                <c:pt idx="2">
                  <c:v>12.783132553100586</c:v>
                </c:pt>
                <c:pt idx="3">
                  <c:v>13.97739315032959</c:v>
                </c:pt>
                <c:pt idx="4">
                  <c:v>11.939963340759277</c:v>
                </c:pt>
                <c:pt idx="5">
                  <c:v>11.982534408569336</c:v>
                </c:pt>
                <c:pt idx="6">
                  <c:v>12.86846923828125</c:v>
                </c:pt>
                <c:pt idx="7">
                  <c:v>12.516523361206055</c:v>
                </c:pt>
                <c:pt idx="8">
                  <c:v>12.097273826599121</c:v>
                </c:pt>
                <c:pt idx="9">
                  <c:v>12.105298042297363</c:v>
                </c:pt>
                <c:pt idx="10">
                  <c:v>11.743414878845215</c:v>
                </c:pt>
                <c:pt idx="11">
                  <c:v>11.921630859375</c:v>
                </c:pt>
                <c:pt idx="12">
                  <c:v>12.921391487121582</c:v>
                </c:pt>
                <c:pt idx="13">
                  <c:v>12.768791198730469</c:v>
                </c:pt>
                <c:pt idx="14">
                  <c:v>11.625124931335449</c:v>
                </c:pt>
                <c:pt idx="15">
                  <c:v>11.521919250488281</c:v>
                </c:pt>
                <c:pt idx="16">
                  <c:v>10.354607582092285</c:v>
                </c:pt>
                <c:pt idx="17">
                  <c:v>12.183394432067871</c:v>
                </c:pt>
                <c:pt idx="18">
                  <c:v>11.989205360412598</c:v>
                </c:pt>
                <c:pt idx="19">
                  <c:v>11.903401374816895</c:v>
                </c:pt>
                <c:pt idx="20">
                  <c:v>12.090027809143066</c:v>
                </c:pt>
                <c:pt idx="21">
                  <c:v>12.174310684204102</c:v>
                </c:pt>
                <c:pt idx="22">
                  <c:v>11.526795387268066</c:v>
                </c:pt>
                <c:pt idx="23">
                  <c:v>12.221823692321777</c:v>
                </c:pt>
              </c:numCache>
            </c:numRef>
          </c:yVal>
          <c:smooth val="0"/>
          <c:extLst>
            <c:ext xmlns:c16="http://schemas.microsoft.com/office/drawing/2014/chart" uri="{C3380CC4-5D6E-409C-BE32-E72D297353CC}">
              <c16:uniqueId val="{00000007-606B-4E70-A63A-33B92CE2505B}"/>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('CSIRO CHN data  - DO NOT USE'!$E$23,'CSIRO CHN data  - DO NOT USE'!$E$46,'CSIRO CHN data  - DO NOT USE'!$E$55:$E$56)</c:f>
              <c:numCache>
                <c:formatCode>0.00</c:formatCode>
                <c:ptCount val="4"/>
                <c:pt idx="0">
                  <c:v>0.24977244436740875</c:v>
                </c:pt>
                <c:pt idx="1">
                  <c:v>0.25835642218589783</c:v>
                </c:pt>
                <c:pt idx="2">
                  <c:v>0.26348024606704712</c:v>
                </c:pt>
                <c:pt idx="3">
                  <c:v>0.24828773736953735</c:v>
                </c:pt>
              </c:numCache>
            </c:numRef>
          </c:xVal>
          <c:yVal>
            <c:numRef>
              <c:f>('CSIRO CHN data  - DO NOT USE'!$F$23,'CSIRO CHN data  - DO NOT USE'!$F$46,'CSIRO CHN data  - DO NOT USE'!$F$55:$F$56)</c:f>
              <c:numCache>
                <c:formatCode>0.00</c:formatCode>
                <c:ptCount val="4"/>
                <c:pt idx="0">
                  <c:v>3.1863595008850099</c:v>
                </c:pt>
                <c:pt idx="1">
                  <c:v>3.1970623493194599</c:v>
                </c:pt>
                <c:pt idx="2">
                  <c:v>3.1974318504333499</c:v>
                </c:pt>
                <c:pt idx="3">
                  <c:v>3.1825662612915</c:v>
                </c:pt>
              </c:numCache>
            </c:numRef>
          </c:yVal>
          <c:smooth val="0"/>
          <c:extLst>
            <c:ext xmlns:c16="http://schemas.microsoft.com/office/drawing/2014/chart" uri="{C3380CC4-5D6E-409C-BE32-E72D297353CC}">
              <c16:uniqueId val="{00000008-606B-4E70-A63A-33B92CE2505B}"/>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00B050"/>
              </a:solidFill>
              <a:ln>
                <a:solidFill>
                  <a:srgbClr val="00B050"/>
                </a:solidFill>
                <a:prstDash val="solid"/>
              </a:ln>
            </c:spPr>
          </c:marker>
          <c:xVal>
            <c:numRef>
              <c:f>[1]Main!$V$7:$V$27</c:f>
              <c:numCache>
                <c:formatCode>General</c:formatCode>
                <c:ptCount val="21"/>
                <c:pt idx="0">
                  <c:v>44704.5</c:v>
                </c:pt>
                <c:pt idx="1">
                  <c:v>44721.5</c:v>
                </c:pt>
                <c:pt idx="2">
                  <c:v>44738.5</c:v>
                </c:pt>
                <c:pt idx="3">
                  <c:v>44755.5</c:v>
                </c:pt>
                <c:pt idx="4">
                  <c:v>44772.5</c:v>
                </c:pt>
                <c:pt idx="5">
                  <c:v>44789.5</c:v>
                </c:pt>
                <c:pt idx="6">
                  <c:v>44806.5</c:v>
                </c:pt>
                <c:pt idx="7">
                  <c:v>44823.5</c:v>
                </c:pt>
                <c:pt idx="8">
                  <c:v>44840.5</c:v>
                </c:pt>
                <c:pt idx="9">
                  <c:v>44857.5</c:v>
                </c:pt>
                <c:pt idx="10">
                  <c:v>44874.5</c:v>
                </c:pt>
                <c:pt idx="11">
                  <c:v>44891.5</c:v>
                </c:pt>
                <c:pt idx="12">
                  <c:v>44908.5</c:v>
                </c:pt>
                <c:pt idx="13">
                  <c:v>44925.5</c:v>
                </c:pt>
                <c:pt idx="14">
                  <c:v>44942.5</c:v>
                </c:pt>
                <c:pt idx="15">
                  <c:v>44959.5</c:v>
                </c:pt>
                <c:pt idx="16">
                  <c:v>44976.5</c:v>
                </c:pt>
                <c:pt idx="17">
                  <c:v>44993.5</c:v>
                </c:pt>
                <c:pt idx="18">
                  <c:v>45010.5</c:v>
                </c:pt>
                <c:pt idx="19">
                  <c:v>45027.5</c:v>
                </c:pt>
                <c:pt idx="20">
                  <c:v>45044.5</c:v>
                </c:pt>
              </c:numCache>
            </c:numRef>
          </c:xVal>
          <c:yVal>
            <c:numRef>
              <c:f>'PIC data'!$AF$8:$AF$28</c:f>
              <c:numCache>
                <c:formatCode>General</c:formatCode>
                <c:ptCount val="21"/>
                <c:pt idx="0">
                  <c:v>67.89796153799513</c:v>
                </c:pt>
                <c:pt idx="1">
                  <c:v>71.854113247498631</c:v>
                </c:pt>
                <c:pt idx="2">
                  <c:v>70.994697892961668</c:v>
                </c:pt>
                <c:pt idx="3">
                  <c:v>64.348223374202803</c:v>
                </c:pt>
                <c:pt idx="4">
                  <c:v>63.169767863417746</c:v>
                </c:pt>
                <c:pt idx="5">
                  <c:v>66.814093851219866</c:v>
                </c:pt>
                <c:pt idx="6">
                  <c:v>61.976807031448239</c:v>
                </c:pt>
                <c:pt idx="7">
                  <c:v>62.602120009255792</c:v>
                </c:pt>
                <c:pt idx="8">
                  <c:v>65.52842043529958</c:v>
                </c:pt>
                <c:pt idx="9">
                  <c:v>72.325832437534103</c:v>
                </c:pt>
                <c:pt idx="10">
                  <c:v>71.912612812938164</c:v>
                </c:pt>
                <c:pt idx="11" formatCode="0.00">
                  <c:v>67.729120382894621</c:v>
                </c:pt>
                <c:pt idx="12">
                  <c:v>60.136488722574157</c:v>
                </c:pt>
                <c:pt idx="13">
                  <c:v>61.662020080257655</c:v>
                </c:pt>
                <c:pt idx="14">
                  <c:v>67.998087030381555</c:v>
                </c:pt>
                <c:pt idx="15">
                  <c:v>64.405270595948735</c:v>
                </c:pt>
                <c:pt idx="16">
                  <c:v>65.151881742527905</c:v>
                </c:pt>
                <c:pt idx="17">
                  <c:v>73.886917490251321</c:v>
                </c:pt>
                <c:pt idx="18">
                  <c:v>78.230438867579466</c:v>
                </c:pt>
                <c:pt idx="19">
                  <c:v>76.003566282960719</c:v>
                </c:pt>
                <c:pt idx="20">
                  <c:v>80.171065139205055</c:v>
                </c:pt>
              </c:numCache>
            </c:numRef>
          </c:yVal>
          <c:smooth val="0"/>
          <c:extLst>
            <c:ext xmlns:c16="http://schemas.microsoft.com/office/drawing/2014/chart" uri="{C3380CC4-5D6E-409C-BE32-E72D297353CC}">
              <c16:uniqueId val="{00000000-093A-4BB8-AA6A-418C05834DD0}"/>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[1]Main!$V$31:$V$51</c:f>
              <c:numCache>
                <c:formatCode>General</c:formatCode>
                <c:ptCount val="21"/>
                <c:pt idx="0">
                  <c:v>44704.5</c:v>
                </c:pt>
                <c:pt idx="1">
                  <c:v>44721.5</c:v>
                </c:pt>
                <c:pt idx="2">
                  <c:v>44738.5</c:v>
                </c:pt>
                <c:pt idx="3">
                  <c:v>44755.5</c:v>
                </c:pt>
                <c:pt idx="4">
                  <c:v>44772.5</c:v>
                </c:pt>
                <c:pt idx="5">
                  <c:v>44789.5</c:v>
                </c:pt>
                <c:pt idx="6">
                  <c:v>44806.5</c:v>
                </c:pt>
                <c:pt idx="7">
                  <c:v>44823.5</c:v>
                </c:pt>
                <c:pt idx="8">
                  <c:v>44840.5</c:v>
                </c:pt>
                <c:pt idx="9">
                  <c:v>44857.5</c:v>
                </c:pt>
                <c:pt idx="10">
                  <c:v>44874.5</c:v>
                </c:pt>
                <c:pt idx="11">
                  <c:v>44891.5</c:v>
                </c:pt>
                <c:pt idx="12">
                  <c:v>44908.5</c:v>
                </c:pt>
                <c:pt idx="13">
                  <c:v>44925.5</c:v>
                </c:pt>
                <c:pt idx="14">
                  <c:v>44942.5</c:v>
                </c:pt>
                <c:pt idx="15">
                  <c:v>44959.5</c:v>
                </c:pt>
                <c:pt idx="16">
                  <c:v>44976.5</c:v>
                </c:pt>
                <c:pt idx="17">
                  <c:v>44993.5</c:v>
                </c:pt>
                <c:pt idx="18">
                  <c:v>45010.5</c:v>
                </c:pt>
                <c:pt idx="19">
                  <c:v>45027.5</c:v>
                </c:pt>
                <c:pt idx="20">
                  <c:v>45044.5</c:v>
                </c:pt>
              </c:numCache>
            </c:numRef>
          </c:xVal>
          <c:yVal>
            <c:numRef>
              <c:f>'PIC data'!$AF$29:$AF$30</c:f>
              <c:numCache>
                <c:formatCode>General</c:formatCode>
                <c:ptCount val="2"/>
                <c:pt idx="0">
                  <c:v>67.400786735375078</c:v>
                </c:pt>
                <c:pt idx="1">
                  <c:v>42.643121428578624</c:v>
                </c:pt>
              </c:numCache>
            </c:numRef>
          </c:yVal>
          <c:smooth val="0"/>
          <c:extLst>
            <c:ext xmlns:c16="http://schemas.microsoft.com/office/drawing/2014/chart" uri="{C3380CC4-5D6E-409C-BE32-E72D297353CC}">
              <c16:uniqueId val="{00000001-093A-4BB8-AA6A-418C05834DD0}"/>
            </c:ext>
          </c:extLst>
        </c:ser>
        <c:ser>
          <c:idx val="3"/>
          <c:order val="2"/>
          <c:tx>
            <c:v>47_3800</c:v>
          </c:tx>
          <c:spPr>
            <a:ln w="19050">
              <a:noFill/>
            </a:ln>
          </c:spPr>
          <c:marker>
            <c:symbol val="circle"/>
            <c:size val="5"/>
            <c:spPr>
              <a:solidFill>
                <a:srgbClr val="8064A2"/>
              </a:solidFill>
              <a:ln>
                <a:solidFill>
                  <a:srgbClr val="666699"/>
                </a:solidFill>
                <a:prstDash val="solid"/>
              </a:ln>
            </c:spPr>
          </c:marker>
          <c:xVal>
            <c:numRef>
              <c:f>[1]Main!$V$7:$V$27</c:f>
              <c:numCache>
                <c:formatCode>General</c:formatCode>
                <c:ptCount val="21"/>
                <c:pt idx="0">
                  <c:v>44704.5</c:v>
                </c:pt>
                <c:pt idx="1">
                  <c:v>44721.5</c:v>
                </c:pt>
                <c:pt idx="2">
                  <c:v>44738.5</c:v>
                </c:pt>
                <c:pt idx="3">
                  <c:v>44755.5</c:v>
                </c:pt>
                <c:pt idx="4">
                  <c:v>44772.5</c:v>
                </c:pt>
                <c:pt idx="5">
                  <c:v>44789.5</c:v>
                </c:pt>
                <c:pt idx="6">
                  <c:v>44806.5</c:v>
                </c:pt>
                <c:pt idx="7">
                  <c:v>44823.5</c:v>
                </c:pt>
                <c:pt idx="8">
                  <c:v>44840.5</c:v>
                </c:pt>
                <c:pt idx="9">
                  <c:v>44857.5</c:v>
                </c:pt>
                <c:pt idx="10">
                  <c:v>44874.5</c:v>
                </c:pt>
                <c:pt idx="11">
                  <c:v>44891.5</c:v>
                </c:pt>
                <c:pt idx="12">
                  <c:v>44908.5</c:v>
                </c:pt>
                <c:pt idx="13">
                  <c:v>44925.5</c:v>
                </c:pt>
                <c:pt idx="14">
                  <c:v>44942.5</c:v>
                </c:pt>
                <c:pt idx="15">
                  <c:v>44959.5</c:v>
                </c:pt>
                <c:pt idx="16">
                  <c:v>44976.5</c:v>
                </c:pt>
                <c:pt idx="17">
                  <c:v>44993.5</c:v>
                </c:pt>
                <c:pt idx="18">
                  <c:v>45010.5</c:v>
                </c:pt>
                <c:pt idx="19">
                  <c:v>45027.5</c:v>
                </c:pt>
                <c:pt idx="20">
                  <c:v>45044.5</c:v>
                </c:pt>
              </c:numCache>
            </c:numRef>
          </c:xVal>
          <c:yVal>
            <c:numRef>
              <c:f>'PIC data'!$AF$31:$AF$51</c:f>
              <c:numCache>
                <c:formatCode>General</c:formatCode>
                <c:ptCount val="21"/>
                <c:pt idx="0">
                  <c:v>64.111804256835711</c:v>
                </c:pt>
                <c:pt idx="1">
                  <c:v>73.037669159249134</c:v>
                </c:pt>
                <c:pt idx="2">
                  <c:v>72.444641581025849</c:v>
                </c:pt>
                <c:pt idx="3">
                  <c:v>77.126100462947051</c:v>
                </c:pt>
                <c:pt idx="4">
                  <c:v>74.410123616801727</c:v>
                </c:pt>
                <c:pt idx="5">
                  <c:v>74.752033588136442</c:v>
                </c:pt>
                <c:pt idx="6">
                  <c:v>74.931311872385535</c:v>
                </c:pt>
                <c:pt idx="7">
                  <c:v>74.282443019335858</c:v>
                </c:pt>
                <c:pt idx="8">
                  <c:v>76.992719209210293</c:v>
                </c:pt>
                <c:pt idx="9">
                  <c:v>77.951479092145476</c:v>
                </c:pt>
                <c:pt idx="10">
                  <c:v>76.809847280003325</c:v>
                </c:pt>
                <c:pt idx="11">
                  <c:v>73.529149351928837</c:v>
                </c:pt>
                <c:pt idx="12">
                  <c:v>64.590771084804572</c:v>
                </c:pt>
                <c:pt idx="13">
                  <c:v>60.122097947580741</c:v>
                </c:pt>
                <c:pt idx="14">
                  <c:v>59.931755101875503</c:v>
                </c:pt>
                <c:pt idx="15">
                  <c:v>69.633516813843912</c:v>
                </c:pt>
                <c:pt idx="16">
                  <c:v>71.007655938794088</c:v>
                </c:pt>
                <c:pt idx="17">
                  <c:v>73.175592708371099</c:v>
                </c:pt>
                <c:pt idx="18">
                  <c:v>80.567666009343725</c:v>
                </c:pt>
                <c:pt idx="19">
                  <c:v>83.120682042415268</c:v>
                </c:pt>
                <c:pt idx="20">
                  <c:v>82.788216515817822</c:v>
                </c:pt>
              </c:numCache>
            </c:numRef>
          </c:yVal>
          <c:smooth val="0"/>
          <c:extLst>
            <c:ext xmlns:c16="http://schemas.microsoft.com/office/drawing/2014/chart" uri="{C3380CC4-5D6E-409C-BE32-E72D297353CC}">
              <c16:uniqueId val="{00000002-093A-4BB8-AA6A-418C05834DD0}"/>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SAZ25 %CaCO3 - 1000m</a:t>
            </a:r>
          </a:p>
        </c:rich>
      </c:tx>
      <c:overlay val="0"/>
      <c:spPr>
        <a:noFill/>
        <a:ln w="25400">
          <a:noFill/>
        </a:ln>
      </c:spPr>
    </c:title>
    <c:autoTitleDeleted val="0"/>
    <c:plotArea>
      <c:layout/>
      <c:scatterChart>
        <c:scatterStyle val="lineMarker"/>
        <c:varyColors val="0"/>
        <c:ser>
          <c:idx val="0"/>
          <c:order val="0"/>
          <c:spPr>
            <a:ln w="19050">
              <a:noFill/>
            </a:ln>
          </c:spPr>
          <c:marker>
            <c:symbol val="circle"/>
            <c:size val="5"/>
            <c:spPr>
              <a:solidFill>
                <a:srgbClr val="00B050"/>
              </a:solidFill>
              <a:ln>
                <a:solidFill>
                  <a:srgbClr val="00B050"/>
                </a:solidFill>
                <a:prstDash val="solid"/>
              </a:ln>
            </c:spPr>
          </c:marker>
          <c:xVal>
            <c:numRef>
              <c:f>'PIC data'!$AE$79:$AE$133</c:f>
              <c:numCache>
                <c:formatCode>General</c:formatCode>
                <c:ptCount val="55"/>
                <c:pt idx="0">
                  <c:v>1</c:v>
                </c:pt>
                <c:pt idx="1">
                  <c:v>1</c:v>
                </c:pt>
                <c:pt idx="2">
                  <c:v>1</c:v>
                </c:pt>
                <c:pt idx="3">
                  <c:v>1</c:v>
                </c:pt>
                <c:pt idx="4">
                  <c:v>1</c:v>
                </c:pt>
                <c:pt idx="5">
                  <c:v>2</c:v>
                </c:pt>
                <c:pt idx="6">
                  <c:v>2</c:v>
                </c:pt>
                <c:pt idx="7">
                  <c:v>2</c:v>
                </c:pt>
                <c:pt idx="8">
                  <c:v>2</c:v>
                </c:pt>
                <c:pt idx="9">
                  <c:v>3</c:v>
                </c:pt>
                <c:pt idx="10">
                  <c:v>3</c:v>
                </c:pt>
                <c:pt idx="11">
                  <c:v>3</c:v>
                </c:pt>
                <c:pt idx="12">
                  <c:v>3</c:v>
                </c:pt>
                <c:pt idx="13">
                  <c:v>4</c:v>
                </c:pt>
                <c:pt idx="14">
                  <c:v>4</c:v>
                </c:pt>
                <c:pt idx="15">
                  <c:v>5</c:v>
                </c:pt>
                <c:pt idx="16">
                  <c:v>5</c:v>
                </c:pt>
                <c:pt idx="17">
                  <c:v>6</c:v>
                </c:pt>
                <c:pt idx="18">
                  <c:v>6</c:v>
                </c:pt>
                <c:pt idx="19">
                  <c:v>7</c:v>
                </c:pt>
                <c:pt idx="20">
                  <c:v>7</c:v>
                </c:pt>
                <c:pt idx="21">
                  <c:v>7</c:v>
                </c:pt>
                <c:pt idx="22">
                  <c:v>7</c:v>
                </c:pt>
                <c:pt idx="23">
                  <c:v>8</c:v>
                </c:pt>
                <c:pt idx="24">
                  <c:v>8</c:v>
                </c:pt>
                <c:pt idx="25">
                  <c:v>8</c:v>
                </c:pt>
                <c:pt idx="26">
                  <c:v>8</c:v>
                </c:pt>
                <c:pt idx="27">
                  <c:v>9</c:v>
                </c:pt>
                <c:pt idx="28">
                  <c:v>9</c:v>
                </c:pt>
                <c:pt idx="29">
                  <c:v>10</c:v>
                </c:pt>
                <c:pt idx="30">
                  <c:v>10</c:v>
                </c:pt>
                <c:pt idx="31">
                  <c:v>11</c:v>
                </c:pt>
                <c:pt idx="32">
                  <c:v>11</c:v>
                </c:pt>
                <c:pt idx="33">
                  <c:v>12</c:v>
                </c:pt>
                <c:pt idx="34">
                  <c:v>12</c:v>
                </c:pt>
                <c:pt idx="35">
                  <c:v>13</c:v>
                </c:pt>
                <c:pt idx="36">
                  <c:v>13</c:v>
                </c:pt>
                <c:pt idx="37">
                  <c:v>14</c:v>
                </c:pt>
                <c:pt idx="38">
                  <c:v>14</c:v>
                </c:pt>
                <c:pt idx="39">
                  <c:v>15</c:v>
                </c:pt>
                <c:pt idx="40">
                  <c:v>15</c:v>
                </c:pt>
                <c:pt idx="41">
                  <c:v>15</c:v>
                </c:pt>
                <c:pt idx="42">
                  <c:v>15</c:v>
                </c:pt>
                <c:pt idx="43">
                  <c:v>16</c:v>
                </c:pt>
                <c:pt idx="44">
                  <c:v>16</c:v>
                </c:pt>
                <c:pt idx="45">
                  <c:v>17</c:v>
                </c:pt>
                <c:pt idx="46">
                  <c:v>17</c:v>
                </c:pt>
                <c:pt idx="47">
                  <c:v>18</c:v>
                </c:pt>
                <c:pt idx="48">
                  <c:v>18</c:v>
                </c:pt>
                <c:pt idx="49">
                  <c:v>19</c:v>
                </c:pt>
                <c:pt idx="50">
                  <c:v>19</c:v>
                </c:pt>
                <c:pt idx="51">
                  <c:v>20</c:v>
                </c:pt>
                <c:pt idx="52">
                  <c:v>20</c:v>
                </c:pt>
                <c:pt idx="53">
                  <c:v>21</c:v>
                </c:pt>
                <c:pt idx="54">
                  <c:v>21</c:v>
                </c:pt>
              </c:numCache>
            </c:numRef>
          </c:xVal>
          <c:yVal>
            <c:numRef>
              <c:f>'PIC data'!$AF$79:$AF$133</c:f>
              <c:numCache>
                <c:formatCode>General</c:formatCode>
                <c:ptCount val="55"/>
                <c:pt idx="0">
                  <c:v>65.927432788586316</c:v>
                </c:pt>
                <c:pt idx="1">
                  <c:v>68.297750849372775</c:v>
                </c:pt>
                <c:pt idx="2">
                  <c:v>68.492521831857573</c:v>
                </c:pt>
                <c:pt idx="3">
                  <c:v>67.340527612620008</c:v>
                </c:pt>
                <c:pt idx="4">
                  <c:v>67.461045858130163</c:v>
                </c:pt>
                <c:pt idx="5">
                  <c:v>62.643125283360867</c:v>
                </c:pt>
                <c:pt idx="6">
                  <c:v>71.575296415413575</c:v>
                </c:pt>
                <c:pt idx="7">
                  <c:v>71.436922839915951</c:v>
                </c:pt>
                <c:pt idx="8">
                  <c:v>72.550120487166396</c:v>
                </c:pt>
                <c:pt idx="9">
                  <c:v>67.492836677166196</c:v>
                </c:pt>
                <c:pt idx="10">
                  <c:v>70.960902897420823</c:v>
                </c:pt>
                <c:pt idx="11">
                  <c:v>71.635838804607175</c:v>
                </c:pt>
                <c:pt idx="12">
                  <c:v>70.387351976856991</c:v>
                </c:pt>
                <c:pt idx="13">
                  <c:v>63.907269384225408</c:v>
                </c:pt>
                <c:pt idx="14">
                  <c:v>64.78917736418019</c:v>
                </c:pt>
                <c:pt idx="15">
                  <c:v>61.898327234359961</c:v>
                </c:pt>
                <c:pt idx="16">
                  <c:v>64.441208492475539</c:v>
                </c:pt>
                <c:pt idx="17">
                  <c:v>66.122833025916066</c:v>
                </c:pt>
                <c:pt idx="18">
                  <c:v>67.505354676523666</c:v>
                </c:pt>
                <c:pt idx="19">
                  <c:v>57.357775061372472</c:v>
                </c:pt>
                <c:pt idx="20">
                  <c:v>61.67081572351821</c:v>
                </c:pt>
                <c:pt idx="21">
                  <c:v>62.465958211275833</c:v>
                </c:pt>
                <c:pt idx="22">
                  <c:v>61.793647159550687</c:v>
                </c:pt>
                <c:pt idx="23">
                  <c:v>53.566456314512301</c:v>
                </c:pt>
                <c:pt idx="24">
                  <c:v>62.563855868880168</c:v>
                </c:pt>
                <c:pt idx="25">
                  <c:v>62.380256339660264</c:v>
                </c:pt>
                <c:pt idx="26">
                  <c:v>62.862247819226923</c:v>
                </c:pt>
                <c:pt idx="27">
                  <c:v>64.66164366540518</c:v>
                </c:pt>
                <c:pt idx="28">
                  <c:v>66.395197205193995</c:v>
                </c:pt>
                <c:pt idx="29">
                  <c:v>73.081094005868579</c:v>
                </c:pt>
                <c:pt idx="30">
                  <c:v>71.570570869199642</c:v>
                </c:pt>
                <c:pt idx="31">
                  <c:v>71.451768905779758</c:v>
                </c:pt>
                <c:pt idx="32">
                  <c:v>72.37345672009657</c:v>
                </c:pt>
                <c:pt idx="33">
                  <c:v>67.511600893902511</c:v>
                </c:pt>
                <c:pt idx="34">
                  <c:v>67.946639871886745</c:v>
                </c:pt>
                <c:pt idx="35">
                  <c:v>60.450631031424621</c:v>
                </c:pt>
                <c:pt idx="36">
                  <c:v>59.822346413723693</c:v>
                </c:pt>
                <c:pt idx="37">
                  <c:v>61.81727272799241</c:v>
                </c:pt>
                <c:pt idx="38">
                  <c:v>61.506767432522899</c:v>
                </c:pt>
                <c:pt idx="39">
                  <c:v>68.196379539199526</c:v>
                </c:pt>
                <c:pt idx="40">
                  <c:v>24.869670290874183</c:v>
                </c:pt>
                <c:pt idx="41">
                  <c:v>67.136227642076022</c:v>
                </c:pt>
                <c:pt idx="42">
                  <c:v>68.661653909869116</c:v>
                </c:pt>
                <c:pt idx="43">
                  <c:v>64.326241772706126</c:v>
                </c:pt>
                <c:pt idx="44">
                  <c:v>64.484299419191359</c:v>
                </c:pt>
                <c:pt idx="45">
                  <c:v>64.890579323609714</c:v>
                </c:pt>
                <c:pt idx="46">
                  <c:v>65.413184161446111</c:v>
                </c:pt>
                <c:pt idx="47">
                  <c:v>74.014086561771279</c:v>
                </c:pt>
                <c:pt idx="48">
                  <c:v>73.759748418731363</c:v>
                </c:pt>
                <c:pt idx="49">
                  <c:v>77.862974086243611</c:v>
                </c:pt>
                <c:pt idx="50">
                  <c:v>78.597903648915334</c:v>
                </c:pt>
                <c:pt idx="51">
                  <c:v>76.648897586721404</c:v>
                </c:pt>
                <c:pt idx="52">
                  <c:v>75.358234979200049</c:v>
                </c:pt>
                <c:pt idx="53">
                  <c:v>79.345675715778981</c:v>
                </c:pt>
                <c:pt idx="54">
                  <c:v>80.996454562631129</c:v>
                </c:pt>
              </c:numCache>
            </c:numRef>
          </c:yVal>
          <c:smooth val="0"/>
          <c:extLst>
            <c:ext xmlns:c16="http://schemas.microsoft.com/office/drawing/2014/chart" uri="{C3380CC4-5D6E-409C-BE32-E72D297353CC}">
              <c16:uniqueId val="{00000000-61D3-42A9-83A9-F1C4730FBF82}"/>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SAZ25 %CaCO3 - 2000m</a:t>
            </a:r>
          </a:p>
        </c:rich>
      </c:tx>
      <c:overlay val="0"/>
      <c:spPr>
        <a:noFill/>
        <a:ln w="25400">
          <a:noFill/>
        </a:ln>
      </c:spPr>
    </c:title>
    <c:autoTitleDeleted val="0"/>
    <c:plotArea>
      <c:layout/>
      <c:scatterChart>
        <c:scatterStyle val="lineMarker"/>
        <c:varyColors val="0"/>
        <c:ser>
          <c:idx val="1"/>
          <c:order val="0"/>
          <c:tx>
            <c:v>47_2000</c:v>
          </c:tx>
          <c:spPr>
            <a:ln w="19050">
              <a:noFill/>
            </a:ln>
          </c:spPr>
          <c:marker>
            <c:symbol val="circle"/>
            <c:size val="5"/>
            <c:spPr>
              <a:solidFill>
                <a:srgbClr val="C0504D"/>
              </a:solidFill>
              <a:ln>
                <a:solidFill>
                  <a:srgbClr val="993366"/>
                </a:solidFill>
                <a:prstDash val="solid"/>
              </a:ln>
            </c:spPr>
          </c:marker>
          <c:xVal>
            <c:numRef>
              <c:f>'PIC data'!$AE$134:$AE$137</c:f>
              <c:numCache>
                <c:formatCode>General</c:formatCode>
                <c:ptCount val="4"/>
                <c:pt idx="0">
                  <c:v>1</c:v>
                </c:pt>
                <c:pt idx="1">
                  <c:v>1</c:v>
                </c:pt>
                <c:pt idx="2">
                  <c:v>2</c:v>
                </c:pt>
                <c:pt idx="3">
                  <c:v>2</c:v>
                </c:pt>
              </c:numCache>
            </c:numRef>
          </c:xVal>
          <c:yVal>
            <c:numRef>
              <c:f>'PIC data'!$AF$134:$AF$137</c:f>
              <c:numCache>
                <c:formatCode>General</c:formatCode>
                <c:ptCount val="4"/>
                <c:pt idx="0">
                  <c:v>67.340527612620008</c:v>
                </c:pt>
                <c:pt idx="1">
                  <c:v>67.461045858130163</c:v>
                </c:pt>
                <c:pt idx="2">
                  <c:v>42.572131841993752</c:v>
                </c:pt>
                <c:pt idx="3">
                  <c:v>42.714111015163489</c:v>
                </c:pt>
              </c:numCache>
            </c:numRef>
          </c:yVal>
          <c:smooth val="0"/>
          <c:extLst>
            <c:ext xmlns:c16="http://schemas.microsoft.com/office/drawing/2014/chart" uri="{C3380CC4-5D6E-409C-BE32-E72D297353CC}">
              <c16:uniqueId val="{00000000-0DAD-4965-813D-7BBC3FA1D8E1}"/>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SAZ25 %CaCO3 - 3800m</a:t>
            </a:r>
          </a:p>
        </c:rich>
      </c:tx>
      <c:overlay val="0"/>
      <c:spPr>
        <a:noFill/>
        <a:ln w="25400">
          <a:noFill/>
        </a:ln>
      </c:spPr>
    </c:title>
    <c:autoTitleDeleted val="0"/>
    <c:plotArea>
      <c:layout/>
      <c:scatterChart>
        <c:scatterStyle val="lineMarker"/>
        <c:varyColors val="0"/>
        <c:ser>
          <c:idx val="3"/>
          <c:order val="0"/>
          <c:tx>
            <c:v>47_3800</c:v>
          </c:tx>
          <c:spPr>
            <a:ln w="19050">
              <a:noFill/>
            </a:ln>
          </c:spPr>
          <c:marker>
            <c:symbol val="circle"/>
            <c:size val="5"/>
            <c:spPr>
              <a:solidFill>
                <a:srgbClr val="8064A2"/>
              </a:solidFill>
              <a:ln>
                <a:solidFill>
                  <a:srgbClr val="666699"/>
                </a:solidFill>
                <a:prstDash val="solid"/>
              </a:ln>
            </c:spPr>
          </c:marker>
          <c:xVal>
            <c:numRef>
              <c:f>'PIC data'!$AE$138:$AE$181</c:f>
              <c:numCache>
                <c:formatCode>General</c:formatCode>
                <c:ptCount val="44"/>
                <c:pt idx="0">
                  <c:v>1</c:v>
                </c:pt>
                <c:pt idx="1">
                  <c:v>1</c:v>
                </c:pt>
                <c:pt idx="2">
                  <c:v>2</c:v>
                </c:pt>
                <c:pt idx="3">
                  <c:v>2</c:v>
                </c:pt>
                <c:pt idx="4">
                  <c:v>3</c:v>
                </c:pt>
                <c:pt idx="5">
                  <c:v>3</c:v>
                </c:pt>
                <c:pt idx="6">
                  <c:v>4</c:v>
                </c:pt>
                <c:pt idx="7">
                  <c:v>4</c:v>
                </c:pt>
                <c:pt idx="8">
                  <c:v>5</c:v>
                </c:pt>
                <c:pt idx="9">
                  <c:v>5</c:v>
                </c:pt>
                <c:pt idx="10">
                  <c:v>6</c:v>
                </c:pt>
                <c:pt idx="11">
                  <c:v>6</c:v>
                </c:pt>
                <c:pt idx="12">
                  <c:v>7</c:v>
                </c:pt>
                <c:pt idx="13">
                  <c:v>7</c:v>
                </c:pt>
                <c:pt idx="14">
                  <c:v>7</c:v>
                </c:pt>
                <c:pt idx="15">
                  <c:v>7</c:v>
                </c:pt>
                <c:pt idx="16">
                  <c:v>8</c:v>
                </c:pt>
                <c:pt idx="17">
                  <c:v>8</c:v>
                </c:pt>
                <c:pt idx="18">
                  <c:v>9</c:v>
                </c:pt>
                <c:pt idx="19">
                  <c:v>9</c:v>
                </c:pt>
                <c:pt idx="20">
                  <c:v>10</c:v>
                </c:pt>
                <c:pt idx="21">
                  <c:v>10</c:v>
                </c:pt>
                <c:pt idx="22">
                  <c:v>11</c:v>
                </c:pt>
                <c:pt idx="23">
                  <c:v>11</c:v>
                </c:pt>
                <c:pt idx="24">
                  <c:v>12</c:v>
                </c:pt>
                <c:pt idx="25">
                  <c:v>12</c:v>
                </c:pt>
                <c:pt idx="26">
                  <c:v>13</c:v>
                </c:pt>
                <c:pt idx="27">
                  <c:v>13</c:v>
                </c:pt>
                <c:pt idx="28">
                  <c:v>14</c:v>
                </c:pt>
                <c:pt idx="29">
                  <c:v>14</c:v>
                </c:pt>
                <c:pt idx="30">
                  <c:v>15</c:v>
                </c:pt>
                <c:pt idx="31">
                  <c:v>15</c:v>
                </c:pt>
                <c:pt idx="32">
                  <c:v>16</c:v>
                </c:pt>
                <c:pt idx="33">
                  <c:v>16</c:v>
                </c:pt>
                <c:pt idx="34">
                  <c:v>17</c:v>
                </c:pt>
                <c:pt idx="35">
                  <c:v>17</c:v>
                </c:pt>
                <c:pt idx="36">
                  <c:v>18</c:v>
                </c:pt>
                <c:pt idx="37">
                  <c:v>18</c:v>
                </c:pt>
                <c:pt idx="38">
                  <c:v>19</c:v>
                </c:pt>
                <c:pt idx="39">
                  <c:v>19</c:v>
                </c:pt>
                <c:pt idx="40">
                  <c:v>20</c:v>
                </c:pt>
                <c:pt idx="41">
                  <c:v>20</c:v>
                </c:pt>
                <c:pt idx="42">
                  <c:v>21</c:v>
                </c:pt>
                <c:pt idx="43">
                  <c:v>21</c:v>
                </c:pt>
              </c:numCache>
            </c:numRef>
          </c:xVal>
          <c:yVal>
            <c:numRef>
              <c:f>'PIC data'!$AF$138:$AF$181</c:f>
              <c:numCache>
                <c:formatCode>General</c:formatCode>
                <c:ptCount val="44"/>
                <c:pt idx="0">
                  <c:v>63.73525773816575</c:v>
                </c:pt>
                <c:pt idx="1">
                  <c:v>64.488350775505666</c:v>
                </c:pt>
                <c:pt idx="2">
                  <c:v>72.990300205118501</c:v>
                </c:pt>
                <c:pt idx="3">
                  <c:v>73.085038113379767</c:v>
                </c:pt>
                <c:pt idx="4">
                  <c:v>72.128135470512944</c:v>
                </c:pt>
                <c:pt idx="5">
                  <c:v>72.761147691538753</c:v>
                </c:pt>
                <c:pt idx="6">
                  <c:v>77.184146691893048</c:v>
                </c:pt>
                <c:pt idx="7">
                  <c:v>77.068054234001067</c:v>
                </c:pt>
                <c:pt idx="8">
                  <c:v>72.660508288448099</c:v>
                </c:pt>
                <c:pt idx="9">
                  <c:v>76.159738945155354</c:v>
                </c:pt>
                <c:pt idx="10">
                  <c:v>74.867170631307047</c:v>
                </c:pt>
                <c:pt idx="11">
                  <c:v>74.63689654496585</c:v>
                </c:pt>
                <c:pt idx="12">
                  <c:v>69.986992652850489</c:v>
                </c:pt>
                <c:pt idx="13">
                  <c:v>75.229919118683668</c:v>
                </c:pt>
                <c:pt idx="14">
                  <c:v>75.094835815368782</c:v>
                </c:pt>
                <c:pt idx="15">
                  <c:v>74.469180683104113</c:v>
                </c:pt>
                <c:pt idx="16">
                  <c:v>74.015604341692082</c:v>
                </c:pt>
                <c:pt idx="17">
                  <c:v>74.549281696979619</c:v>
                </c:pt>
                <c:pt idx="18">
                  <c:v>76.904634929319073</c:v>
                </c:pt>
                <c:pt idx="19">
                  <c:v>77.080803489101527</c:v>
                </c:pt>
                <c:pt idx="20">
                  <c:v>78.10890842739127</c:v>
                </c:pt>
                <c:pt idx="21">
                  <c:v>77.794049756899682</c:v>
                </c:pt>
                <c:pt idx="22">
                  <c:v>77.005601622887283</c:v>
                </c:pt>
                <c:pt idx="23">
                  <c:v>76.614092937119366</c:v>
                </c:pt>
                <c:pt idx="24">
                  <c:v>72.534339312035399</c:v>
                </c:pt>
                <c:pt idx="25">
                  <c:v>74.523959391822274</c:v>
                </c:pt>
                <c:pt idx="26">
                  <c:v>64.69210638549356</c:v>
                </c:pt>
                <c:pt idx="27">
                  <c:v>64.489435784115571</c:v>
                </c:pt>
                <c:pt idx="28">
                  <c:v>60.230998735271335</c:v>
                </c:pt>
                <c:pt idx="29">
                  <c:v>60.01319715989014</c:v>
                </c:pt>
                <c:pt idx="30">
                  <c:v>59.861924766957877</c:v>
                </c:pt>
                <c:pt idx="31">
                  <c:v>60.001585436793128</c:v>
                </c:pt>
                <c:pt idx="32">
                  <c:v>69.552590217035231</c:v>
                </c:pt>
                <c:pt idx="33">
                  <c:v>69.714443410652592</c:v>
                </c:pt>
                <c:pt idx="34">
                  <c:v>71.513153584121369</c:v>
                </c:pt>
                <c:pt idx="35">
                  <c:v>70.502158293466806</c:v>
                </c:pt>
                <c:pt idx="36">
                  <c:v>71.531077271335903</c:v>
                </c:pt>
                <c:pt idx="37">
                  <c:v>74.820108145406294</c:v>
                </c:pt>
                <c:pt idx="38">
                  <c:v>80.579039588282484</c:v>
                </c:pt>
                <c:pt idx="39">
                  <c:v>80.55629243040498</c:v>
                </c:pt>
                <c:pt idx="40">
                  <c:v>83.254823853276946</c:v>
                </c:pt>
                <c:pt idx="41">
                  <c:v>82.986540231553604</c:v>
                </c:pt>
                <c:pt idx="42">
                  <c:v>82.852672274266752</c:v>
                </c:pt>
                <c:pt idx="43">
                  <c:v>82.723760757368879</c:v>
                </c:pt>
              </c:numCache>
            </c:numRef>
          </c:yVal>
          <c:smooth val="0"/>
          <c:extLst>
            <c:ext xmlns:c16="http://schemas.microsoft.com/office/drawing/2014/chart" uri="{C3380CC4-5D6E-409C-BE32-E72D297353CC}">
              <c16:uniqueId val="{00000000-F2F2-4943-B565-6C6845DA680C}"/>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Massflux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205211330755152E-2"/>
          <c:y val="3.3295395295288778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main!$I$7:$I$27</c:f>
              <c:numCache>
                <c:formatCode>General</c:formatCode>
                <c:ptCount val="21"/>
                <c:pt idx="0">
                  <c:v>65.956190476190471</c:v>
                </c:pt>
                <c:pt idx="1">
                  <c:v>40.874285714285719</c:v>
                </c:pt>
                <c:pt idx="2">
                  <c:v>17.35047619047619</c:v>
                </c:pt>
                <c:pt idx="3">
                  <c:v>22.990476190476183</c:v>
                </c:pt>
                <c:pt idx="4">
                  <c:v>19.211428571428574</c:v>
                </c:pt>
                <c:pt idx="5">
                  <c:v>21.422857142857143</c:v>
                </c:pt>
                <c:pt idx="6">
                  <c:v>17.424761904761905</c:v>
                </c:pt>
                <c:pt idx="7">
                  <c:v>31.872380952380954</c:v>
                </c:pt>
                <c:pt idx="8">
                  <c:v>41.723809523809521</c:v>
                </c:pt>
                <c:pt idx="9">
                  <c:v>63.24</c:v>
                </c:pt>
                <c:pt idx="10">
                  <c:v>80.392380952380961</c:v>
                </c:pt>
                <c:pt idx="11">
                  <c:v>124.98476190476188</c:v>
                </c:pt>
                <c:pt idx="12">
                  <c:v>189.83238095238096</c:v>
                </c:pt>
                <c:pt idx="13">
                  <c:v>86.476190476190496</c:v>
                </c:pt>
                <c:pt idx="14">
                  <c:v>36.327619047619052</c:v>
                </c:pt>
                <c:pt idx="15">
                  <c:v>52.220952380952369</c:v>
                </c:pt>
                <c:pt idx="16">
                  <c:v>57.725714285714282</c:v>
                </c:pt>
                <c:pt idx="17">
                  <c:v>64.720000000000013</c:v>
                </c:pt>
                <c:pt idx="18">
                  <c:v>106.58476190476192</c:v>
                </c:pt>
                <c:pt idx="19">
                  <c:v>66.432380952380953</c:v>
                </c:pt>
                <c:pt idx="20">
                  <c:v>75.742857142857147</c:v>
                </c:pt>
              </c:numCache>
            </c:numRef>
          </c:yVal>
          <c:smooth val="0"/>
          <c:extLst>
            <c:ext xmlns:c16="http://schemas.microsoft.com/office/drawing/2014/chart" uri="{C3380CC4-5D6E-409C-BE32-E72D297353CC}">
              <c16:uniqueId val="{00000000-53EA-4239-9385-1804FB997069}"/>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main!$I$31:$I$51</c:f>
              <c:numCache>
                <c:formatCode>General</c:formatCode>
                <c:ptCount val="21"/>
                <c:pt idx="0">
                  <c:v>114.38666666666664</c:v>
                </c:pt>
                <c:pt idx="1">
                  <c:v>49.542857142857137</c:v>
                </c:pt>
                <c:pt idx="2">
                  <c:v>10.129523809523809</c:v>
                </c:pt>
                <c:pt idx="3">
                  <c:v>8.6704761904761902</c:v>
                </c:pt>
                <c:pt idx="4">
                  <c:v>21.792380952380952</c:v>
                </c:pt>
                <c:pt idx="5">
                  <c:v>12.592380952380951</c:v>
                </c:pt>
                <c:pt idx="6">
                  <c:v>3.344761904761905</c:v>
                </c:pt>
                <c:pt idx="7">
                  <c:v>4.0647619047619044</c:v>
                </c:pt>
                <c:pt idx="8">
                  <c:v>12.331428571428573</c:v>
                </c:pt>
                <c:pt idx="9">
                  <c:v>4.5047619047619047</c:v>
                </c:pt>
                <c:pt idx="10">
                  <c:v>0</c:v>
                </c:pt>
                <c:pt idx="11">
                  <c:v>0.49047619047619057</c:v>
                </c:pt>
                <c:pt idx="12">
                  <c:v>0</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1-53EA-4239-9385-1804FB997069}"/>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main!$I$55:$I$75</c:f>
              <c:numCache>
                <c:formatCode>General</c:formatCode>
                <c:ptCount val="21"/>
                <c:pt idx="0">
                  <c:v>106.52952380952381</c:v>
                </c:pt>
                <c:pt idx="1">
                  <c:v>34.521904761904764</c:v>
                </c:pt>
                <c:pt idx="2">
                  <c:v>14.860952380952385</c:v>
                </c:pt>
                <c:pt idx="3">
                  <c:v>31.179047619047616</c:v>
                </c:pt>
                <c:pt idx="4">
                  <c:v>21.521904761904761</c:v>
                </c:pt>
                <c:pt idx="5">
                  <c:v>23.217142857142861</c:v>
                </c:pt>
                <c:pt idx="6">
                  <c:v>19.04</c:v>
                </c:pt>
                <c:pt idx="7">
                  <c:v>27.44</c:v>
                </c:pt>
                <c:pt idx="8">
                  <c:v>19.502857142857145</c:v>
                </c:pt>
                <c:pt idx="9">
                  <c:v>43.097142857142863</c:v>
                </c:pt>
                <c:pt idx="10">
                  <c:v>53.24</c:v>
                </c:pt>
                <c:pt idx="11">
                  <c:v>54.76</c:v>
                </c:pt>
                <c:pt idx="12">
                  <c:v>167.79238095238094</c:v>
                </c:pt>
                <c:pt idx="13">
                  <c:v>172.01904761904763</c:v>
                </c:pt>
                <c:pt idx="14">
                  <c:v>132.8342857142857</c:v>
                </c:pt>
                <c:pt idx="15">
                  <c:v>51.377142857142864</c:v>
                </c:pt>
                <c:pt idx="16">
                  <c:v>62.222857142857144</c:v>
                </c:pt>
                <c:pt idx="17">
                  <c:v>44.106666666666662</c:v>
                </c:pt>
                <c:pt idx="18">
                  <c:v>63.230476190476189</c:v>
                </c:pt>
                <c:pt idx="19">
                  <c:v>67.622857142857143</c:v>
                </c:pt>
                <c:pt idx="20">
                  <c:v>61.272380952380963</c:v>
                </c:pt>
              </c:numCache>
            </c:numRef>
          </c:yVal>
          <c:smooth val="0"/>
          <c:extLst>
            <c:ext xmlns:c16="http://schemas.microsoft.com/office/drawing/2014/chart" uri="{C3380CC4-5D6E-409C-BE32-E72D297353CC}">
              <c16:uniqueId val="{00000002-53EA-4239-9385-1804FB997069}"/>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Massflux mg m-2 d-1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SAZ25 %PIC</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main!$AG$7:$AG$27</c:f>
              <c:numCache>
                <c:formatCode>General</c:formatCode>
                <c:ptCount val="21"/>
                <c:pt idx="0">
                  <c:v>8.1474650335990173</c:v>
                </c:pt>
                <c:pt idx="1">
                  <c:v>8.6221863211115402</c:v>
                </c:pt>
                <c:pt idx="2">
                  <c:v>8.5190601536711554</c:v>
                </c:pt>
                <c:pt idx="3">
                  <c:v>7.7215116336321303</c:v>
                </c:pt>
                <c:pt idx="4">
                  <c:v>7.580102011748262</c:v>
                </c:pt>
                <c:pt idx="5">
                  <c:v>8.0174055461119345</c:v>
                </c:pt>
                <c:pt idx="6">
                  <c:v>7.436951813351131</c:v>
                </c:pt>
                <c:pt idx="7">
                  <c:v>7.5119866966722126</c:v>
                </c:pt>
                <c:pt idx="8">
                  <c:v>7.8631302341060412</c:v>
                </c:pt>
                <c:pt idx="9">
                  <c:v>8.6787906067106153</c:v>
                </c:pt>
                <c:pt idx="10">
                  <c:v>8.6292060188035329</c:v>
                </c:pt>
                <c:pt idx="11">
                  <c:v>8.1272048169996722</c:v>
                </c:pt>
                <c:pt idx="12">
                  <c:v>7.216121486009814</c:v>
                </c:pt>
                <c:pt idx="13">
                  <c:v>7.3991787253266352</c:v>
                </c:pt>
                <c:pt idx="14">
                  <c:v>8.1594796645203562</c:v>
                </c:pt>
                <c:pt idx="15">
                  <c:v>7.7283570562915251</c:v>
                </c:pt>
                <c:pt idx="16">
                  <c:v>7.8179472011597939</c:v>
                </c:pt>
                <c:pt idx="17">
                  <c:v>8.8661141373937884</c:v>
                </c:pt>
                <c:pt idx="18">
                  <c:v>9.3873181285425904</c:v>
                </c:pt>
                <c:pt idx="19">
                  <c:v>9.1201029411277421</c:v>
                </c:pt>
                <c:pt idx="20">
                  <c:v>9.6201849824687624</c:v>
                </c:pt>
              </c:numCache>
            </c:numRef>
          </c:yVal>
          <c:smooth val="0"/>
          <c:extLst>
            <c:ext xmlns:c16="http://schemas.microsoft.com/office/drawing/2014/chart" uri="{C3380CC4-5D6E-409C-BE32-E72D297353CC}">
              <c16:uniqueId val="{00000000-A0AD-43F4-8E1E-9B731E0B59F5}"/>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main!$AG$31:$AG$51</c:f>
              <c:numCache>
                <c:formatCode>General</c:formatCode>
                <c:ptCount val="21"/>
                <c:pt idx="0">
                  <c:v>8.0878061833452186</c:v>
                </c:pt>
                <c:pt idx="1">
                  <c:v>5.1169922173354276</c:v>
                </c:pt>
              </c:numCache>
            </c:numRef>
          </c:yVal>
          <c:smooth val="0"/>
          <c:extLst>
            <c:ext xmlns:c16="http://schemas.microsoft.com/office/drawing/2014/chart" uri="{C3380CC4-5D6E-409C-BE32-E72D297353CC}">
              <c16:uniqueId val="{00000001-A0AD-43F4-8E1E-9B731E0B59F5}"/>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main!$AG$55:$AG$75</c:f>
              <c:numCache>
                <c:formatCode>General</c:formatCode>
                <c:ptCount val="21"/>
                <c:pt idx="0">
                  <c:v>7.6931423505433463</c:v>
                </c:pt>
                <c:pt idx="1">
                  <c:v>8.7642079693004984</c:v>
                </c:pt>
                <c:pt idx="2">
                  <c:v>8.6930471958679956</c:v>
                </c:pt>
                <c:pt idx="3">
                  <c:v>9.2548022424512499</c:v>
                </c:pt>
                <c:pt idx="4">
                  <c:v>8.9288966352018964</c:v>
                </c:pt>
                <c:pt idx="5">
                  <c:v>8.9699243696579547</c:v>
                </c:pt>
                <c:pt idx="6">
                  <c:v>8.991436997123003</c:v>
                </c:pt>
                <c:pt idx="7">
                  <c:v>8.9135755095044775</c:v>
                </c:pt>
                <c:pt idx="8">
                  <c:v>9.2387970623789482</c:v>
                </c:pt>
                <c:pt idx="9">
                  <c:v>9.3538441484017092</c:v>
                </c:pt>
                <c:pt idx="10">
                  <c:v>9.2168532128864005</c:v>
                </c:pt>
                <c:pt idx="11">
                  <c:v>8.8231834907132232</c:v>
                </c:pt>
                <c:pt idx="12">
                  <c:v>7.7506163217014707</c:v>
                </c:pt>
                <c:pt idx="13">
                  <c:v>7.2143946545496433</c:v>
                </c:pt>
                <c:pt idx="14">
                  <c:v>7.1915543270250621</c:v>
                </c:pt>
                <c:pt idx="15">
                  <c:v>8.3557242449737714</c:v>
                </c:pt>
                <c:pt idx="16">
                  <c:v>8.520615063758763</c:v>
                </c:pt>
                <c:pt idx="17">
                  <c:v>8.7807582053948803</c:v>
                </c:pt>
                <c:pt idx="18">
                  <c:v>9.6677753909074831</c:v>
                </c:pt>
                <c:pt idx="19">
                  <c:v>9.9741263974546843</c:v>
                </c:pt>
                <c:pt idx="20">
                  <c:v>9.934231955979973</c:v>
                </c:pt>
              </c:numCache>
            </c:numRef>
          </c:yVal>
          <c:smooth val="0"/>
          <c:extLst>
            <c:ext xmlns:c16="http://schemas.microsoft.com/office/drawing/2014/chart" uri="{C3380CC4-5D6E-409C-BE32-E72D297353CC}">
              <c16:uniqueId val="{00000002-A0AD-43F4-8E1E-9B731E0B59F5}"/>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in val="5"/>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%PIC</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SAZ25 %POC</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main!$AH$7:$AH$27</c:f>
              <c:numCache>
                <c:formatCode>0.00</c:formatCode>
                <c:ptCount val="21"/>
                <c:pt idx="0">
                  <c:v>6.5672671365059632</c:v>
                </c:pt>
                <c:pt idx="1">
                  <c:v>5.5651734887639481</c:v>
                </c:pt>
                <c:pt idx="2">
                  <c:v>7.0609922221223016</c:v>
                </c:pt>
                <c:pt idx="3">
                  <c:v>9.2203294918561518</c:v>
                </c:pt>
                <c:pt idx="4">
                  <c:v>9.3194045571604285</c:v>
                </c:pt>
                <c:pt idx="5">
                  <c:v>7.8095883961488077</c:v>
                </c:pt>
                <c:pt idx="6">
                  <c:v>9.2099846032748456</c:v>
                </c:pt>
                <c:pt idx="7">
                  <c:v>7.5445289969923381</c:v>
                </c:pt>
                <c:pt idx="8">
                  <c:v>7.0732930675907362</c:v>
                </c:pt>
                <c:pt idx="9">
                  <c:v>5.4602579696443652</c:v>
                </c:pt>
                <c:pt idx="10">
                  <c:v>5.2687613197584788</c:v>
                </c:pt>
                <c:pt idx="11">
                  <c:v>6.2876463716599957</c:v>
                </c:pt>
                <c:pt idx="12">
                  <c:v>6.3430797545297368</c:v>
                </c:pt>
                <c:pt idx="13">
                  <c:v>6.4881951989287359</c:v>
                </c:pt>
                <c:pt idx="14">
                  <c:v>6.1350941193541555</c:v>
                </c:pt>
                <c:pt idx="15">
                  <c:v>7.0897276605053499</c:v>
                </c:pt>
                <c:pt idx="16">
                  <c:v>8.293634601208371</c:v>
                </c:pt>
                <c:pt idx="17">
                  <c:v>5.2006135008508405</c:v>
                </c:pt>
                <c:pt idx="18">
                  <c:v>4.8471932468846557</c:v>
                </c:pt>
                <c:pt idx="19">
                  <c:v>5.0261334785499923</c:v>
                </c:pt>
                <c:pt idx="20">
                  <c:v>3.9461630933979368</c:v>
                </c:pt>
              </c:numCache>
            </c:numRef>
          </c:yVal>
          <c:smooth val="0"/>
          <c:extLst>
            <c:ext xmlns:c16="http://schemas.microsoft.com/office/drawing/2014/chart" uri="{C3380CC4-5D6E-409C-BE32-E72D297353CC}">
              <c16:uniqueId val="{00000000-932C-4580-822A-9BF6B2825D8C}"/>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main!$AH$31:$AH$51</c:f>
              <c:numCache>
                <c:formatCode>0.00</c:formatCode>
                <c:ptCount val="21"/>
                <c:pt idx="0">
                  <c:v>5.5256433901716271</c:v>
                </c:pt>
                <c:pt idx="1">
                  <c:v>22.370157974925313</c:v>
                </c:pt>
              </c:numCache>
            </c:numRef>
          </c:yVal>
          <c:smooth val="0"/>
          <c:extLst>
            <c:ext xmlns:c16="http://schemas.microsoft.com/office/drawing/2014/chart" uri="{C3380CC4-5D6E-409C-BE32-E72D297353CC}">
              <c16:uniqueId val="{00000001-932C-4580-822A-9BF6B2825D8C}"/>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main!$AH$55:$AH$75</c:f>
              <c:numCache>
                <c:formatCode>0.00</c:formatCode>
                <c:ptCount val="21"/>
                <c:pt idx="0">
                  <c:v>7.0158305803648568</c:v>
                </c:pt>
                <c:pt idx="1">
                  <c:v>4.4941061633899313</c:v>
                </c:pt>
                <c:pt idx="2">
                  <c:v>5.6374057231383521</c:v>
                </c:pt>
                <c:pt idx="3">
                  <c:v>3.0903625333971387</c:v>
                </c:pt>
                <c:pt idx="4">
                  <c:v>3.1531498735871661</c:v>
                </c:pt>
                <c:pt idx="5">
                  <c:v>4.2727247087111859</c:v>
                </c:pt>
                <c:pt idx="6">
                  <c:v>3.8847550957725048</c:v>
                </c:pt>
                <c:pt idx="7">
                  <c:v>3.44822563795646</c:v>
                </c:pt>
                <c:pt idx="8">
                  <c:v>3.1136294665517159</c:v>
                </c:pt>
                <c:pt idx="9">
                  <c:v>2.8396582777457517</c:v>
                </c:pt>
                <c:pt idx="10">
                  <c:v>3.1220721487469003</c:v>
                </c:pt>
                <c:pt idx="11">
                  <c:v>4.4634728889864839</c:v>
                </c:pt>
                <c:pt idx="12">
                  <c:v>5.3768880270534121</c:v>
                </c:pt>
                <c:pt idx="13">
                  <c:v>4.3688849551305324</c:v>
                </c:pt>
                <c:pt idx="14">
                  <c:v>4.5611750888684925</c:v>
                </c:pt>
                <c:pt idx="15">
                  <c:v>3.8593331280731036</c:v>
                </c:pt>
                <c:pt idx="16">
                  <c:v>3.7619042767563737</c:v>
                </c:pt>
                <c:pt idx="17">
                  <c:v>3.4114109840582447</c:v>
                </c:pt>
                <c:pt idx="18">
                  <c:v>2.7751348034894896</c:v>
                </c:pt>
                <c:pt idx="19">
                  <c:v>2.4058946978211946</c:v>
                </c:pt>
                <c:pt idx="20">
                  <c:v>2.6197436261428297</c:v>
                </c:pt>
              </c:numCache>
            </c:numRef>
          </c:yVal>
          <c:smooth val="0"/>
          <c:extLst>
            <c:ext xmlns:c16="http://schemas.microsoft.com/office/drawing/2014/chart" uri="{C3380CC4-5D6E-409C-BE32-E72D297353CC}">
              <c16:uniqueId val="{00000002-932C-4580-822A-9BF6B2825D8C}"/>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ax val="10"/>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%POC</a:t>
                </a:r>
              </a:p>
            </c:rich>
          </c:tx>
          <c:overlay val="0"/>
          <c:spPr>
            <a:noFill/>
            <a:ln w="25400">
              <a:noFill/>
            </a:ln>
          </c:spPr>
        </c:title>
        <c:numFmt formatCode="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SAZ25 %BSi</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main!$AB$7:$AB$27</c:f>
              <c:numCache>
                <c:formatCode>General</c:formatCode>
                <c:ptCount val="21"/>
                <c:pt idx="0">
                  <c:v>5.4428935725350263</c:v>
                </c:pt>
                <c:pt idx="1">
                  <c:v>4.0843706259634178</c:v>
                </c:pt>
                <c:pt idx="2">
                  <c:v>3.0975058461657268</c:v>
                </c:pt>
                <c:pt idx="3">
                  <c:v>3.4736117628248202</c:v>
                </c:pt>
                <c:pt idx="4">
                  <c:v>4.0695577039929836</c:v>
                </c:pt>
                <c:pt idx="5">
                  <c:v>4.5270138724510112</c:v>
                </c:pt>
                <c:pt idx="6">
                  <c:v>4.6826134822467935</c:v>
                </c:pt>
                <c:pt idx="7">
                  <c:v>6.2231245896270231</c:v>
                </c:pt>
                <c:pt idx="8">
                  <c:v>5.8024817107940319</c:v>
                </c:pt>
                <c:pt idx="9">
                  <c:v>4.7619507956176461</c:v>
                </c:pt>
                <c:pt idx="10">
                  <c:v>4.9779950508655402</c:v>
                </c:pt>
                <c:pt idx="11">
                  <c:v>5.9120175633439995</c:v>
                </c:pt>
                <c:pt idx="12">
                  <c:v>8.5667506125256203</c:v>
                </c:pt>
                <c:pt idx="13">
                  <c:v>8.3453555222023592</c:v>
                </c:pt>
                <c:pt idx="14">
                  <c:v>5.9749087683219422</c:v>
                </c:pt>
                <c:pt idx="15">
                  <c:v>6.1909153326088671</c:v>
                </c:pt>
                <c:pt idx="16">
                  <c:v>4.4431011577470745</c:v>
                </c:pt>
                <c:pt idx="17">
                  <c:v>4.9601501962830952</c:v>
                </c:pt>
                <c:pt idx="18">
                  <c:v>2.9193337347883643</c:v>
                </c:pt>
                <c:pt idx="19">
                  <c:v>3.7609987044885154</c:v>
                </c:pt>
                <c:pt idx="20">
                  <c:v>3.2930572107687501</c:v>
                </c:pt>
              </c:numCache>
            </c:numRef>
          </c:yVal>
          <c:smooth val="0"/>
          <c:extLst>
            <c:ext xmlns:c16="http://schemas.microsoft.com/office/drawing/2014/chart" uri="{C3380CC4-5D6E-409C-BE32-E72D297353CC}">
              <c16:uniqueId val="{00000000-5777-4924-AF8A-979D1B32E84C}"/>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main!$AB$31:$AB$51</c:f>
              <c:numCache>
                <c:formatCode>General</c:formatCode>
                <c:ptCount val="21"/>
                <c:pt idx="0">
                  <c:v>6.7327979373468292</c:v>
                </c:pt>
                <c:pt idx="1">
                  <c:v>2.4811494270211876</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1-5777-4924-AF8A-979D1B32E84C}"/>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main!$AB$55:$AB$75</c:f>
              <c:numCache>
                <c:formatCode>General</c:formatCode>
                <c:ptCount val="21"/>
                <c:pt idx="0">
                  <c:v>6.1639201969283812</c:v>
                </c:pt>
                <c:pt idx="1">
                  <c:v>5.2068795361780396</c:v>
                </c:pt>
                <c:pt idx="2">
                  <c:v>4.2687705903628839</c:v>
                </c:pt>
                <c:pt idx="3">
                  <c:v>5.0101056207442376</c:v>
                </c:pt>
                <c:pt idx="4">
                  <c:v>5.0193551141446857</c:v>
                </c:pt>
                <c:pt idx="5">
                  <c:v>4.4344260593336244</c:v>
                </c:pt>
                <c:pt idx="6">
                  <c:v>4.5929593926033796</c:v>
                </c:pt>
                <c:pt idx="7">
                  <c:v>5.1715275437005124</c:v>
                </c:pt>
                <c:pt idx="8">
                  <c:v>4.75447923665525</c:v>
                </c:pt>
                <c:pt idx="9">
                  <c:v>4.8360228066795798</c:v>
                </c:pt>
                <c:pt idx="10">
                  <c:v>4.9558574752183464</c:v>
                </c:pt>
                <c:pt idx="11">
                  <c:v>4.9262419441444081</c:v>
                </c:pt>
                <c:pt idx="12">
                  <c:v>8.2995230023769722</c:v>
                </c:pt>
                <c:pt idx="13">
                  <c:v>10.758794629562725</c:v>
                </c:pt>
                <c:pt idx="14">
                  <c:v>10.548169766895079</c:v>
                </c:pt>
                <c:pt idx="15">
                  <c:v>7.0820878037999151</c:v>
                </c:pt>
                <c:pt idx="16">
                  <c:v>6.7905727351027068</c:v>
                </c:pt>
                <c:pt idx="17">
                  <c:v>5.6802096079029036</c:v>
                </c:pt>
                <c:pt idx="18">
                  <c:v>4.2321698656129758</c:v>
                </c:pt>
                <c:pt idx="19">
                  <c:v>3.4350290601162907</c:v>
                </c:pt>
                <c:pt idx="20">
                  <c:v>3.4583152898644407</c:v>
                </c:pt>
              </c:numCache>
            </c:numRef>
          </c:yVal>
          <c:smooth val="0"/>
          <c:extLst>
            <c:ext xmlns:c16="http://schemas.microsoft.com/office/drawing/2014/chart" uri="{C3380CC4-5D6E-409C-BE32-E72D297353CC}">
              <c16:uniqueId val="{00000002-5777-4924-AF8A-979D1B32E84C}"/>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in val="2"/>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Height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92328380928875E-2"/>
          <c:y val="3.329549357292106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main!$D$7:$D$27</c:f>
              <c:numCache>
                <c:formatCode>General</c:formatCode>
                <c:ptCount val="21"/>
                <c:pt idx="0">
                  <c:v>5</c:v>
                </c:pt>
                <c:pt idx="1">
                  <c:v>6</c:v>
                </c:pt>
                <c:pt idx="2">
                  <c:v>3</c:v>
                </c:pt>
                <c:pt idx="3">
                  <c:v>5</c:v>
                </c:pt>
                <c:pt idx="4">
                  <c:v>3</c:v>
                </c:pt>
                <c:pt idx="5">
                  <c:v>2</c:v>
                </c:pt>
                <c:pt idx="6">
                  <c:v>2</c:v>
                </c:pt>
                <c:pt idx="7">
                  <c:v>4</c:v>
                </c:pt>
                <c:pt idx="8">
                  <c:v>3</c:v>
                </c:pt>
                <c:pt idx="9">
                  <c:v>3</c:v>
                </c:pt>
                <c:pt idx="10">
                  <c:v>4</c:v>
                </c:pt>
                <c:pt idx="11">
                  <c:v>8</c:v>
                </c:pt>
                <c:pt idx="12">
                  <c:v>12</c:v>
                </c:pt>
                <c:pt idx="13">
                  <c:v>9</c:v>
                </c:pt>
                <c:pt idx="14">
                  <c:v>5</c:v>
                </c:pt>
                <c:pt idx="15">
                  <c:v>5</c:v>
                </c:pt>
                <c:pt idx="16">
                  <c:v>9</c:v>
                </c:pt>
                <c:pt idx="17">
                  <c:v>8</c:v>
                </c:pt>
                <c:pt idx="18">
                  <c:v>5</c:v>
                </c:pt>
                <c:pt idx="19">
                  <c:v>6</c:v>
                </c:pt>
                <c:pt idx="20">
                  <c:v>4</c:v>
                </c:pt>
              </c:numCache>
            </c:numRef>
          </c:yVal>
          <c:smooth val="0"/>
          <c:extLst>
            <c:ext xmlns:c16="http://schemas.microsoft.com/office/drawing/2014/chart" uri="{C3380CC4-5D6E-409C-BE32-E72D297353CC}">
              <c16:uniqueId val="{00000000-8278-40EF-A458-EE0F4E915939}"/>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main!$D$31:$D$51</c:f>
              <c:numCache>
                <c:formatCode>General</c:formatCode>
                <c:ptCount val="21"/>
                <c:pt idx="0">
                  <c:v>12</c:v>
                </c:pt>
                <c:pt idx="1">
                  <c:v>9</c:v>
                </c:pt>
                <c:pt idx="2">
                  <c:v>2</c:v>
                </c:pt>
                <c:pt idx="3">
                  <c:v>1</c:v>
                </c:pt>
                <c:pt idx="4">
                  <c:v>5</c:v>
                </c:pt>
                <c:pt idx="5">
                  <c:v>2</c:v>
                </c:pt>
                <c:pt idx="6">
                  <c:v>1</c:v>
                </c:pt>
                <c:pt idx="7">
                  <c:v>2</c:v>
                </c:pt>
                <c:pt idx="8">
                  <c:v>3</c:v>
                </c:pt>
                <c:pt idx="9">
                  <c:v>0</c:v>
                </c:pt>
                <c:pt idx="10">
                  <c:v>0</c:v>
                </c:pt>
                <c:pt idx="11">
                  <c:v>0</c:v>
                </c:pt>
                <c:pt idx="12">
                  <c:v>0</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1-8278-40EF-A458-EE0F4E915939}"/>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main!$D$55:$D$75</c:f>
              <c:numCache>
                <c:formatCode>General</c:formatCode>
                <c:ptCount val="21"/>
                <c:pt idx="0">
                  <c:v>15</c:v>
                </c:pt>
                <c:pt idx="1">
                  <c:v>7</c:v>
                </c:pt>
                <c:pt idx="2">
                  <c:v>2</c:v>
                </c:pt>
                <c:pt idx="3">
                  <c:v>4</c:v>
                </c:pt>
                <c:pt idx="4">
                  <c:v>3</c:v>
                </c:pt>
                <c:pt idx="5">
                  <c:v>3</c:v>
                </c:pt>
                <c:pt idx="6">
                  <c:v>3</c:v>
                </c:pt>
                <c:pt idx="7">
                  <c:v>4</c:v>
                </c:pt>
                <c:pt idx="8">
                  <c:v>2</c:v>
                </c:pt>
                <c:pt idx="9">
                  <c:v>3</c:v>
                </c:pt>
                <c:pt idx="10">
                  <c:v>3</c:v>
                </c:pt>
                <c:pt idx="11">
                  <c:v>5</c:v>
                </c:pt>
                <c:pt idx="12">
                  <c:v>18</c:v>
                </c:pt>
                <c:pt idx="13">
                  <c:v>23</c:v>
                </c:pt>
                <c:pt idx="14">
                  <c:v>17</c:v>
                </c:pt>
                <c:pt idx="15">
                  <c:v>6</c:v>
                </c:pt>
                <c:pt idx="16">
                  <c:v>8</c:v>
                </c:pt>
                <c:pt idx="17">
                  <c:v>5</c:v>
                </c:pt>
                <c:pt idx="18">
                  <c:v>4</c:v>
                </c:pt>
                <c:pt idx="19">
                  <c:v>3</c:v>
                </c:pt>
                <c:pt idx="20">
                  <c:v>4</c:v>
                </c:pt>
              </c:numCache>
            </c:numRef>
          </c:yVal>
          <c:smooth val="0"/>
          <c:extLst>
            <c:ext xmlns:c16="http://schemas.microsoft.com/office/drawing/2014/chart" uri="{C3380CC4-5D6E-409C-BE32-E72D297353CC}">
              <c16:uniqueId val="{00000002-8278-40EF-A458-EE0F4E915939}"/>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Height 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pH</a:t>
            </a:r>
            <a:r>
              <a:rPr lang="en-AU" baseline="0"/>
              <a:t> vs time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manualLayout>
          <c:layoutTarget val="inner"/>
          <c:xMode val="edge"/>
          <c:yMode val="edge"/>
          <c:x val="8.592328380928875E-2"/>
          <c:y val="3.329549357292106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[3]main!$S$7:$S$27</c:f>
              <c:numCache>
                <c:formatCode>General</c:formatCode>
                <c:ptCount val="21"/>
                <c:pt idx="0">
                  <c:v>8.42</c:v>
                </c:pt>
                <c:pt idx="1">
                  <c:v>8.48</c:v>
                </c:pt>
                <c:pt idx="2">
                  <c:v>8.4550000000000001</c:v>
                </c:pt>
                <c:pt idx="3">
                  <c:v>8.34</c:v>
                </c:pt>
                <c:pt idx="4">
                  <c:v>8.4700000000000006</c:v>
                </c:pt>
                <c:pt idx="5">
                  <c:v>8.4600000000000009</c:v>
                </c:pt>
                <c:pt idx="6">
                  <c:v>8.52</c:v>
                </c:pt>
                <c:pt idx="7">
                  <c:v>8.4499999999999993</c:v>
                </c:pt>
                <c:pt idx="8">
                  <c:v>8.51</c:v>
                </c:pt>
                <c:pt idx="9">
                  <c:v>8.34</c:v>
                </c:pt>
                <c:pt idx="10">
                  <c:v>8.42</c:v>
                </c:pt>
                <c:pt idx="11">
                  <c:v>8.4149999999999991</c:v>
                </c:pt>
                <c:pt idx="12">
                  <c:v>8.3699999999999992</c:v>
                </c:pt>
                <c:pt idx="13">
                  <c:v>8.31</c:v>
                </c:pt>
                <c:pt idx="14">
                  <c:v>8.36</c:v>
                </c:pt>
                <c:pt idx="15">
                  <c:v>8.5299999999999994</c:v>
                </c:pt>
                <c:pt idx="16">
                  <c:v>8.26</c:v>
                </c:pt>
                <c:pt idx="17">
                  <c:v>8.4499999999999993</c:v>
                </c:pt>
                <c:pt idx="18">
                  <c:v>8.5399999999999991</c:v>
                </c:pt>
                <c:pt idx="19">
                  <c:v>8.5500000000000007</c:v>
                </c:pt>
                <c:pt idx="20">
                  <c:v>8.59</c:v>
                </c:pt>
              </c:numCache>
            </c:numRef>
          </c:yVal>
          <c:smooth val="0"/>
          <c:extLst>
            <c:ext xmlns:c16="http://schemas.microsoft.com/office/drawing/2014/chart" uri="{C3380CC4-5D6E-409C-BE32-E72D297353CC}">
              <c16:uniqueId val="{00000000-6AFF-4BDB-A13E-6FAFE836D916}"/>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main!$S$31:$S$51</c:f>
              <c:numCache>
                <c:formatCode>General</c:formatCode>
                <c:ptCount val="21"/>
                <c:pt idx="0">
                  <c:v>8.3000000000000007</c:v>
                </c:pt>
                <c:pt idx="1">
                  <c:v>8.52</c:v>
                </c:pt>
                <c:pt idx="2">
                  <c:v>8.4600000000000009</c:v>
                </c:pt>
                <c:pt idx="3">
                  <c:v>8.4499999999999993</c:v>
                </c:pt>
                <c:pt idx="4">
                  <c:v>8.27</c:v>
                </c:pt>
                <c:pt idx="5">
                  <c:v>8.4499999999999993</c:v>
                </c:pt>
                <c:pt idx="6">
                  <c:v>8.59</c:v>
                </c:pt>
                <c:pt idx="7">
                  <c:v>8.6300000000000008</c:v>
                </c:pt>
                <c:pt idx="8">
                  <c:v>8.5500000000000007</c:v>
                </c:pt>
                <c:pt idx="9">
                  <c:v>8.6300000000000008</c:v>
                </c:pt>
                <c:pt idx="10">
                  <c:v>8.6199999999999992</c:v>
                </c:pt>
                <c:pt idx="11">
                  <c:v>8.68</c:v>
                </c:pt>
                <c:pt idx="12">
                  <c:v>8.6449999999999996</c:v>
                </c:pt>
                <c:pt idx="13">
                  <c:v>8.7100000000000009</c:v>
                </c:pt>
                <c:pt idx="14">
                  <c:v>8.66</c:v>
                </c:pt>
                <c:pt idx="15">
                  <c:v>8.64</c:v>
                </c:pt>
                <c:pt idx="16">
                  <c:v>8.64</c:v>
                </c:pt>
                <c:pt idx="17">
                  <c:v>8.5</c:v>
                </c:pt>
                <c:pt idx="18">
                  <c:v>8.67</c:v>
                </c:pt>
                <c:pt idx="19">
                  <c:v>8.65</c:v>
                </c:pt>
                <c:pt idx="20">
                  <c:v>8.48</c:v>
                </c:pt>
              </c:numCache>
            </c:numRef>
          </c:yVal>
          <c:smooth val="0"/>
          <c:extLst>
            <c:ext xmlns:c16="http://schemas.microsoft.com/office/drawing/2014/chart" uri="{C3380CC4-5D6E-409C-BE32-E72D297353CC}">
              <c16:uniqueId val="{00000001-6AFF-4BDB-A13E-6FAFE836D916}"/>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main!$S$55:$S$75</c:f>
              <c:numCache>
                <c:formatCode>General</c:formatCode>
                <c:ptCount val="21"/>
                <c:pt idx="0">
                  <c:v>8.5</c:v>
                </c:pt>
                <c:pt idx="1">
                  <c:v>8.66</c:v>
                </c:pt>
                <c:pt idx="2">
                  <c:v>8.6999999999999993</c:v>
                </c:pt>
                <c:pt idx="3">
                  <c:v>8.67</c:v>
                </c:pt>
                <c:pt idx="4">
                  <c:v>8.65</c:v>
                </c:pt>
                <c:pt idx="5">
                  <c:v>8.68</c:v>
                </c:pt>
                <c:pt idx="6">
                  <c:v>8.66</c:v>
                </c:pt>
                <c:pt idx="7">
                  <c:v>8.73</c:v>
                </c:pt>
                <c:pt idx="8">
                  <c:v>8.73</c:v>
                </c:pt>
                <c:pt idx="9">
                  <c:v>8.39</c:v>
                </c:pt>
                <c:pt idx="10">
                  <c:v>8.66</c:v>
                </c:pt>
                <c:pt idx="11">
                  <c:v>8.6649999999999991</c:v>
                </c:pt>
                <c:pt idx="12">
                  <c:v>8.49</c:v>
                </c:pt>
                <c:pt idx="13">
                  <c:v>8.5399999999999991</c:v>
                </c:pt>
                <c:pt idx="14">
                  <c:v>8.58</c:v>
                </c:pt>
                <c:pt idx="15">
                  <c:v>8.67</c:v>
                </c:pt>
                <c:pt idx="16">
                  <c:v>8.67</c:v>
                </c:pt>
                <c:pt idx="17">
                  <c:v>8.6999999999999993</c:v>
                </c:pt>
                <c:pt idx="18">
                  <c:v>8.67</c:v>
                </c:pt>
                <c:pt idx="19">
                  <c:v>8.52</c:v>
                </c:pt>
                <c:pt idx="20">
                  <c:v>8.6999999999999993</c:v>
                </c:pt>
              </c:numCache>
            </c:numRef>
          </c:yVal>
          <c:smooth val="0"/>
          <c:extLst>
            <c:ext xmlns:c16="http://schemas.microsoft.com/office/drawing/2014/chart" uri="{C3380CC4-5D6E-409C-BE32-E72D297353CC}">
              <c16:uniqueId val="{00000002-6AFF-4BDB-A13E-6FAFE836D916}"/>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b="1"/>
                  <a:t>pH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Salinity</a:t>
            </a:r>
            <a:r>
              <a:rPr lang="en-AU" baseline="0"/>
              <a:t>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92328380928875E-2"/>
          <c:y val="3.329549357292106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main!$R$7:$R$27</c:f>
              <c:numCache>
                <c:formatCode>0.00</c:formatCode>
                <c:ptCount val="21"/>
                <c:pt idx="0">
                  <c:v>40.659999999999997</c:v>
                </c:pt>
                <c:pt idx="1">
                  <c:v>39.58</c:v>
                </c:pt>
                <c:pt idx="2">
                  <c:v>38.844999999999999</c:v>
                </c:pt>
                <c:pt idx="3">
                  <c:v>40.18</c:v>
                </c:pt>
                <c:pt idx="4">
                  <c:v>40.21</c:v>
                </c:pt>
                <c:pt idx="5">
                  <c:v>39.94</c:v>
                </c:pt>
                <c:pt idx="6">
                  <c:v>40.35</c:v>
                </c:pt>
                <c:pt idx="7">
                  <c:v>40.65</c:v>
                </c:pt>
                <c:pt idx="8">
                  <c:v>40.590000000000003</c:v>
                </c:pt>
                <c:pt idx="9">
                  <c:v>40.57</c:v>
                </c:pt>
                <c:pt idx="10">
                  <c:v>40.450000000000003</c:v>
                </c:pt>
                <c:pt idx="11">
                  <c:v>40.620000000000005</c:v>
                </c:pt>
                <c:pt idx="12">
                  <c:v>39.880000000000003</c:v>
                </c:pt>
                <c:pt idx="13">
                  <c:v>38.090000000000003</c:v>
                </c:pt>
                <c:pt idx="14">
                  <c:v>38.86</c:v>
                </c:pt>
                <c:pt idx="15">
                  <c:v>39.32</c:v>
                </c:pt>
                <c:pt idx="16">
                  <c:v>40.33</c:v>
                </c:pt>
                <c:pt idx="17">
                  <c:v>40.15</c:v>
                </c:pt>
                <c:pt idx="18">
                  <c:v>39.75</c:v>
                </c:pt>
                <c:pt idx="19">
                  <c:v>39.24</c:v>
                </c:pt>
                <c:pt idx="20">
                  <c:v>39.020000000000003</c:v>
                </c:pt>
              </c:numCache>
            </c:numRef>
          </c:yVal>
          <c:smooth val="0"/>
          <c:extLst>
            <c:ext xmlns:c16="http://schemas.microsoft.com/office/drawing/2014/chart" uri="{C3380CC4-5D6E-409C-BE32-E72D297353CC}">
              <c16:uniqueId val="{00000000-52FD-4E46-8684-83883B40FFFA}"/>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main!$R$31:$R$51</c:f>
              <c:numCache>
                <c:formatCode>0.00</c:formatCode>
                <c:ptCount val="21"/>
                <c:pt idx="0">
                  <c:v>39.86</c:v>
                </c:pt>
                <c:pt idx="1">
                  <c:v>36.76</c:v>
                </c:pt>
                <c:pt idx="2">
                  <c:v>41.155000000000001</c:v>
                </c:pt>
                <c:pt idx="3">
                  <c:v>40.98</c:v>
                </c:pt>
                <c:pt idx="4">
                  <c:v>41.2</c:v>
                </c:pt>
                <c:pt idx="5">
                  <c:v>40.96</c:v>
                </c:pt>
                <c:pt idx="6">
                  <c:v>41.08</c:v>
                </c:pt>
                <c:pt idx="7">
                  <c:v>41.06</c:v>
                </c:pt>
                <c:pt idx="8">
                  <c:v>41.09</c:v>
                </c:pt>
                <c:pt idx="9">
                  <c:v>41.14</c:v>
                </c:pt>
                <c:pt idx="10">
                  <c:v>41.1</c:v>
                </c:pt>
                <c:pt idx="11">
                  <c:v>41.16</c:v>
                </c:pt>
                <c:pt idx="12">
                  <c:v>41.269999999999996</c:v>
                </c:pt>
                <c:pt idx="13">
                  <c:v>41.22</c:v>
                </c:pt>
                <c:pt idx="14">
                  <c:v>41.32</c:v>
                </c:pt>
                <c:pt idx="15">
                  <c:v>41.23</c:v>
                </c:pt>
                <c:pt idx="16">
                  <c:v>40.94</c:v>
                </c:pt>
                <c:pt idx="17">
                  <c:v>41.03</c:v>
                </c:pt>
                <c:pt idx="18">
                  <c:v>41.04</c:v>
                </c:pt>
                <c:pt idx="19">
                  <c:v>41.19</c:v>
                </c:pt>
                <c:pt idx="20">
                  <c:v>41.27</c:v>
                </c:pt>
              </c:numCache>
            </c:numRef>
          </c:yVal>
          <c:smooth val="0"/>
          <c:extLst>
            <c:ext xmlns:c16="http://schemas.microsoft.com/office/drawing/2014/chart" uri="{C3380CC4-5D6E-409C-BE32-E72D297353CC}">
              <c16:uniqueId val="{00000001-52FD-4E46-8684-83883B40FFFA}"/>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main!$R$55:$R$75</c:f>
              <c:numCache>
                <c:formatCode>0.00</c:formatCode>
                <c:ptCount val="21"/>
                <c:pt idx="0">
                  <c:v>39.47</c:v>
                </c:pt>
                <c:pt idx="1">
                  <c:v>39.590000000000003</c:v>
                </c:pt>
                <c:pt idx="2">
                  <c:v>40.1</c:v>
                </c:pt>
                <c:pt idx="3">
                  <c:v>39.65</c:v>
                </c:pt>
                <c:pt idx="4">
                  <c:v>39.54</c:v>
                </c:pt>
                <c:pt idx="5">
                  <c:v>39.82</c:v>
                </c:pt>
                <c:pt idx="6">
                  <c:v>39.54</c:v>
                </c:pt>
                <c:pt idx="7">
                  <c:v>39.71</c:v>
                </c:pt>
                <c:pt idx="8">
                  <c:v>39.619999999999997</c:v>
                </c:pt>
                <c:pt idx="9">
                  <c:v>39.659999999999997</c:v>
                </c:pt>
                <c:pt idx="10">
                  <c:v>39.799999999999997</c:v>
                </c:pt>
                <c:pt idx="11">
                  <c:v>39.715000000000003</c:v>
                </c:pt>
                <c:pt idx="12">
                  <c:v>39.49</c:v>
                </c:pt>
                <c:pt idx="13">
                  <c:v>39.15</c:v>
                </c:pt>
                <c:pt idx="14">
                  <c:v>39.31</c:v>
                </c:pt>
                <c:pt idx="15">
                  <c:v>39.659999999999997</c:v>
                </c:pt>
                <c:pt idx="16">
                  <c:v>39.4</c:v>
                </c:pt>
                <c:pt idx="17">
                  <c:v>39.42</c:v>
                </c:pt>
                <c:pt idx="18">
                  <c:v>37.79</c:v>
                </c:pt>
                <c:pt idx="19">
                  <c:v>38.840000000000003</c:v>
                </c:pt>
                <c:pt idx="20">
                  <c:v>39.369999999999997</c:v>
                </c:pt>
              </c:numCache>
            </c:numRef>
          </c:yVal>
          <c:smooth val="0"/>
          <c:extLst>
            <c:ext xmlns:c16="http://schemas.microsoft.com/office/drawing/2014/chart" uri="{C3380CC4-5D6E-409C-BE32-E72D297353CC}">
              <c16:uniqueId val="{00000002-52FD-4E46-8684-83883B40FFFA}"/>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AU" b="1"/>
                  <a:t>psu salinity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SAZ22 POC/PN</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main!$AK$7:$AK$27</c:f>
              <c:numCache>
                <c:formatCode>0.00</c:formatCode>
                <c:ptCount val="21"/>
                <c:pt idx="0">
                  <c:v>7.1388386475134169</c:v>
                </c:pt>
                <c:pt idx="1">
                  <c:v>7.2178324107472482</c:v>
                </c:pt>
                <c:pt idx="2">
                  <c:v>6.7501456531140462</c:v>
                </c:pt>
                <c:pt idx="3">
                  <c:v>7.1755212349044681</c:v>
                </c:pt>
                <c:pt idx="4">
                  <c:v>7.2619189962716</c:v>
                </c:pt>
                <c:pt idx="5">
                  <c:v>7.5663222423727756</c:v>
                </c:pt>
                <c:pt idx="6">
                  <c:v>6.6820289528665899</c:v>
                </c:pt>
                <c:pt idx="7">
                  <c:v>7.0598020865951367</c:v>
                </c:pt>
                <c:pt idx="8">
                  <c:v>7.0142406942770341</c:v>
                </c:pt>
                <c:pt idx="9">
                  <c:v>7.3416078091692167</c:v>
                </c:pt>
                <c:pt idx="10">
                  <c:v>7.9557111532331746</c:v>
                </c:pt>
                <c:pt idx="11">
                  <c:v>8.3635510090320775</c:v>
                </c:pt>
                <c:pt idx="12">
                  <c:v>8.4676047483382035</c:v>
                </c:pt>
                <c:pt idx="13">
                  <c:v>7.9849362152035219</c:v>
                </c:pt>
                <c:pt idx="14">
                  <c:v>7.1354387154222341</c:v>
                </c:pt>
                <c:pt idx="15">
                  <c:v>6.9678250854052308</c:v>
                </c:pt>
                <c:pt idx="16">
                  <c:v>6.6603302929770578</c:v>
                </c:pt>
                <c:pt idx="17">
                  <c:v>7.1425683220925968</c:v>
                </c:pt>
                <c:pt idx="18">
                  <c:v>7.3396237691586848</c:v>
                </c:pt>
                <c:pt idx="19">
                  <c:v>6.7374722447776021</c:v>
                </c:pt>
                <c:pt idx="20">
                  <c:v>7.6238042108975668</c:v>
                </c:pt>
              </c:numCache>
            </c:numRef>
          </c:yVal>
          <c:smooth val="0"/>
          <c:extLst>
            <c:ext xmlns:c16="http://schemas.microsoft.com/office/drawing/2014/chart" uri="{C3380CC4-5D6E-409C-BE32-E72D297353CC}">
              <c16:uniqueId val="{00000000-1334-43BA-83CD-C58C33EC140F}"/>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main!$AK$31:$AK$51</c:f>
              <c:numCache>
                <c:formatCode>0.00</c:formatCode>
                <c:ptCount val="21"/>
                <c:pt idx="0">
                  <c:v>7.339406735047957</c:v>
                </c:pt>
                <c:pt idx="1">
                  <c:v>5.0135459895618375</c:v>
                </c:pt>
              </c:numCache>
            </c:numRef>
          </c:yVal>
          <c:smooth val="0"/>
          <c:extLst>
            <c:ext xmlns:c16="http://schemas.microsoft.com/office/drawing/2014/chart" uri="{C3380CC4-5D6E-409C-BE32-E72D297353CC}">
              <c16:uniqueId val="{00000001-1334-43BA-83CD-C58C33EC140F}"/>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main!$AK$55:$AK$75</c:f>
              <c:numCache>
                <c:formatCode>0.00</c:formatCode>
                <c:ptCount val="21"/>
                <c:pt idx="0">
                  <c:v>7.5206021975060695</c:v>
                </c:pt>
                <c:pt idx="1">
                  <c:v>7.9143233335665686</c:v>
                </c:pt>
                <c:pt idx="2">
                  <c:v>7.9589382955723407</c:v>
                </c:pt>
                <c:pt idx="3">
                  <c:v>8.3330302287385756</c:v>
                </c:pt>
                <c:pt idx="4">
                  <c:v>8.0143122945149461</c:v>
                </c:pt>
                <c:pt idx="5">
                  <c:v>7.6529908629013965</c:v>
                </c:pt>
                <c:pt idx="6">
                  <c:v>8.3133035139906344</c:v>
                </c:pt>
                <c:pt idx="7">
                  <c:v>9.0011414307662569</c:v>
                </c:pt>
                <c:pt idx="8">
                  <c:v>9.1023172316546468</c:v>
                </c:pt>
                <c:pt idx="9">
                  <c:v>9.1299721964745526</c:v>
                </c:pt>
                <c:pt idx="10">
                  <c:v>8.7044435933902022</c:v>
                </c:pt>
                <c:pt idx="11">
                  <c:v>8.6171738499053099</c:v>
                </c:pt>
                <c:pt idx="12">
                  <c:v>9.0883438906681988</c:v>
                </c:pt>
                <c:pt idx="13">
                  <c:v>8.1466283925670435</c:v>
                </c:pt>
                <c:pt idx="14">
                  <c:v>8.7230443977316074</c:v>
                </c:pt>
                <c:pt idx="15">
                  <c:v>7.5612459603937205</c:v>
                </c:pt>
                <c:pt idx="16">
                  <c:v>8.4379359466518711</c:v>
                </c:pt>
                <c:pt idx="17">
                  <c:v>9.5873613882880964</c:v>
                </c:pt>
                <c:pt idx="18">
                  <c:v>7.9062648091792367</c:v>
                </c:pt>
                <c:pt idx="19">
                  <c:v>9.1416152384035652</c:v>
                </c:pt>
                <c:pt idx="20">
                  <c:v>8.3117624127962841</c:v>
                </c:pt>
              </c:numCache>
            </c:numRef>
          </c:yVal>
          <c:smooth val="0"/>
          <c:extLst>
            <c:ext xmlns:c16="http://schemas.microsoft.com/office/drawing/2014/chart" uri="{C3380CC4-5D6E-409C-BE32-E72D297353CC}">
              <c16:uniqueId val="{00000002-1334-43BA-83CD-C58C33EC140F}"/>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in val="4"/>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POC/PN</a:t>
                </a:r>
              </a:p>
            </c:rich>
          </c:tx>
          <c:overlay val="0"/>
          <c:spPr>
            <a:noFill/>
            <a:ln w="25400">
              <a:noFill/>
            </a:ln>
          </c:spPr>
        </c:title>
        <c:numFmt formatCode="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30</xdr:col>
      <xdr:colOff>583743</xdr:colOff>
      <xdr:row>0</xdr:row>
      <xdr:rowOff>175532</xdr:rowOff>
    </xdr:from>
    <xdr:to>
      <xdr:col>46</xdr:col>
      <xdr:colOff>161924</xdr:colOff>
      <xdr:row>25</xdr:row>
      <xdr:rowOff>112939</xdr:rowOff>
    </xdr:to>
    <xdr:graphicFrame macro="">
      <xdr:nvGraphicFramePr>
        <xdr:cNvPr id="2" name="Chart 1">
          <a:extLst>
            <a:ext uri="{FF2B5EF4-FFF2-40B4-BE49-F238E27FC236}">
              <a16:creationId xmlns:a16="http://schemas.microsoft.com/office/drawing/2014/main" id="{C70638C0-CCD6-4D53-A25C-B27E6A9D0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542925</xdr:colOff>
      <xdr:row>26</xdr:row>
      <xdr:rowOff>57150</xdr:rowOff>
    </xdr:from>
    <xdr:to>
      <xdr:col>46</xdr:col>
      <xdr:colOff>121106</xdr:colOff>
      <xdr:row>55</xdr:row>
      <xdr:rowOff>137432</xdr:rowOff>
    </xdr:to>
    <xdr:grpSp>
      <xdr:nvGrpSpPr>
        <xdr:cNvPr id="11" name="Group 10">
          <a:extLst>
            <a:ext uri="{FF2B5EF4-FFF2-40B4-BE49-F238E27FC236}">
              <a16:creationId xmlns:a16="http://schemas.microsoft.com/office/drawing/2014/main" id="{7F41A470-D615-47A5-6A33-615653A155AA}"/>
            </a:ext>
          </a:extLst>
        </xdr:cNvPr>
        <xdr:cNvGrpSpPr/>
      </xdr:nvGrpSpPr>
      <xdr:grpSpPr>
        <a:xfrm>
          <a:off x="22990175" y="5835650"/>
          <a:ext cx="9230181" cy="5715907"/>
          <a:chOff x="23107650" y="5981700"/>
          <a:chExt cx="9331781" cy="5671457"/>
        </a:xfrm>
      </xdr:grpSpPr>
      <xdr:graphicFrame macro="">
        <xdr:nvGraphicFramePr>
          <xdr:cNvPr id="3" name="Chart 2">
            <a:extLst>
              <a:ext uri="{FF2B5EF4-FFF2-40B4-BE49-F238E27FC236}">
                <a16:creationId xmlns:a16="http://schemas.microsoft.com/office/drawing/2014/main" id="{7E1D12B0-A69F-4078-8439-9066AC4FDF78}"/>
              </a:ext>
            </a:extLst>
          </xdr:cNvPr>
          <xdr:cNvGraphicFramePr>
            <a:graphicFrameLocks/>
          </xdr:cNvGraphicFramePr>
        </xdr:nvGraphicFramePr>
        <xdr:xfrm>
          <a:off x="23107650" y="5981700"/>
          <a:ext cx="9331781" cy="5671457"/>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Arrow Connector 4">
            <a:extLst>
              <a:ext uri="{FF2B5EF4-FFF2-40B4-BE49-F238E27FC236}">
                <a16:creationId xmlns:a16="http://schemas.microsoft.com/office/drawing/2014/main" id="{6962B038-3236-7B93-7F12-9F30818BC99C}"/>
              </a:ext>
            </a:extLst>
          </xdr:cNvPr>
          <xdr:cNvCxnSpPr/>
        </xdr:nvCxnSpPr>
        <xdr:spPr>
          <a:xfrm flipH="1">
            <a:off x="29603700" y="8143875"/>
            <a:ext cx="17145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24CBC944-AA5C-4A63-AD22-1C95E6C4F3E1}"/>
              </a:ext>
            </a:extLst>
          </xdr:cNvPr>
          <xdr:cNvCxnSpPr/>
        </xdr:nvCxnSpPr>
        <xdr:spPr>
          <a:xfrm flipH="1">
            <a:off x="29603700" y="8562975"/>
            <a:ext cx="51435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187E1A1D-C16F-FABC-4DA7-7B50766EAEB4}"/>
              </a:ext>
            </a:extLst>
          </xdr:cNvPr>
          <xdr:cNvSpPr txBox="1"/>
        </xdr:nvSpPr>
        <xdr:spPr>
          <a:xfrm>
            <a:off x="29594175" y="7924801"/>
            <a:ext cx="809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3800_17a</a:t>
            </a:r>
          </a:p>
        </xdr:txBody>
      </xdr:sp>
      <xdr:sp macro="" textlink="">
        <xdr:nvSpPr>
          <xdr:cNvPr id="10" name="TextBox 9">
            <a:extLst>
              <a:ext uri="{FF2B5EF4-FFF2-40B4-BE49-F238E27FC236}">
                <a16:creationId xmlns:a16="http://schemas.microsoft.com/office/drawing/2014/main" id="{0F9C6A6D-2CCE-4DA1-BED5-3CD3CF951895}"/>
              </a:ext>
            </a:extLst>
          </xdr:cNvPr>
          <xdr:cNvSpPr txBox="1"/>
        </xdr:nvSpPr>
        <xdr:spPr>
          <a:xfrm>
            <a:off x="30099000" y="8429625"/>
            <a:ext cx="809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3800_17b</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475190</xdr:colOff>
      <xdr:row>0</xdr:row>
      <xdr:rowOff>0</xdr:rowOff>
    </xdr:from>
    <xdr:to>
      <xdr:col>26</xdr:col>
      <xdr:colOff>571499</xdr:colOff>
      <xdr:row>16</xdr:row>
      <xdr:rowOff>47624</xdr:rowOff>
    </xdr:to>
    <xdr:graphicFrame macro="">
      <xdr:nvGraphicFramePr>
        <xdr:cNvPr id="5" name="Chart 2">
          <a:extLst>
            <a:ext uri="{FF2B5EF4-FFF2-40B4-BE49-F238E27FC236}">
              <a16:creationId xmlns:a16="http://schemas.microsoft.com/office/drawing/2014/main" id="{50856893-E972-4EF2-9CB9-AE34A49BE605}"/>
            </a:ext>
            <a:ext uri="{147F2762-F138-4A5C-976F-8EAC2B608ADB}">
              <a16:predDERef xmlns:a16="http://schemas.microsoft.com/office/drawing/2014/main" pred="{39B55C3C-F589-E657-4F02-2BCB90550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123825</xdr:colOff>
      <xdr:row>16</xdr:row>
      <xdr:rowOff>123825</xdr:rowOff>
    </xdr:from>
    <xdr:to>
      <xdr:col>29</xdr:col>
      <xdr:colOff>552450</xdr:colOff>
      <xdr:row>41</xdr:row>
      <xdr:rowOff>33338</xdr:rowOff>
    </xdr:to>
    <xdr:graphicFrame macro="">
      <xdr:nvGraphicFramePr>
        <xdr:cNvPr id="24" name="Chart 6">
          <a:extLst>
            <a:ext uri="{FF2B5EF4-FFF2-40B4-BE49-F238E27FC236}">
              <a16:creationId xmlns:a16="http://schemas.microsoft.com/office/drawing/2014/main" id="{7C404E35-2EC5-400F-8C20-1584F2ED1257}"/>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179917</xdr:colOff>
      <xdr:row>16</xdr:row>
      <xdr:rowOff>84666</xdr:rowOff>
    </xdr:from>
    <xdr:to>
      <xdr:col>44</xdr:col>
      <xdr:colOff>100542</xdr:colOff>
      <xdr:row>40</xdr:row>
      <xdr:rowOff>174096</xdr:rowOff>
    </xdr:to>
    <xdr:graphicFrame macro="">
      <xdr:nvGraphicFramePr>
        <xdr:cNvPr id="22" name="Chart 4">
          <a:extLst>
            <a:ext uri="{FF2B5EF4-FFF2-40B4-BE49-F238E27FC236}">
              <a16:creationId xmlns:a16="http://schemas.microsoft.com/office/drawing/2014/main" id="{B3B78146-830B-4B8A-A261-6D61A99ECAA6}"/>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475191</xdr:colOff>
      <xdr:row>0</xdr:row>
      <xdr:rowOff>0</xdr:rowOff>
    </xdr:from>
    <xdr:to>
      <xdr:col>24</xdr:col>
      <xdr:colOff>370416</xdr:colOff>
      <xdr:row>15</xdr:row>
      <xdr:rowOff>76200</xdr:rowOff>
    </xdr:to>
    <xdr:graphicFrame macro="">
      <xdr:nvGraphicFramePr>
        <xdr:cNvPr id="2" name="Chart 2">
          <a:extLst>
            <a:ext uri="{FF2B5EF4-FFF2-40B4-BE49-F238E27FC236}">
              <a16:creationId xmlns:a16="http://schemas.microsoft.com/office/drawing/2014/main" id="{14986BE4-3435-43DD-9A84-66A581AE2642}"/>
            </a:ext>
            <a:ext uri="{147F2762-F138-4A5C-976F-8EAC2B608ADB}">
              <a16:predDERef xmlns:a16="http://schemas.microsoft.com/office/drawing/2014/main" pred="{39B55C3C-F589-E657-4F02-2BCB90550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123825</xdr:colOff>
      <xdr:row>16</xdr:row>
      <xdr:rowOff>123825</xdr:rowOff>
    </xdr:from>
    <xdr:to>
      <xdr:col>29</xdr:col>
      <xdr:colOff>552450</xdr:colOff>
      <xdr:row>41</xdr:row>
      <xdr:rowOff>33338</xdr:rowOff>
    </xdr:to>
    <xdr:graphicFrame macro="">
      <xdr:nvGraphicFramePr>
        <xdr:cNvPr id="3" name="Chart 6">
          <a:extLst>
            <a:ext uri="{FF2B5EF4-FFF2-40B4-BE49-F238E27FC236}">
              <a16:creationId xmlns:a16="http://schemas.microsoft.com/office/drawing/2014/main" id="{055D3812-267F-4A9A-8076-4845555F5E21}"/>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17</xdr:row>
      <xdr:rowOff>0</xdr:rowOff>
    </xdr:from>
    <xdr:to>
      <xdr:col>45</xdr:col>
      <xdr:colOff>428625</xdr:colOff>
      <xdr:row>41</xdr:row>
      <xdr:rowOff>100013</xdr:rowOff>
    </xdr:to>
    <xdr:graphicFrame macro="">
      <xdr:nvGraphicFramePr>
        <xdr:cNvPr id="5" name="Chart 6">
          <a:extLst>
            <a:ext uri="{FF2B5EF4-FFF2-40B4-BE49-F238E27FC236}">
              <a16:creationId xmlns:a16="http://schemas.microsoft.com/office/drawing/2014/main" id="{6E98DC00-B5A3-42C7-B6C9-51923F45E876}"/>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39</xdr:col>
      <xdr:colOff>597628</xdr:colOff>
      <xdr:row>7</xdr:row>
      <xdr:rowOff>147207</xdr:rowOff>
    </xdr:from>
    <xdr:to>
      <xdr:col>53</xdr:col>
      <xdr:colOff>340070</xdr:colOff>
      <xdr:row>26</xdr:row>
      <xdr:rowOff>70561</xdr:rowOff>
    </xdr:to>
    <xdr:graphicFrame macro="">
      <xdr:nvGraphicFramePr>
        <xdr:cNvPr id="15" name="Chart 1">
          <a:extLst>
            <a:ext uri="{FF2B5EF4-FFF2-40B4-BE49-F238E27FC236}">
              <a16:creationId xmlns:a16="http://schemas.microsoft.com/office/drawing/2014/main" id="{0AED4C6E-4A2F-4B9D-A818-62AE7AF62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39</xdr:col>
      <xdr:colOff>460598</xdr:colOff>
      <xdr:row>28</xdr:row>
      <xdr:rowOff>0</xdr:rowOff>
    </xdr:from>
    <xdr:to>
      <xdr:col>53</xdr:col>
      <xdr:colOff>207511</xdr:colOff>
      <xdr:row>48</xdr:row>
      <xdr:rowOff>156292</xdr:rowOff>
    </xdr:to>
    <xdr:graphicFrame macro="">
      <xdr:nvGraphicFramePr>
        <xdr:cNvPr id="9" name="Chart 2">
          <a:extLst>
            <a:ext uri="{FF2B5EF4-FFF2-40B4-BE49-F238E27FC236}">
              <a16:creationId xmlns:a16="http://schemas.microsoft.com/office/drawing/2014/main" id="{6547E063-794B-468A-9BA2-463C6879B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39</xdr:col>
      <xdr:colOff>523204</xdr:colOff>
      <xdr:row>49</xdr:row>
      <xdr:rowOff>84964</xdr:rowOff>
    </xdr:from>
    <xdr:to>
      <xdr:col>53</xdr:col>
      <xdr:colOff>270117</xdr:colOff>
      <xdr:row>70</xdr:row>
      <xdr:rowOff>4249</xdr:rowOff>
    </xdr:to>
    <xdr:graphicFrame macro="">
      <xdr:nvGraphicFramePr>
        <xdr:cNvPr id="11" name="Chart 3">
          <a:extLst>
            <a:ext uri="{FF2B5EF4-FFF2-40B4-BE49-F238E27FC236}">
              <a16:creationId xmlns:a16="http://schemas.microsoft.com/office/drawing/2014/main" id="{FDC06256-C6CF-4043-935B-299AE5B01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0</xdr:colOff>
      <xdr:row>70</xdr:row>
      <xdr:rowOff>0</xdr:rowOff>
    </xdr:from>
    <xdr:to>
      <xdr:col>53</xdr:col>
      <xdr:colOff>350610</xdr:colOff>
      <xdr:row>90</xdr:row>
      <xdr:rowOff>133932</xdr:rowOff>
    </xdr:to>
    <xdr:graphicFrame macro="">
      <xdr:nvGraphicFramePr>
        <xdr:cNvPr id="13" name="Chart 4">
          <a:extLst>
            <a:ext uri="{FF2B5EF4-FFF2-40B4-BE49-F238E27FC236}">
              <a16:creationId xmlns:a16="http://schemas.microsoft.com/office/drawing/2014/main" id="{A1B71CD9-44C5-468C-B343-A6FE0D85E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25</xdr:row>
      <xdr:rowOff>85725</xdr:rowOff>
    </xdr:from>
    <xdr:to>
      <xdr:col>12</xdr:col>
      <xdr:colOff>380547</xdr:colOff>
      <xdr:row>49</xdr:row>
      <xdr:rowOff>76428</xdr:rowOff>
    </xdr:to>
    <xdr:graphicFrame macro="">
      <xdr:nvGraphicFramePr>
        <xdr:cNvPr id="2" name="Chart 1">
          <a:extLst>
            <a:ext uri="{FF2B5EF4-FFF2-40B4-BE49-F238E27FC236}">
              <a16:creationId xmlns:a16="http://schemas.microsoft.com/office/drawing/2014/main" id="{93743059-1825-475D-B414-1E2A00350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497114</xdr:colOff>
      <xdr:row>26</xdr:row>
      <xdr:rowOff>6350</xdr:rowOff>
    </xdr:from>
    <xdr:to>
      <xdr:col>25</xdr:col>
      <xdr:colOff>568777</xdr:colOff>
      <xdr:row>48</xdr:row>
      <xdr:rowOff>107043</xdr:rowOff>
    </xdr:to>
    <xdr:graphicFrame macro="">
      <xdr:nvGraphicFramePr>
        <xdr:cNvPr id="3" name="Chart 2">
          <a:extLst>
            <a:ext uri="{FF2B5EF4-FFF2-40B4-BE49-F238E27FC236}">
              <a16:creationId xmlns:a16="http://schemas.microsoft.com/office/drawing/2014/main" id="{CE06FDFA-F859-414A-9D2C-5924384D6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68943</xdr:colOff>
      <xdr:row>25</xdr:row>
      <xdr:rowOff>145596</xdr:rowOff>
    </xdr:from>
    <xdr:to>
      <xdr:col>39</xdr:col>
      <xdr:colOff>146958</xdr:colOff>
      <xdr:row>48</xdr:row>
      <xdr:rowOff>46718</xdr:rowOff>
    </xdr:to>
    <xdr:graphicFrame macro="">
      <xdr:nvGraphicFramePr>
        <xdr:cNvPr id="4" name="Chart 3">
          <a:extLst>
            <a:ext uri="{FF2B5EF4-FFF2-40B4-BE49-F238E27FC236}">
              <a16:creationId xmlns:a16="http://schemas.microsoft.com/office/drawing/2014/main" id="{50CE8316-6948-4DA5-8413-15F400FB8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198211</xdr:colOff>
      <xdr:row>50</xdr:row>
      <xdr:rowOff>59871</xdr:rowOff>
    </xdr:from>
    <xdr:to>
      <xdr:col>26</xdr:col>
      <xdr:colOff>276222</xdr:colOff>
      <xdr:row>72</xdr:row>
      <xdr:rowOff>160564</xdr:rowOff>
    </xdr:to>
    <xdr:graphicFrame macro="">
      <xdr:nvGraphicFramePr>
        <xdr:cNvPr id="5" name="Chart 4">
          <a:extLst>
            <a:ext uri="{FF2B5EF4-FFF2-40B4-BE49-F238E27FC236}">
              <a16:creationId xmlns:a16="http://schemas.microsoft.com/office/drawing/2014/main" id="{3270E720-8CDE-4CB5-A778-25E4CFC64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xdr:row>
      <xdr:rowOff>0</xdr:rowOff>
    </xdr:from>
    <xdr:to>
      <xdr:col>12</xdr:col>
      <xdr:colOff>456747</xdr:colOff>
      <xdr:row>24</xdr:row>
      <xdr:rowOff>181203</xdr:rowOff>
    </xdr:to>
    <xdr:graphicFrame macro="">
      <xdr:nvGraphicFramePr>
        <xdr:cNvPr id="6" name="Chart 5">
          <a:extLst>
            <a:ext uri="{FF2B5EF4-FFF2-40B4-BE49-F238E27FC236}">
              <a16:creationId xmlns:a16="http://schemas.microsoft.com/office/drawing/2014/main" id="{90A6ACAF-3DFC-402C-BF15-7EEB6831E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35379</xdr:colOff>
      <xdr:row>1</xdr:row>
      <xdr:rowOff>0</xdr:rowOff>
    </xdr:from>
    <xdr:to>
      <xdr:col>25</xdr:col>
      <xdr:colOff>493941</xdr:colOff>
      <xdr:row>25</xdr:row>
      <xdr:rowOff>6124</xdr:rowOff>
    </xdr:to>
    <xdr:graphicFrame macro="">
      <xdr:nvGraphicFramePr>
        <xdr:cNvPr id="7" name="Chart 6">
          <a:extLst>
            <a:ext uri="{FF2B5EF4-FFF2-40B4-BE49-F238E27FC236}">
              <a16:creationId xmlns:a16="http://schemas.microsoft.com/office/drawing/2014/main" id="{F0C340A1-3709-4790-AC88-A1BBEC412B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70757</xdr:colOff>
      <xdr:row>1</xdr:row>
      <xdr:rowOff>0</xdr:rowOff>
    </xdr:from>
    <xdr:to>
      <xdr:col>38</xdr:col>
      <xdr:colOff>529319</xdr:colOff>
      <xdr:row>25</xdr:row>
      <xdr:rowOff>6125</xdr:rowOff>
    </xdr:to>
    <xdr:graphicFrame macro="">
      <xdr:nvGraphicFramePr>
        <xdr:cNvPr id="8" name="Chart 7">
          <a:extLst>
            <a:ext uri="{FF2B5EF4-FFF2-40B4-BE49-F238E27FC236}">
              <a16:creationId xmlns:a16="http://schemas.microsoft.com/office/drawing/2014/main" id="{2CBA1C48-E9DA-47E0-80CF-41AA77A7A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50</xdr:row>
      <xdr:rowOff>95250</xdr:rowOff>
    </xdr:from>
    <xdr:to>
      <xdr:col>13</xdr:col>
      <xdr:colOff>160563</xdr:colOff>
      <xdr:row>73</xdr:row>
      <xdr:rowOff>5443</xdr:rowOff>
    </xdr:to>
    <xdr:graphicFrame macro="">
      <xdr:nvGraphicFramePr>
        <xdr:cNvPr id="9" name="Chart 8">
          <a:extLst>
            <a:ext uri="{FF2B5EF4-FFF2-40B4-BE49-F238E27FC236}">
              <a16:creationId xmlns:a16="http://schemas.microsoft.com/office/drawing/2014/main" id="{73DBD599-3110-4D92-945E-A3C64E109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versitytasmania-my.sharepoint.com/personal/cathryn_wynnedwards_utas_edu_au/Documents/sediment%20trap%20lab%20proc/2022_saz24/2022_saz24_47_sed_CWE_QC.xlsx" TargetMode="External"/><Relationship Id="rId1" Type="http://schemas.openxmlformats.org/officeDocument/2006/relationships/externalLinkPath" Target="https://universitytasmania-my.sharepoint.com/personal/cathryn_wynnedwards_utas_edu_au/Documents/sediment%20trap%20lab%20proc/2022_saz24/2022_saz24_47_sed_CWE_QC.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universitytasmania-my.sharepoint.com/personal/cathryn_wynnedwards_utas_edu_au/Documents/sediment%20trap%20lab%20proc/2021_saz23/2021_saz23_47_sed_ver1.xlsx" TargetMode="External"/><Relationship Id="rId1" Type="http://schemas.openxmlformats.org/officeDocument/2006/relationships/externalLinkPath" Target="https://universitytasmania-my.sharepoint.com/personal/cathryn_wynnedwards_utas_edu_au/Documents/sediment%20trap%20lab%20proc/2021_saz23/2021_saz23_47_sed_ver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universitytasmania-my.sharepoint.com/personal/cathryn_wynnedwards_utas_edu_au/Documents/sediment%20trap%20lab%20proc/2020_saz22/2020_saz22_47_sed_ver1.xlsx" TargetMode="External"/><Relationship Id="rId1" Type="http://schemas.openxmlformats.org/officeDocument/2006/relationships/externalLinkPath" Target="https://universitytasmania-my.sharepoint.com/personal/cathryn_wynnedwards_utas_edu_au/Documents/sediment%20trap%20lab%20proc/2020_saz22/2020_saz22_47_sed_ver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C data"/>
      <sheetName val="cup photo labels"/>
      <sheetName val="notes"/>
      <sheetName val="prep brines"/>
      <sheetName val="Schedule"/>
      <sheetName val="sample processing comments"/>
      <sheetName val="mass filt"/>
      <sheetName val="pH_Sal"/>
      <sheetName val="PIC data_CWE_QC"/>
      <sheetName val="CHN data"/>
      <sheetName val="BSi data"/>
      <sheetName val="Main"/>
      <sheetName val="report_47_flagged"/>
      <sheetName val="netCDF_format"/>
      <sheetName val="depths"/>
      <sheetName val="quick look plots"/>
    </sheetNames>
    <sheetDataSet>
      <sheetData sheetId="0"/>
      <sheetData sheetId="1"/>
      <sheetData sheetId="2"/>
      <sheetData sheetId="3"/>
      <sheetData sheetId="4"/>
      <sheetData sheetId="5"/>
      <sheetData sheetId="6"/>
      <sheetData sheetId="7"/>
      <sheetData sheetId="8"/>
      <sheetData sheetId="9"/>
      <sheetData sheetId="10"/>
      <sheetData sheetId="11">
        <row r="7">
          <cell r="V7">
            <v>44704.5</v>
          </cell>
        </row>
        <row r="8">
          <cell r="V8">
            <v>44721.5</v>
          </cell>
        </row>
        <row r="9">
          <cell r="V9">
            <v>44738.5</v>
          </cell>
        </row>
        <row r="10">
          <cell r="V10">
            <v>44755.5</v>
          </cell>
        </row>
        <row r="11">
          <cell r="V11">
            <v>44772.5</v>
          </cell>
        </row>
        <row r="12">
          <cell r="V12">
            <v>44789.5</v>
          </cell>
        </row>
        <row r="13">
          <cell r="V13">
            <v>44806.5</v>
          </cell>
        </row>
        <row r="14">
          <cell r="V14">
            <v>44823.5</v>
          </cell>
        </row>
        <row r="15">
          <cell r="V15">
            <v>44840.5</v>
          </cell>
        </row>
        <row r="16">
          <cell r="V16">
            <v>44857.5</v>
          </cell>
        </row>
        <row r="17">
          <cell r="V17">
            <v>44874.5</v>
          </cell>
        </row>
        <row r="18">
          <cell r="V18">
            <v>44891.5</v>
          </cell>
        </row>
        <row r="19">
          <cell r="V19">
            <v>44908.5</v>
          </cell>
        </row>
        <row r="20">
          <cell r="V20">
            <v>44925.5</v>
          </cell>
        </row>
        <row r="21">
          <cell r="V21">
            <v>44942.5</v>
          </cell>
        </row>
        <row r="22">
          <cell r="V22">
            <v>44959.5</v>
          </cell>
        </row>
        <row r="23">
          <cell r="V23">
            <v>44976.5</v>
          </cell>
        </row>
        <row r="24">
          <cell r="V24">
            <v>44993.5</v>
          </cell>
        </row>
        <row r="25">
          <cell r="V25">
            <v>45010.5</v>
          </cell>
        </row>
        <row r="26">
          <cell r="V26">
            <v>45027.5</v>
          </cell>
        </row>
        <row r="27">
          <cell r="V27">
            <v>45044.5</v>
          </cell>
        </row>
        <row r="31">
          <cell r="V31">
            <v>44704.5</v>
          </cell>
        </row>
        <row r="32">
          <cell r="V32">
            <v>44721.5</v>
          </cell>
        </row>
        <row r="33">
          <cell r="V33">
            <v>44738.5</v>
          </cell>
        </row>
        <row r="34">
          <cell r="V34">
            <v>44755.5</v>
          </cell>
        </row>
        <row r="35">
          <cell r="V35">
            <v>44772.5</v>
          </cell>
        </row>
        <row r="36">
          <cell r="V36">
            <v>44789.5</v>
          </cell>
        </row>
        <row r="37">
          <cell r="V37">
            <v>44806.5</v>
          </cell>
        </row>
        <row r="38">
          <cell r="V38">
            <v>44823.5</v>
          </cell>
        </row>
        <row r="39">
          <cell r="V39">
            <v>44840.5</v>
          </cell>
        </row>
        <row r="40">
          <cell r="V40">
            <v>44857.5</v>
          </cell>
        </row>
        <row r="41">
          <cell r="V41">
            <v>44874.5</v>
          </cell>
        </row>
        <row r="42">
          <cell r="V42">
            <v>44891.5</v>
          </cell>
        </row>
        <row r="43">
          <cell r="V43">
            <v>44908.5</v>
          </cell>
        </row>
        <row r="44">
          <cell r="V44">
            <v>44925.5</v>
          </cell>
        </row>
        <row r="45">
          <cell r="V45">
            <v>44942.5</v>
          </cell>
        </row>
        <row r="46">
          <cell r="V46">
            <v>44959.5</v>
          </cell>
        </row>
        <row r="47">
          <cell r="V47">
            <v>44976.5</v>
          </cell>
        </row>
        <row r="48">
          <cell r="V48">
            <v>44993.5</v>
          </cell>
        </row>
        <row r="49">
          <cell r="V49">
            <v>45010.5</v>
          </cell>
        </row>
        <row r="50">
          <cell r="V50">
            <v>45027.5</v>
          </cell>
        </row>
        <row r="51">
          <cell r="V51">
            <v>45044.5</v>
          </cell>
        </row>
      </sheetData>
      <sheetData sheetId="12">
        <row r="6">
          <cell r="B6" t="str">
            <v>47_1000</v>
          </cell>
        </row>
        <row r="7">
          <cell r="B7" t="str">
            <v>47_1000</v>
          </cell>
        </row>
        <row r="8">
          <cell r="B8" t="str">
            <v>47_1000</v>
          </cell>
        </row>
        <row r="9">
          <cell r="B9" t="str">
            <v>47_1000</v>
          </cell>
        </row>
        <row r="10">
          <cell r="B10" t="str">
            <v>47_1000</v>
          </cell>
        </row>
        <row r="11">
          <cell r="B11" t="str">
            <v>47_1000</v>
          </cell>
        </row>
        <row r="12">
          <cell r="B12" t="str">
            <v>47_1000</v>
          </cell>
        </row>
        <row r="13">
          <cell r="B13" t="str">
            <v>47_1000</v>
          </cell>
        </row>
        <row r="14">
          <cell r="B14" t="str">
            <v>47_1000</v>
          </cell>
        </row>
        <row r="15">
          <cell r="B15" t="str">
            <v>47_1000</v>
          </cell>
        </row>
        <row r="16">
          <cell r="B16" t="str">
            <v>47_1000</v>
          </cell>
        </row>
        <row r="17">
          <cell r="B17" t="str">
            <v>47_1000</v>
          </cell>
        </row>
        <row r="18">
          <cell r="B18" t="str">
            <v>47_1000</v>
          </cell>
        </row>
        <row r="19">
          <cell r="B19" t="str">
            <v>47_1000</v>
          </cell>
        </row>
        <row r="20">
          <cell r="B20" t="str">
            <v>47_1000</v>
          </cell>
        </row>
        <row r="21">
          <cell r="B21" t="str">
            <v>47_1000</v>
          </cell>
        </row>
        <row r="22">
          <cell r="B22" t="str">
            <v>47_1000</v>
          </cell>
        </row>
        <row r="23">
          <cell r="B23" t="str">
            <v>47_1000</v>
          </cell>
        </row>
        <row r="24">
          <cell r="B24" t="str">
            <v>47_1000</v>
          </cell>
        </row>
        <row r="25">
          <cell r="B25" t="str">
            <v>47_1000</v>
          </cell>
        </row>
        <row r="26">
          <cell r="B26" t="str">
            <v>47_1000</v>
          </cell>
        </row>
        <row r="27">
          <cell r="B27" t="str">
            <v>47_2000</v>
          </cell>
        </row>
        <row r="28">
          <cell r="B28" t="str">
            <v>47_2000</v>
          </cell>
        </row>
        <row r="29">
          <cell r="B29" t="str">
            <v>47_2000</v>
          </cell>
        </row>
        <row r="30">
          <cell r="B30" t="str">
            <v>47_2000</v>
          </cell>
        </row>
        <row r="31">
          <cell r="B31" t="str">
            <v>47_2000</v>
          </cell>
        </row>
        <row r="32">
          <cell r="B32" t="str">
            <v>47_2000</v>
          </cell>
        </row>
        <row r="33">
          <cell r="B33" t="str">
            <v>47_2000</v>
          </cell>
        </row>
        <row r="34">
          <cell r="B34" t="str">
            <v>47_2000</v>
          </cell>
        </row>
        <row r="35">
          <cell r="B35" t="str">
            <v>47_2000</v>
          </cell>
        </row>
        <row r="36">
          <cell r="B36" t="str">
            <v>47_2000</v>
          </cell>
        </row>
        <row r="37">
          <cell r="B37" t="str">
            <v>47_2000</v>
          </cell>
        </row>
        <row r="38">
          <cell r="B38" t="str">
            <v>47_2000</v>
          </cell>
        </row>
        <row r="39">
          <cell r="B39" t="str">
            <v>47_2000</v>
          </cell>
        </row>
        <row r="40">
          <cell r="B40" t="str">
            <v>47_2000</v>
          </cell>
        </row>
        <row r="41">
          <cell r="B41" t="str">
            <v>47_2000</v>
          </cell>
        </row>
        <row r="42">
          <cell r="B42" t="str">
            <v>47_2000</v>
          </cell>
        </row>
        <row r="43">
          <cell r="B43" t="str">
            <v>47_2000</v>
          </cell>
        </row>
        <row r="44">
          <cell r="B44" t="str">
            <v>47_2000</v>
          </cell>
        </row>
        <row r="45">
          <cell r="B45" t="str">
            <v>47_2000</v>
          </cell>
        </row>
        <row r="46">
          <cell r="B46" t="str">
            <v>47_2000</v>
          </cell>
        </row>
        <row r="47">
          <cell r="B47" t="str">
            <v>47_2000</v>
          </cell>
        </row>
        <row r="48">
          <cell r="B48" t="str">
            <v>47_3800</v>
          </cell>
        </row>
        <row r="49">
          <cell r="B49" t="str">
            <v>47_3800</v>
          </cell>
        </row>
        <row r="50">
          <cell r="B50" t="str">
            <v>47_3800</v>
          </cell>
        </row>
        <row r="51">
          <cell r="B51" t="str">
            <v>47_3800</v>
          </cell>
        </row>
        <row r="52">
          <cell r="B52" t="str">
            <v>47_3800</v>
          </cell>
        </row>
        <row r="53">
          <cell r="B53" t="str">
            <v>47_3800</v>
          </cell>
        </row>
        <row r="54">
          <cell r="B54" t="str">
            <v>47_3800</v>
          </cell>
        </row>
        <row r="55">
          <cell r="B55" t="str">
            <v>47_3800</v>
          </cell>
        </row>
        <row r="56">
          <cell r="B56" t="str">
            <v>47_3800</v>
          </cell>
        </row>
        <row r="57">
          <cell r="B57" t="str">
            <v>47_3800</v>
          </cell>
        </row>
        <row r="58">
          <cell r="B58" t="str">
            <v>47_3800</v>
          </cell>
        </row>
        <row r="59">
          <cell r="B59" t="str">
            <v>47_3800</v>
          </cell>
        </row>
        <row r="60">
          <cell r="B60" t="str">
            <v>47_3800</v>
          </cell>
        </row>
        <row r="61">
          <cell r="B61" t="str">
            <v>47_3800</v>
          </cell>
        </row>
        <row r="62">
          <cell r="B62" t="str">
            <v>47_3800</v>
          </cell>
        </row>
        <row r="63">
          <cell r="B63" t="str">
            <v>47_3800</v>
          </cell>
        </row>
        <row r="64">
          <cell r="B64" t="str">
            <v>47_3800</v>
          </cell>
        </row>
        <row r="65">
          <cell r="B65" t="str">
            <v>47_3800</v>
          </cell>
        </row>
        <row r="66">
          <cell r="B66" t="str">
            <v>47_3800</v>
          </cell>
        </row>
        <row r="67">
          <cell r="B67" t="str">
            <v>47_3800</v>
          </cell>
        </row>
        <row r="68">
          <cell r="B68" t="str">
            <v>47_3800</v>
          </cell>
        </row>
      </sheetData>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9bY0WLRLQU2HX6rfSm_IXmVj6wy2zhxBlDuE1vFLHTUx_6nGqd6_RLEcAbxPg59f" itemId="01NFK2GUDF2IFKX5W3RNAYAE6AK2VJGTR2">
      <xxl21:absoluteUrl r:id="rId2"/>
    </xxl21:alternateUrls>
    <sheetNames>
      <sheetName val="cup photo labels"/>
      <sheetName val="notes"/>
      <sheetName val="prep brines"/>
      <sheetName val="Schedule and logs"/>
      <sheetName val="sample processing comments"/>
      <sheetName val="mass filt"/>
      <sheetName val="pH_Sal"/>
      <sheetName val="PIC weights"/>
      <sheetName val="PIC data"/>
      <sheetName val="CHN raw data"/>
      <sheetName val="BSi data"/>
      <sheetName val="main"/>
      <sheetName val="report_47_flagged"/>
      <sheetName val="netcdf_format"/>
      <sheetName val="depths"/>
      <sheetName val="plots"/>
    </sheetNames>
    <sheetDataSet>
      <sheetData sheetId="0"/>
      <sheetData sheetId="1"/>
      <sheetData sheetId="2"/>
      <sheetData sheetId="3"/>
      <sheetData sheetId="4">
        <row r="30">
          <cell r="B30" t="str">
            <v>47_2000</v>
          </cell>
        </row>
        <row r="53">
          <cell r="B53" t="str">
            <v>McLane-PARFLUX-Mark78H-21 ; frame# 10705, controller# 11649-01 and Motor # 11649-01 Cup set Lx21</v>
          </cell>
        </row>
      </sheetData>
      <sheetData sheetId="5"/>
      <sheetData sheetId="6"/>
      <sheetData sheetId="7"/>
      <sheetData sheetId="8">
        <row r="8">
          <cell r="AF8">
            <v>56.120943126948475</v>
          </cell>
        </row>
      </sheetData>
      <sheetData sheetId="9">
        <row r="5">
          <cell r="D5">
            <v>20.56840705871582</v>
          </cell>
        </row>
      </sheetData>
      <sheetData sheetId="10">
        <row r="31">
          <cell r="S31">
            <v>3.0862671942872186</v>
          </cell>
        </row>
      </sheetData>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p photos labels"/>
      <sheetName val="prep brines"/>
      <sheetName val="Traps and Logs"/>
      <sheetName val="notes"/>
      <sheetName val="sample processing comments"/>
      <sheetName val="pH_Sal"/>
      <sheetName val="mass filt"/>
      <sheetName val="PIC weights"/>
      <sheetName val="PIC data"/>
      <sheetName val="CHN raw data"/>
      <sheetName val="BSi raw data and calculations"/>
      <sheetName val="BSi raw data repeats"/>
      <sheetName val="main"/>
      <sheetName val="report_47_flagged"/>
      <sheetName val="netcdf_format"/>
      <sheetName val="depths"/>
      <sheetName val="plot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D7">
            <v>2</v>
          </cell>
          <cell r="S7">
            <v>8.42</v>
          </cell>
        </row>
        <row r="8">
          <cell r="S8">
            <v>8.48</v>
          </cell>
        </row>
        <row r="9">
          <cell r="S9">
            <v>8.4550000000000001</v>
          </cell>
        </row>
        <row r="10">
          <cell r="S10">
            <v>8.34</v>
          </cell>
        </row>
        <row r="11">
          <cell r="S11">
            <v>8.4700000000000006</v>
          </cell>
        </row>
        <row r="12">
          <cell r="S12">
            <v>8.4600000000000009</v>
          </cell>
        </row>
        <row r="13">
          <cell r="S13">
            <v>8.52</v>
          </cell>
        </row>
        <row r="14">
          <cell r="S14">
            <v>8.4499999999999993</v>
          </cell>
        </row>
        <row r="15">
          <cell r="S15">
            <v>8.51</v>
          </cell>
        </row>
        <row r="16">
          <cell r="S16">
            <v>8.34</v>
          </cell>
        </row>
        <row r="17">
          <cell r="S17">
            <v>8.42</v>
          </cell>
        </row>
        <row r="18">
          <cell r="S18">
            <v>8.4149999999999991</v>
          </cell>
        </row>
        <row r="19">
          <cell r="S19">
            <v>8.3699999999999992</v>
          </cell>
        </row>
        <row r="20">
          <cell r="S20">
            <v>8.31</v>
          </cell>
        </row>
        <row r="21">
          <cell r="S21">
            <v>8.36</v>
          </cell>
        </row>
        <row r="22">
          <cell r="S22">
            <v>8.5299999999999994</v>
          </cell>
        </row>
        <row r="23">
          <cell r="S23">
            <v>8.26</v>
          </cell>
        </row>
        <row r="24">
          <cell r="S24">
            <v>8.4499999999999993</v>
          </cell>
        </row>
        <row r="25">
          <cell r="S25">
            <v>8.5399999999999991</v>
          </cell>
        </row>
        <row r="26">
          <cell r="S26">
            <v>8.5500000000000007</v>
          </cell>
        </row>
        <row r="27">
          <cell r="S27">
            <v>8.59</v>
          </cell>
        </row>
      </sheetData>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person displayName="Gemma Woodward" id="{6C36B5E3-A774-48FC-8EA5-67E82EB19D99}" userId="S::Gemma.Woodward@utas.edu.au::845a9ce8-7428-424d-9a1e-761037a8a19b" providerId="AD"/>
  <person displayName="Cathryn Wynn-Edwards" id="{CB1691FA-6EDA-4E8D-B0EA-AC92929E3C20}" userId="S::Cathryn.WynnEdwards@utas.edu.au::9c2180b6-ad09-41fe-a2e9-98fe686191a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7" dT="2024-10-14T23:17:36.09" personId="{6C36B5E3-A774-48FC-8EA5-67E82EB19D99}" id="{66AF35F3-ED6D-403C-8D42-62C4D603C901}">
    <text>Merged with sample 11 post splitting</text>
  </threadedComment>
  <threadedComment ref="C49" dT="2024-10-14T23:17:19.43" personId="{6C36B5E3-A774-48FC-8EA5-67E82EB19D99}" id="{F38A08AD-5E7F-4780-BF05-109609D130EA}">
    <text>Merged with samples 13, 14, 15, 16, 17, 18, 19, 20, and 21 post splitting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W1" dT="2024-12-13T01:13:47.73" personId="{CB1691FA-6EDA-4E8D-B0EA-AC92929E3C20}" id="{BEED17CA-851D-40E1-B644-34466CE1E8D6}">
    <text>These two columns also never really seemed relevant to me. You can hide them if you like. Columns T - V are the most important</text>
  </threadedComment>
  <threadedComment ref="Y1" dT="2024-12-13T01:12:58.29" personId="{CB1691FA-6EDA-4E8D-B0EA-AC92929E3C20}" id="{8DA0B360-BA42-4621-855F-53A856B9DA51}">
    <text>I admittedly never filled this column in, since we didn’t seem to use it</text>
  </threadedComment>
  <threadedComment ref="E40" dT="2024-12-13T01:10:50.48" personId="{CB1691FA-6EDA-4E8D-B0EA-AC92929E3C20}" id="{4558A220-5D60-4969-8E67-F7576FE39888}">
    <text>Merged with sample 11</text>
  </threadedComment>
  <threadedComment ref="E42" dT="2024-10-14T23:36:00.13" personId="{6C36B5E3-A774-48FC-8EA5-67E82EB19D99}" id="{5866A156-FDD3-4609-9058-981DB5BBDBF1}">
    <text>Merged with all samples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J18" dT="2025-10-01T00:17:14.46" personId="{6C36B5E3-A774-48FC-8EA5-67E82EB19D99}" id="{7CC35470-3571-4C41-B716-BF019447B24A}">
    <text>checked</text>
  </threadedComment>
  <threadedComment ref="J27" dT="2025-09-30T23:09:06.00" personId="{6C36B5E3-A774-48FC-8EA5-67E82EB19D99}" id="{C13747C0-B723-4DD1-9895-F6E94B828CB1}">
    <text>checked</text>
  </threadedComment>
  <threadedComment ref="S28" dT="2025-09-30T23:13:32.83" personId="{6C36B5E3-A774-48FC-8EA5-67E82EB19D99}" id="{CE15B872-3CBF-4FFA-84FB-448F43B2EC7E}" done="1">
    <text>Why is this flag 1 when the others are 4? Is it because this value is calculated from the others so technically it’s good data?</text>
  </threadedComment>
  <threadedComment ref="J60" dT="2025-09-30T23:16:49.17" personId="{6C36B5E3-A774-48FC-8EA5-67E82EB19D99}" id="{9A6AB429-989B-4511-89D7-1351CA996939}">
    <text>I’m guessing these are 2 because they can’t be compared to the 2000m depth?</text>
  </threadedComment>
  <threadedComment ref="J60" dT="2025-10-01T04:40:35.59" personId="{CB1691FA-6EDA-4E8D-B0EA-AC92929E3C20}" id="{75AE4A57-7459-413C-97FD-6A38641AF5EC}" parentId="{9A6AB429-989B-4511-89D7-1351CA996939}">
    <text>Correct. The values are outside of the QC range for that time of year but because the 2000m trap doesn’t have a point of comparison, they don’t get marked as 3.</text>
  </threadedComment>
  <threadedComment ref="U60" dT="2025-09-30T23:26:45.40" personId="{6C36B5E3-A774-48FC-8EA5-67E82EB19D99}" id="{DBAD787F-CC79-4A50-9100-155689B7B217}">
    <text>checked</text>
  </threadedComment>
  <threadedComment ref="M67" dT="2025-09-30T23:19:28.47" personId="{6C36B5E3-A774-48FC-8EA5-67E82EB19D99}" id="{E9907601-688F-4875-8182-B78673ACF137}">
    <text>checked</text>
  </threadedComment>
  <threadedComment ref="S67" dT="2025-09-30T23:25:36.59" personId="{6C36B5E3-A774-48FC-8EA5-67E82EB19D99}" id="{165FBC50-DD39-45CE-A30A-27A4CB7E9121}">
    <text>I think this should be flagged 1 if I’m looking at the right table? Table 19 in the QC document has the lower and upper limits as 1.0 and 9.6</text>
  </threadedComment>
  <threadedComment ref="S67" dT="2025-10-15T22:50:15.73" personId="{CB1691FA-6EDA-4E8D-B0EA-AC92929E3C20}" id="{736895DB-471A-4281-BE2D-19A8C7E566FD}" parentId="{165FBC50-DD39-45CE-A30A-27A4CB7E9121}">
    <text>POC is a derived value, by subtraction of PC and PIC, hence the highest flag carries across to POC</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0C27-045A-4A02-AC0B-D4024938E067}">
  <dimension ref="A1:L42"/>
  <sheetViews>
    <sheetView zoomScaleNormal="100" workbookViewId="0">
      <selection activeCell="L5" sqref="L5"/>
    </sheetView>
  </sheetViews>
  <sheetFormatPr defaultColWidth="10.140625" defaultRowHeight="15"/>
  <cols>
    <col min="1" max="1" width="13.140625" customWidth="1"/>
    <col min="2" max="2" width="9.85546875" customWidth="1"/>
    <col min="3" max="3" width="9.140625" customWidth="1"/>
    <col min="4" max="4" width="12.42578125" customWidth="1"/>
    <col min="5" max="5" width="13" customWidth="1"/>
    <col min="6" max="6" width="10.85546875" customWidth="1"/>
    <col min="7" max="7" width="9.5703125" customWidth="1"/>
    <col min="8" max="8" width="12.5703125" customWidth="1"/>
    <col min="9" max="9" width="13.85546875" customWidth="1"/>
    <col min="10" max="10" width="10.42578125" customWidth="1"/>
    <col min="11" max="11" width="10.85546875" customWidth="1"/>
    <col min="12" max="12" width="9.140625" customWidth="1"/>
  </cols>
  <sheetData>
    <row r="1" spans="1:12" ht="39.6" customHeight="1">
      <c r="A1" s="44" t="s">
        <v>169</v>
      </c>
      <c r="B1" s="45" t="s">
        <v>37</v>
      </c>
      <c r="C1" s="46" t="s">
        <v>38</v>
      </c>
      <c r="D1" s="47" t="s">
        <v>39</v>
      </c>
      <c r="E1" s="44" t="s">
        <v>169</v>
      </c>
      <c r="F1" s="48" t="s">
        <v>40</v>
      </c>
      <c r="G1" s="46" t="s">
        <v>38</v>
      </c>
      <c r="H1" s="47" t="s">
        <v>39</v>
      </c>
      <c r="I1" s="44" t="s">
        <v>169</v>
      </c>
      <c r="J1" s="48" t="s">
        <v>41</v>
      </c>
      <c r="K1" s="46" t="s">
        <v>38</v>
      </c>
      <c r="L1" s="47" t="s">
        <v>39</v>
      </c>
    </row>
    <row r="2" spans="1:12" ht="39.6" customHeight="1">
      <c r="A2" s="44" t="s">
        <v>169</v>
      </c>
      <c r="B2" s="45" t="s">
        <v>37</v>
      </c>
      <c r="C2" s="46" t="s">
        <v>42</v>
      </c>
      <c r="D2" s="47" t="s">
        <v>39</v>
      </c>
      <c r="E2" s="44" t="s">
        <v>169</v>
      </c>
      <c r="F2" s="48" t="s">
        <v>40</v>
      </c>
      <c r="G2" s="46" t="s">
        <v>42</v>
      </c>
      <c r="H2" s="47" t="s">
        <v>39</v>
      </c>
      <c r="I2" s="44" t="s">
        <v>169</v>
      </c>
      <c r="J2" s="48" t="s">
        <v>41</v>
      </c>
      <c r="K2" s="46" t="s">
        <v>42</v>
      </c>
      <c r="L2" s="47" t="s">
        <v>39</v>
      </c>
    </row>
    <row r="3" spans="1:12" ht="39.6" customHeight="1">
      <c r="A3" s="44" t="s">
        <v>169</v>
      </c>
      <c r="B3" s="45" t="s">
        <v>37</v>
      </c>
      <c r="C3" s="46" t="s">
        <v>43</v>
      </c>
      <c r="D3" s="47" t="s">
        <v>39</v>
      </c>
      <c r="E3" s="44" t="s">
        <v>169</v>
      </c>
      <c r="F3" s="48" t="s">
        <v>40</v>
      </c>
      <c r="G3" s="46" t="s">
        <v>43</v>
      </c>
      <c r="H3" s="47" t="s">
        <v>39</v>
      </c>
      <c r="I3" s="44" t="s">
        <v>169</v>
      </c>
      <c r="J3" s="48" t="s">
        <v>41</v>
      </c>
      <c r="K3" s="46" t="s">
        <v>43</v>
      </c>
      <c r="L3" s="47" t="s">
        <v>39</v>
      </c>
    </row>
    <row r="4" spans="1:12" ht="39.6" customHeight="1">
      <c r="A4" s="44" t="s">
        <v>169</v>
      </c>
      <c r="B4" s="45" t="s">
        <v>37</v>
      </c>
      <c r="C4" s="46" t="s">
        <v>44</v>
      </c>
      <c r="D4" s="47" t="s">
        <v>39</v>
      </c>
      <c r="E4" s="44" t="s">
        <v>169</v>
      </c>
      <c r="F4" s="48" t="s">
        <v>40</v>
      </c>
      <c r="G4" s="46" t="s">
        <v>44</v>
      </c>
      <c r="H4" s="47" t="s">
        <v>39</v>
      </c>
      <c r="I4" s="44" t="s">
        <v>169</v>
      </c>
      <c r="J4" s="48" t="s">
        <v>41</v>
      </c>
      <c r="K4" s="46" t="s">
        <v>44</v>
      </c>
      <c r="L4" s="47" t="s">
        <v>39</v>
      </c>
    </row>
    <row r="5" spans="1:12" ht="39.6" customHeight="1">
      <c r="A5" s="44" t="s">
        <v>169</v>
      </c>
      <c r="B5" s="45" t="s">
        <v>37</v>
      </c>
      <c r="C5" s="46" t="s">
        <v>45</v>
      </c>
      <c r="D5" s="47" t="s">
        <v>39</v>
      </c>
      <c r="E5" s="44" t="s">
        <v>169</v>
      </c>
      <c r="F5" s="48" t="s">
        <v>40</v>
      </c>
      <c r="G5" s="46" t="s">
        <v>45</v>
      </c>
      <c r="H5" s="47" t="s">
        <v>39</v>
      </c>
      <c r="I5" s="44" t="s">
        <v>169</v>
      </c>
      <c r="J5" s="48" t="s">
        <v>41</v>
      </c>
      <c r="K5" s="46" t="s">
        <v>45</v>
      </c>
      <c r="L5" s="47" t="s">
        <v>39</v>
      </c>
    </row>
    <row r="6" spans="1:12" ht="39.6" customHeight="1">
      <c r="A6" s="44" t="s">
        <v>169</v>
      </c>
      <c r="B6" s="45" t="s">
        <v>37</v>
      </c>
      <c r="C6" s="46" t="s">
        <v>46</v>
      </c>
      <c r="D6" s="47" t="s">
        <v>39</v>
      </c>
      <c r="E6" s="44" t="s">
        <v>169</v>
      </c>
      <c r="F6" s="48" t="s">
        <v>40</v>
      </c>
      <c r="G6" s="46" t="s">
        <v>46</v>
      </c>
      <c r="H6" s="47" t="s">
        <v>39</v>
      </c>
      <c r="I6" s="44" t="s">
        <v>169</v>
      </c>
      <c r="J6" s="48" t="s">
        <v>41</v>
      </c>
      <c r="K6" s="46" t="s">
        <v>46</v>
      </c>
      <c r="L6" s="47" t="s">
        <v>39</v>
      </c>
    </row>
    <row r="7" spans="1:12" ht="39.6" customHeight="1">
      <c r="A7" s="44" t="s">
        <v>169</v>
      </c>
      <c r="B7" s="45" t="s">
        <v>37</v>
      </c>
      <c r="C7" s="46" t="s">
        <v>47</v>
      </c>
      <c r="D7" s="47" t="s">
        <v>39</v>
      </c>
      <c r="E7" s="44" t="s">
        <v>169</v>
      </c>
      <c r="F7" s="48" t="s">
        <v>40</v>
      </c>
      <c r="G7" s="46" t="s">
        <v>47</v>
      </c>
      <c r="H7" s="47" t="s">
        <v>39</v>
      </c>
      <c r="I7" s="44" t="s">
        <v>169</v>
      </c>
      <c r="J7" s="48" t="s">
        <v>41</v>
      </c>
      <c r="K7" s="46" t="s">
        <v>47</v>
      </c>
      <c r="L7" s="47" t="s">
        <v>39</v>
      </c>
    </row>
    <row r="8" spans="1:12" ht="39.6" customHeight="1">
      <c r="A8" s="44" t="s">
        <v>169</v>
      </c>
      <c r="B8" s="45" t="s">
        <v>37</v>
      </c>
      <c r="C8" s="46" t="s">
        <v>48</v>
      </c>
      <c r="D8" s="47" t="s">
        <v>39</v>
      </c>
      <c r="E8" s="44" t="s">
        <v>169</v>
      </c>
      <c r="F8" s="48" t="s">
        <v>40</v>
      </c>
      <c r="G8" s="46" t="s">
        <v>48</v>
      </c>
      <c r="H8" s="47" t="s">
        <v>39</v>
      </c>
      <c r="I8" s="44" t="s">
        <v>169</v>
      </c>
      <c r="J8" s="48" t="s">
        <v>41</v>
      </c>
      <c r="K8" s="46" t="s">
        <v>48</v>
      </c>
      <c r="L8" s="47" t="s">
        <v>39</v>
      </c>
    </row>
    <row r="9" spans="1:12" ht="39.6" customHeight="1">
      <c r="A9" s="44" t="s">
        <v>169</v>
      </c>
      <c r="B9" s="45" t="s">
        <v>37</v>
      </c>
      <c r="C9" s="46" t="s">
        <v>49</v>
      </c>
      <c r="D9" s="47" t="s">
        <v>39</v>
      </c>
      <c r="E9" s="44" t="s">
        <v>169</v>
      </c>
      <c r="F9" s="48" t="s">
        <v>40</v>
      </c>
      <c r="G9" s="46" t="s">
        <v>49</v>
      </c>
      <c r="H9" s="47" t="s">
        <v>39</v>
      </c>
      <c r="I9" s="44" t="s">
        <v>169</v>
      </c>
      <c r="J9" s="48" t="s">
        <v>41</v>
      </c>
      <c r="K9" s="46" t="s">
        <v>49</v>
      </c>
      <c r="L9" s="47" t="s">
        <v>39</v>
      </c>
    </row>
    <row r="10" spans="1:12" ht="39.6" customHeight="1">
      <c r="A10" s="44" t="s">
        <v>169</v>
      </c>
      <c r="B10" s="45" t="s">
        <v>37</v>
      </c>
      <c r="C10" s="46" t="s">
        <v>50</v>
      </c>
      <c r="D10" s="47" t="s">
        <v>39</v>
      </c>
      <c r="E10" s="44" t="s">
        <v>169</v>
      </c>
      <c r="F10" s="48" t="s">
        <v>40</v>
      </c>
      <c r="G10" s="46" t="s">
        <v>50</v>
      </c>
      <c r="H10" s="47" t="s">
        <v>39</v>
      </c>
      <c r="I10" s="44" t="s">
        <v>169</v>
      </c>
      <c r="J10" s="48" t="s">
        <v>41</v>
      </c>
      <c r="K10" s="46" t="s">
        <v>50</v>
      </c>
      <c r="L10" s="47" t="s">
        <v>39</v>
      </c>
    </row>
    <row r="11" spans="1:12" ht="39.6" customHeight="1">
      <c r="A11" s="44" t="s">
        <v>169</v>
      </c>
      <c r="B11" s="45" t="s">
        <v>37</v>
      </c>
      <c r="C11" s="46" t="s">
        <v>51</v>
      </c>
      <c r="D11" s="47" t="s">
        <v>39</v>
      </c>
      <c r="E11" s="44" t="s">
        <v>169</v>
      </c>
      <c r="F11" s="48" t="s">
        <v>40</v>
      </c>
      <c r="G11" s="46" t="s">
        <v>51</v>
      </c>
      <c r="H11" s="47" t="s">
        <v>39</v>
      </c>
      <c r="I11" s="44" t="s">
        <v>169</v>
      </c>
      <c r="J11" s="48" t="s">
        <v>41</v>
      </c>
      <c r="K11" s="46" t="s">
        <v>51</v>
      </c>
      <c r="L11" s="47" t="s">
        <v>39</v>
      </c>
    </row>
    <row r="12" spans="1:12" ht="39.6" customHeight="1">
      <c r="A12" s="44" t="s">
        <v>169</v>
      </c>
      <c r="B12" s="45" t="s">
        <v>37</v>
      </c>
      <c r="C12" s="46" t="s">
        <v>52</v>
      </c>
      <c r="D12" s="47" t="s">
        <v>39</v>
      </c>
      <c r="E12" s="44" t="s">
        <v>169</v>
      </c>
      <c r="F12" s="48" t="s">
        <v>40</v>
      </c>
      <c r="G12" s="46" t="s">
        <v>52</v>
      </c>
      <c r="H12" s="47" t="s">
        <v>39</v>
      </c>
      <c r="I12" s="44" t="s">
        <v>169</v>
      </c>
      <c r="J12" s="48" t="s">
        <v>41</v>
      </c>
      <c r="K12" s="46" t="s">
        <v>52</v>
      </c>
      <c r="L12" s="47" t="s">
        <v>39</v>
      </c>
    </row>
    <row r="13" spans="1:12" ht="39.6" customHeight="1">
      <c r="A13" s="44" t="s">
        <v>169</v>
      </c>
      <c r="B13" s="45" t="s">
        <v>37</v>
      </c>
      <c r="C13" s="46" t="s">
        <v>53</v>
      </c>
      <c r="D13" s="47" t="s">
        <v>39</v>
      </c>
      <c r="E13" s="44" t="s">
        <v>169</v>
      </c>
      <c r="F13" s="48" t="s">
        <v>40</v>
      </c>
      <c r="G13" s="46" t="s">
        <v>53</v>
      </c>
      <c r="H13" s="47" t="s">
        <v>39</v>
      </c>
      <c r="I13" s="44" t="s">
        <v>169</v>
      </c>
      <c r="J13" s="48" t="s">
        <v>41</v>
      </c>
      <c r="K13" s="46" t="s">
        <v>53</v>
      </c>
      <c r="L13" s="47" t="s">
        <v>39</v>
      </c>
    </row>
    <row r="14" spans="1:12" ht="39.6" customHeight="1">
      <c r="A14" s="44" t="s">
        <v>169</v>
      </c>
      <c r="B14" s="45" t="s">
        <v>37</v>
      </c>
      <c r="C14" s="46" t="s">
        <v>54</v>
      </c>
      <c r="D14" s="47" t="s">
        <v>39</v>
      </c>
      <c r="E14" s="44" t="s">
        <v>169</v>
      </c>
      <c r="F14" s="48" t="s">
        <v>40</v>
      </c>
      <c r="G14" s="46" t="s">
        <v>54</v>
      </c>
      <c r="H14" s="47" t="s">
        <v>39</v>
      </c>
      <c r="I14" s="44" t="s">
        <v>169</v>
      </c>
      <c r="J14" s="48" t="s">
        <v>41</v>
      </c>
      <c r="K14" s="46" t="s">
        <v>54</v>
      </c>
      <c r="L14" s="47" t="s">
        <v>39</v>
      </c>
    </row>
    <row r="15" spans="1:12" ht="39.6" customHeight="1">
      <c r="A15" s="44" t="s">
        <v>169</v>
      </c>
      <c r="B15" s="45" t="s">
        <v>37</v>
      </c>
      <c r="C15" s="46" t="s">
        <v>55</v>
      </c>
      <c r="D15" s="47" t="s">
        <v>39</v>
      </c>
      <c r="E15" s="44" t="s">
        <v>169</v>
      </c>
      <c r="F15" s="48" t="s">
        <v>40</v>
      </c>
      <c r="G15" s="46" t="s">
        <v>55</v>
      </c>
      <c r="H15" s="47" t="s">
        <v>39</v>
      </c>
      <c r="I15" s="44" t="s">
        <v>169</v>
      </c>
      <c r="J15" s="48" t="s">
        <v>41</v>
      </c>
      <c r="K15" s="46" t="s">
        <v>55</v>
      </c>
      <c r="L15" s="47" t="s">
        <v>39</v>
      </c>
    </row>
    <row r="16" spans="1:12" ht="39.6" customHeight="1">
      <c r="A16" s="44" t="s">
        <v>169</v>
      </c>
      <c r="B16" s="45" t="s">
        <v>37</v>
      </c>
      <c r="C16" s="46" t="s">
        <v>56</v>
      </c>
      <c r="D16" s="47" t="s">
        <v>39</v>
      </c>
      <c r="E16" s="44" t="s">
        <v>169</v>
      </c>
      <c r="F16" s="48" t="s">
        <v>40</v>
      </c>
      <c r="G16" s="46" t="s">
        <v>56</v>
      </c>
      <c r="H16" s="47" t="s">
        <v>39</v>
      </c>
      <c r="I16" s="44" t="s">
        <v>169</v>
      </c>
      <c r="J16" s="48" t="s">
        <v>41</v>
      </c>
      <c r="K16" s="46" t="s">
        <v>56</v>
      </c>
      <c r="L16" s="47" t="s">
        <v>39</v>
      </c>
    </row>
    <row r="17" spans="1:12" ht="39.6" customHeight="1">
      <c r="A17" s="44" t="s">
        <v>169</v>
      </c>
      <c r="B17" s="45" t="s">
        <v>37</v>
      </c>
      <c r="C17" s="46" t="s">
        <v>57</v>
      </c>
      <c r="D17" s="47" t="s">
        <v>39</v>
      </c>
      <c r="E17" s="44" t="s">
        <v>169</v>
      </c>
      <c r="F17" s="48" t="s">
        <v>40</v>
      </c>
      <c r="G17" s="46" t="s">
        <v>57</v>
      </c>
      <c r="H17" s="47" t="s">
        <v>39</v>
      </c>
      <c r="I17" s="44" t="s">
        <v>169</v>
      </c>
      <c r="J17" s="48" t="s">
        <v>41</v>
      </c>
      <c r="K17" s="46" t="s">
        <v>57</v>
      </c>
      <c r="L17" s="47" t="s">
        <v>39</v>
      </c>
    </row>
    <row r="18" spans="1:12" ht="39.6" customHeight="1">
      <c r="A18" s="44" t="s">
        <v>169</v>
      </c>
      <c r="B18" s="45" t="s">
        <v>37</v>
      </c>
      <c r="C18" s="46" t="s">
        <v>58</v>
      </c>
      <c r="D18" s="47" t="s">
        <v>39</v>
      </c>
      <c r="E18" s="44" t="s">
        <v>169</v>
      </c>
      <c r="F18" s="48" t="s">
        <v>40</v>
      </c>
      <c r="G18" s="46" t="s">
        <v>58</v>
      </c>
      <c r="H18" s="47" t="s">
        <v>39</v>
      </c>
      <c r="I18" s="44" t="s">
        <v>169</v>
      </c>
      <c r="J18" s="48" t="s">
        <v>41</v>
      </c>
      <c r="K18" s="46" t="s">
        <v>58</v>
      </c>
      <c r="L18" s="47" t="s">
        <v>39</v>
      </c>
    </row>
    <row r="19" spans="1:12" ht="39.6" customHeight="1">
      <c r="A19" s="44" t="s">
        <v>169</v>
      </c>
      <c r="B19" s="45" t="s">
        <v>37</v>
      </c>
      <c r="C19" s="46" t="s">
        <v>59</v>
      </c>
      <c r="D19" s="47" t="s">
        <v>39</v>
      </c>
      <c r="E19" s="44" t="s">
        <v>169</v>
      </c>
      <c r="F19" s="48" t="s">
        <v>40</v>
      </c>
      <c r="G19" s="46" t="s">
        <v>59</v>
      </c>
      <c r="H19" s="47" t="s">
        <v>39</v>
      </c>
      <c r="I19" s="44" t="s">
        <v>169</v>
      </c>
      <c r="J19" s="48" t="s">
        <v>41</v>
      </c>
      <c r="K19" s="46" t="s">
        <v>59</v>
      </c>
      <c r="L19" s="47" t="s">
        <v>39</v>
      </c>
    </row>
    <row r="20" spans="1:12" ht="39.6" customHeight="1">
      <c r="A20" s="44" t="s">
        <v>169</v>
      </c>
      <c r="B20" s="45" t="s">
        <v>37</v>
      </c>
      <c r="C20" s="46" t="s">
        <v>60</v>
      </c>
      <c r="D20" s="47" t="s">
        <v>39</v>
      </c>
      <c r="E20" s="44" t="s">
        <v>169</v>
      </c>
      <c r="F20" s="48" t="s">
        <v>40</v>
      </c>
      <c r="G20" s="46" t="s">
        <v>60</v>
      </c>
      <c r="H20" s="47" t="s">
        <v>39</v>
      </c>
      <c r="I20" s="44" t="s">
        <v>169</v>
      </c>
      <c r="J20" s="48" t="s">
        <v>41</v>
      </c>
      <c r="K20" s="46" t="s">
        <v>60</v>
      </c>
      <c r="L20" s="47" t="s">
        <v>39</v>
      </c>
    </row>
    <row r="21" spans="1:12" ht="39.6" customHeight="1">
      <c r="A21" s="44" t="s">
        <v>169</v>
      </c>
      <c r="B21" s="45" t="s">
        <v>37</v>
      </c>
      <c r="C21" s="46" t="s">
        <v>61</v>
      </c>
      <c r="D21" s="47" t="s">
        <v>39</v>
      </c>
      <c r="E21" s="44" t="s">
        <v>169</v>
      </c>
      <c r="F21" s="48" t="s">
        <v>40</v>
      </c>
      <c r="G21" s="46" t="s">
        <v>61</v>
      </c>
      <c r="H21" s="47" t="s">
        <v>39</v>
      </c>
      <c r="I21" s="44" t="s">
        <v>169</v>
      </c>
      <c r="J21" s="48" t="s">
        <v>41</v>
      </c>
      <c r="K21" s="46" t="s">
        <v>61</v>
      </c>
      <c r="L21" s="47" t="s">
        <v>39</v>
      </c>
    </row>
    <row r="22" spans="1:12" ht="39.6" customHeight="1">
      <c r="A22" s="44" t="s">
        <v>169</v>
      </c>
      <c r="B22" s="45" t="s">
        <v>37</v>
      </c>
      <c r="C22" s="46" t="s">
        <v>62</v>
      </c>
      <c r="D22" s="47" t="s">
        <v>39</v>
      </c>
      <c r="E22" s="44" t="s">
        <v>169</v>
      </c>
      <c r="F22" s="48" t="s">
        <v>40</v>
      </c>
      <c r="G22" s="46" t="s">
        <v>62</v>
      </c>
      <c r="H22" s="47" t="s">
        <v>39</v>
      </c>
      <c r="I22" s="44" t="s">
        <v>169</v>
      </c>
      <c r="J22" s="48" t="s">
        <v>41</v>
      </c>
      <c r="K22" s="46" t="s">
        <v>62</v>
      </c>
      <c r="L22" s="47" t="s">
        <v>39</v>
      </c>
    </row>
    <row r="23" spans="1:12" ht="39.6" customHeight="1">
      <c r="A23" s="44" t="s">
        <v>169</v>
      </c>
      <c r="B23" s="45" t="s">
        <v>37</v>
      </c>
      <c r="C23" s="46" t="s">
        <v>63</v>
      </c>
      <c r="D23" s="47" t="s">
        <v>39</v>
      </c>
      <c r="E23" s="44" t="s">
        <v>169</v>
      </c>
      <c r="F23" s="48" t="s">
        <v>40</v>
      </c>
      <c r="G23" s="46" t="s">
        <v>63</v>
      </c>
      <c r="H23" s="47" t="s">
        <v>39</v>
      </c>
      <c r="I23" s="44" t="s">
        <v>169</v>
      </c>
      <c r="J23" s="48" t="s">
        <v>41</v>
      </c>
      <c r="K23" s="46" t="s">
        <v>63</v>
      </c>
      <c r="L23" s="47" t="s">
        <v>39</v>
      </c>
    </row>
    <row r="24" spans="1:12" ht="39.6" customHeight="1">
      <c r="A24" s="44" t="s">
        <v>169</v>
      </c>
      <c r="B24" s="45" t="s">
        <v>37</v>
      </c>
      <c r="C24" s="46" t="s">
        <v>64</v>
      </c>
      <c r="D24" s="47" t="s">
        <v>39</v>
      </c>
      <c r="E24" s="44" t="s">
        <v>169</v>
      </c>
      <c r="F24" s="48" t="s">
        <v>40</v>
      </c>
      <c r="G24" s="46" t="s">
        <v>64</v>
      </c>
      <c r="H24" s="47" t="s">
        <v>39</v>
      </c>
      <c r="I24" s="44" t="s">
        <v>169</v>
      </c>
      <c r="J24" s="48" t="s">
        <v>41</v>
      </c>
      <c r="K24" s="46" t="s">
        <v>64</v>
      </c>
      <c r="L24" s="47" t="s">
        <v>39</v>
      </c>
    </row>
    <row r="25" spans="1:12" ht="39.6" customHeight="1">
      <c r="A25" s="44" t="s">
        <v>169</v>
      </c>
      <c r="B25" s="45" t="s">
        <v>37</v>
      </c>
      <c r="C25" s="46" t="s">
        <v>65</v>
      </c>
      <c r="D25" s="47" t="s">
        <v>39</v>
      </c>
      <c r="E25" s="44" t="s">
        <v>169</v>
      </c>
      <c r="F25" s="48" t="s">
        <v>40</v>
      </c>
      <c r="G25" s="46" t="s">
        <v>65</v>
      </c>
      <c r="H25" s="47" t="s">
        <v>39</v>
      </c>
      <c r="I25" s="44" t="s">
        <v>169</v>
      </c>
      <c r="J25" s="48" t="s">
        <v>41</v>
      </c>
      <c r="K25" s="46" t="s">
        <v>65</v>
      </c>
      <c r="L25" s="47" t="s">
        <v>39</v>
      </c>
    </row>
    <row r="26" spans="1:12" ht="39.6" customHeight="1">
      <c r="A26" s="44" t="s">
        <v>169</v>
      </c>
      <c r="B26" s="45" t="s">
        <v>37</v>
      </c>
      <c r="C26" s="46" t="s">
        <v>66</v>
      </c>
      <c r="D26" s="47" t="s">
        <v>39</v>
      </c>
      <c r="E26" s="44" t="s">
        <v>169</v>
      </c>
      <c r="F26" s="48" t="s">
        <v>40</v>
      </c>
      <c r="G26" s="46" t="s">
        <v>66</v>
      </c>
      <c r="H26" s="47" t="s">
        <v>39</v>
      </c>
      <c r="I26" s="44" t="s">
        <v>169</v>
      </c>
      <c r="J26" s="48" t="s">
        <v>41</v>
      </c>
      <c r="K26" s="46" t="s">
        <v>66</v>
      </c>
      <c r="L26" s="47" t="s">
        <v>39</v>
      </c>
    </row>
    <row r="27" spans="1:12" ht="39.6" customHeight="1">
      <c r="A27" s="44" t="s">
        <v>169</v>
      </c>
      <c r="B27" s="45" t="s">
        <v>37</v>
      </c>
      <c r="C27" s="46" t="s">
        <v>67</v>
      </c>
      <c r="D27" s="47" t="s">
        <v>39</v>
      </c>
      <c r="E27" s="44" t="s">
        <v>169</v>
      </c>
      <c r="F27" s="48" t="s">
        <v>40</v>
      </c>
      <c r="G27" s="46" t="s">
        <v>67</v>
      </c>
      <c r="H27" s="47" t="s">
        <v>39</v>
      </c>
      <c r="I27" s="44" t="s">
        <v>169</v>
      </c>
      <c r="J27" s="48" t="s">
        <v>41</v>
      </c>
      <c r="K27" s="46" t="s">
        <v>67</v>
      </c>
      <c r="L27" s="47" t="s">
        <v>39</v>
      </c>
    </row>
    <row r="28" spans="1:12" ht="39.6" customHeight="1">
      <c r="A28" s="44" t="s">
        <v>169</v>
      </c>
      <c r="B28" s="45" t="s">
        <v>37</v>
      </c>
      <c r="C28" s="46" t="s">
        <v>68</v>
      </c>
      <c r="D28" s="47" t="s">
        <v>39</v>
      </c>
      <c r="E28" s="44" t="s">
        <v>169</v>
      </c>
      <c r="F28" s="48" t="s">
        <v>40</v>
      </c>
      <c r="G28" s="46" t="s">
        <v>68</v>
      </c>
      <c r="H28" s="47" t="s">
        <v>39</v>
      </c>
      <c r="I28" s="44" t="s">
        <v>169</v>
      </c>
      <c r="J28" s="48" t="s">
        <v>41</v>
      </c>
      <c r="K28" s="46" t="s">
        <v>68</v>
      </c>
      <c r="L28" s="47" t="s">
        <v>39</v>
      </c>
    </row>
    <row r="29" spans="1:12" ht="39.6" customHeight="1">
      <c r="A29" s="44" t="s">
        <v>169</v>
      </c>
      <c r="B29" s="45" t="s">
        <v>37</v>
      </c>
      <c r="C29" s="46" t="s">
        <v>69</v>
      </c>
      <c r="D29" s="47" t="s">
        <v>39</v>
      </c>
      <c r="E29" s="44" t="s">
        <v>169</v>
      </c>
      <c r="F29" s="48" t="s">
        <v>40</v>
      </c>
      <c r="G29" s="46" t="s">
        <v>69</v>
      </c>
      <c r="H29" s="47" t="s">
        <v>39</v>
      </c>
      <c r="I29" s="44" t="s">
        <v>169</v>
      </c>
      <c r="J29" s="48" t="s">
        <v>41</v>
      </c>
      <c r="K29" s="46" t="s">
        <v>69</v>
      </c>
      <c r="L29" s="47" t="s">
        <v>39</v>
      </c>
    </row>
    <row r="30" spans="1:12" ht="39.6" customHeight="1">
      <c r="A30" s="44" t="s">
        <v>169</v>
      </c>
      <c r="B30" s="45" t="s">
        <v>37</v>
      </c>
      <c r="C30" s="46" t="s">
        <v>70</v>
      </c>
      <c r="D30" s="47" t="s">
        <v>39</v>
      </c>
      <c r="E30" s="44" t="s">
        <v>169</v>
      </c>
      <c r="F30" s="48" t="s">
        <v>40</v>
      </c>
      <c r="G30" s="46" t="s">
        <v>70</v>
      </c>
      <c r="H30" s="47" t="s">
        <v>39</v>
      </c>
      <c r="I30" s="44" t="s">
        <v>169</v>
      </c>
      <c r="J30" s="48" t="s">
        <v>41</v>
      </c>
      <c r="K30" s="46" t="s">
        <v>70</v>
      </c>
      <c r="L30" s="47" t="s">
        <v>39</v>
      </c>
    </row>
    <row r="31" spans="1:12" ht="39.6" customHeight="1">
      <c r="A31" s="44" t="s">
        <v>169</v>
      </c>
      <c r="B31" s="45" t="s">
        <v>37</v>
      </c>
      <c r="C31" s="46" t="s">
        <v>71</v>
      </c>
      <c r="D31" s="47" t="s">
        <v>39</v>
      </c>
      <c r="E31" s="44" t="s">
        <v>169</v>
      </c>
      <c r="F31" s="48" t="s">
        <v>40</v>
      </c>
      <c r="G31" s="46" t="s">
        <v>71</v>
      </c>
      <c r="H31" s="47" t="s">
        <v>39</v>
      </c>
      <c r="I31" s="44" t="s">
        <v>169</v>
      </c>
      <c r="J31" s="48" t="s">
        <v>41</v>
      </c>
      <c r="K31" s="46" t="s">
        <v>71</v>
      </c>
      <c r="L31" s="47" t="s">
        <v>39</v>
      </c>
    </row>
    <row r="32" spans="1:12" ht="39.6" customHeight="1">
      <c r="A32" s="44" t="s">
        <v>169</v>
      </c>
      <c r="B32" s="45" t="s">
        <v>37</v>
      </c>
      <c r="C32" s="46" t="s">
        <v>72</v>
      </c>
      <c r="D32" s="47" t="s">
        <v>39</v>
      </c>
      <c r="E32" s="44" t="s">
        <v>169</v>
      </c>
      <c r="F32" s="48" t="s">
        <v>40</v>
      </c>
      <c r="G32" s="46" t="s">
        <v>72</v>
      </c>
      <c r="H32" s="47" t="s">
        <v>39</v>
      </c>
      <c r="I32" s="44" t="s">
        <v>169</v>
      </c>
      <c r="J32" s="48" t="s">
        <v>41</v>
      </c>
      <c r="K32" s="46" t="s">
        <v>72</v>
      </c>
      <c r="L32" s="47" t="s">
        <v>39</v>
      </c>
    </row>
    <row r="33" spans="1:12" ht="39.6" customHeight="1">
      <c r="A33" s="44" t="s">
        <v>169</v>
      </c>
      <c r="B33" s="45" t="s">
        <v>37</v>
      </c>
      <c r="C33" s="46" t="s">
        <v>73</v>
      </c>
      <c r="D33" s="47" t="s">
        <v>39</v>
      </c>
      <c r="E33" s="44" t="s">
        <v>169</v>
      </c>
      <c r="F33" s="48" t="s">
        <v>40</v>
      </c>
      <c r="G33" s="46" t="s">
        <v>73</v>
      </c>
      <c r="H33" s="47" t="s">
        <v>39</v>
      </c>
      <c r="I33" s="44" t="s">
        <v>169</v>
      </c>
      <c r="J33" s="48" t="s">
        <v>41</v>
      </c>
      <c r="K33" s="46" t="s">
        <v>73</v>
      </c>
      <c r="L33" s="47" t="s">
        <v>39</v>
      </c>
    </row>
    <row r="34" spans="1:12" ht="39.6" customHeight="1">
      <c r="A34" s="44" t="s">
        <v>169</v>
      </c>
      <c r="B34" s="45" t="s">
        <v>37</v>
      </c>
      <c r="C34" s="46" t="s">
        <v>74</v>
      </c>
      <c r="D34" s="47" t="s">
        <v>39</v>
      </c>
      <c r="E34" s="44" t="s">
        <v>169</v>
      </c>
      <c r="F34" s="48" t="s">
        <v>40</v>
      </c>
      <c r="G34" s="46" t="s">
        <v>74</v>
      </c>
      <c r="H34" s="47" t="s">
        <v>39</v>
      </c>
      <c r="I34" s="44" t="s">
        <v>169</v>
      </c>
      <c r="J34" s="48" t="s">
        <v>41</v>
      </c>
      <c r="K34" s="46" t="s">
        <v>74</v>
      </c>
      <c r="L34" s="47" t="s">
        <v>39</v>
      </c>
    </row>
    <row r="35" spans="1:12" ht="39.6" customHeight="1">
      <c r="A35" s="44" t="s">
        <v>169</v>
      </c>
      <c r="B35" s="45" t="s">
        <v>37</v>
      </c>
      <c r="C35" s="46" t="s">
        <v>75</v>
      </c>
      <c r="D35" s="47" t="s">
        <v>39</v>
      </c>
      <c r="E35" s="44" t="s">
        <v>169</v>
      </c>
      <c r="F35" s="48" t="s">
        <v>40</v>
      </c>
      <c r="G35" s="46" t="s">
        <v>75</v>
      </c>
      <c r="H35" s="47" t="s">
        <v>39</v>
      </c>
      <c r="I35" s="44" t="s">
        <v>169</v>
      </c>
      <c r="J35" s="48" t="s">
        <v>41</v>
      </c>
      <c r="K35" s="46" t="s">
        <v>75</v>
      </c>
      <c r="L35" s="47" t="s">
        <v>39</v>
      </c>
    </row>
    <row r="36" spans="1:12" ht="39.6" customHeight="1">
      <c r="A36" s="44" t="s">
        <v>169</v>
      </c>
      <c r="B36" s="45" t="s">
        <v>37</v>
      </c>
      <c r="C36" s="46" t="s">
        <v>76</v>
      </c>
      <c r="D36" s="47" t="s">
        <v>39</v>
      </c>
      <c r="E36" s="44" t="s">
        <v>169</v>
      </c>
      <c r="F36" s="48" t="s">
        <v>40</v>
      </c>
      <c r="G36" s="46" t="s">
        <v>76</v>
      </c>
      <c r="H36" s="47" t="s">
        <v>39</v>
      </c>
      <c r="I36" s="44" t="s">
        <v>169</v>
      </c>
      <c r="J36" s="48" t="s">
        <v>41</v>
      </c>
      <c r="K36" s="46" t="s">
        <v>76</v>
      </c>
      <c r="L36" s="47" t="s">
        <v>39</v>
      </c>
    </row>
    <row r="37" spans="1:12" ht="39.6" customHeight="1">
      <c r="A37" s="44" t="s">
        <v>169</v>
      </c>
      <c r="B37" s="45" t="s">
        <v>37</v>
      </c>
      <c r="C37" s="46" t="s">
        <v>77</v>
      </c>
      <c r="D37" s="47" t="s">
        <v>39</v>
      </c>
      <c r="E37" s="44" t="s">
        <v>169</v>
      </c>
      <c r="F37" s="48" t="s">
        <v>40</v>
      </c>
      <c r="G37" s="46" t="s">
        <v>77</v>
      </c>
      <c r="H37" s="47" t="s">
        <v>39</v>
      </c>
      <c r="I37" s="44" t="s">
        <v>169</v>
      </c>
      <c r="J37" s="48" t="s">
        <v>41</v>
      </c>
      <c r="K37" s="46" t="s">
        <v>77</v>
      </c>
      <c r="L37" s="47" t="s">
        <v>39</v>
      </c>
    </row>
    <row r="38" spans="1:12" ht="39.6" customHeight="1">
      <c r="A38" s="44" t="s">
        <v>169</v>
      </c>
      <c r="B38" s="45" t="s">
        <v>37</v>
      </c>
      <c r="C38" s="46" t="s">
        <v>78</v>
      </c>
      <c r="D38" s="47" t="s">
        <v>39</v>
      </c>
      <c r="E38" s="44" t="s">
        <v>169</v>
      </c>
      <c r="F38" s="48" t="s">
        <v>40</v>
      </c>
      <c r="G38" s="46" t="s">
        <v>78</v>
      </c>
      <c r="H38" s="47" t="s">
        <v>39</v>
      </c>
      <c r="I38" s="44" t="s">
        <v>169</v>
      </c>
      <c r="J38" s="48" t="s">
        <v>41</v>
      </c>
      <c r="K38" s="46" t="s">
        <v>78</v>
      </c>
      <c r="L38" s="47" t="s">
        <v>39</v>
      </c>
    </row>
    <row r="39" spans="1:12" ht="39.6" customHeight="1">
      <c r="A39" s="44" t="s">
        <v>169</v>
      </c>
      <c r="B39" s="45" t="s">
        <v>37</v>
      </c>
      <c r="C39" s="46" t="s">
        <v>79</v>
      </c>
      <c r="D39" s="47" t="s">
        <v>39</v>
      </c>
      <c r="E39" s="44" t="s">
        <v>169</v>
      </c>
      <c r="F39" s="48" t="s">
        <v>40</v>
      </c>
      <c r="G39" s="46" t="s">
        <v>79</v>
      </c>
      <c r="H39" s="47" t="s">
        <v>39</v>
      </c>
      <c r="I39" s="44" t="s">
        <v>169</v>
      </c>
      <c r="J39" s="48" t="s">
        <v>41</v>
      </c>
      <c r="K39" s="46" t="s">
        <v>79</v>
      </c>
      <c r="L39" s="47" t="s">
        <v>39</v>
      </c>
    </row>
    <row r="40" spans="1:12" ht="39.6" customHeight="1">
      <c r="A40" s="44" t="s">
        <v>169</v>
      </c>
      <c r="B40" s="45" t="s">
        <v>37</v>
      </c>
      <c r="C40" s="46" t="s">
        <v>80</v>
      </c>
      <c r="D40" s="47" t="s">
        <v>39</v>
      </c>
      <c r="E40" s="44" t="s">
        <v>169</v>
      </c>
      <c r="F40" s="48" t="s">
        <v>40</v>
      </c>
      <c r="G40" s="46" t="s">
        <v>80</v>
      </c>
      <c r="H40" s="47" t="s">
        <v>39</v>
      </c>
      <c r="I40" s="44" t="s">
        <v>169</v>
      </c>
      <c r="J40" s="48" t="s">
        <v>41</v>
      </c>
      <c r="K40" s="46" t="s">
        <v>80</v>
      </c>
      <c r="L40" s="47" t="s">
        <v>39</v>
      </c>
    </row>
    <row r="41" spans="1:12" ht="39.6" customHeight="1">
      <c r="A41" s="44" t="s">
        <v>169</v>
      </c>
      <c r="B41" s="45" t="s">
        <v>37</v>
      </c>
      <c r="C41" s="46" t="s">
        <v>81</v>
      </c>
      <c r="D41" s="47" t="s">
        <v>39</v>
      </c>
      <c r="E41" s="44" t="s">
        <v>169</v>
      </c>
      <c r="F41" s="48" t="s">
        <v>40</v>
      </c>
      <c r="G41" s="46" t="s">
        <v>81</v>
      </c>
      <c r="H41" s="47" t="s">
        <v>39</v>
      </c>
      <c r="I41" s="44" t="s">
        <v>169</v>
      </c>
      <c r="J41" s="48" t="s">
        <v>41</v>
      </c>
      <c r="K41" s="46" t="s">
        <v>81</v>
      </c>
      <c r="L41" s="47" t="s">
        <v>39</v>
      </c>
    </row>
    <row r="42" spans="1:12" ht="39.6" customHeight="1">
      <c r="A42" s="44" t="s">
        <v>169</v>
      </c>
      <c r="B42" s="45" t="s">
        <v>37</v>
      </c>
      <c r="C42" s="46" t="s">
        <v>82</v>
      </c>
      <c r="D42" s="47" t="s">
        <v>39</v>
      </c>
      <c r="E42" s="44" t="s">
        <v>169</v>
      </c>
      <c r="F42" s="48" t="s">
        <v>40</v>
      </c>
      <c r="G42" s="46" t="s">
        <v>82</v>
      </c>
      <c r="H42" s="47" t="s">
        <v>39</v>
      </c>
      <c r="I42" s="44" t="s">
        <v>169</v>
      </c>
      <c r="J42" s="48" t="s">
        <v>41</v>
      </c>
      <c r="K42" s="46" t="s">
        <v>82</v>
      </c>
      <c r="L42" s="47" t="s">
        <v>39</v>
      </c>
    </row>
  </sheetData>
  <phoneticPr fontId="15" type="noConversion"/>
  <pageMargins left="0.7" right="0.7" top="0.75" bottom="0.75" header="0.3" footer="0.3"/>
  <pageSetup paperSize="9" scale="96" orientation="portrait" r:id="rId1"/>
  <headerFooter>
    <oddHeader>&amp;C&amp;"Aptos"&amp;12&amp;KFF0000 UNOFFICIAL&amp;1#_x000D_</oddHeader>
    <oddFooter>&amp;C_x000D_&amp;1#&amp;"Aptos"&amp;12&amp;KFF0000 UNOFFICIAL</oddFooter>
  </headerFooter>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9"/>
  <sheetViews>
    <sheetView workbookViewId="0">
      <selection activeCell="I17" sqref="I17"/>
    </sheetView>
  </sheetViews>
  <sheetFormatPr defaultColWidth="8.85546875" defaultRowHeight="15"/>
  <sheetData>
    <row r="1" spans="1:1" s="37" customFormat="1">
      <c r="A1" s="37" t="s">
        <v>170</v>
      </c>
    </row>
    <row r="2" spans="1:1" s="37" customFormat="1"/>
    <row r="3" spans="1:1">
      <c r="A3" t="s">
        <v>140</v>
      </c>
    </row>
    <row r="4" spans="1:1">
      <c r="A4" s="53" t="s">
        <v>103</v>
      </c>
    </row>
    <row r="5" spans="1:1">
      <c r="A5" s="53"/>
    </row>
    <row r="6" spans="1:1">
      <c r="A6" s="53" t="s">
        <v>104</v>
      </c>
    </row>
    <row r="7" spans="1:1">
      <c r="A7" s="53"/>
    </row>
    <row r="8" spans="1:1">
      <c r="A8" s="53" t="s">
        <v>105</v>
      </c>
    </row>
    <row r="9" spans="1:1">
      <c r="A9" s="53"/>
    </row>
    <row r="10" spans="1:1">
      <c r="A10" s="54" t="s">
        <v>106</v>
      </c>
    </row>
    <row r="11" spans="1:1" ht="15.75">
      <c r="A11" s="55"/>
    </row>
    <row r="12" spans="1:1">
      <c r="A12" s="56" t="s">
        <v>107</v>
      </c>
    </row>
    <row r="13" spans="1:1" ht="15.75">
      <c r="A13" s="55"/>
    </row>
    <row r="14" spans="1:1">
      <c r="A14" s="56" t="s">
        <v>108</v>
      </c>
    </row>
    <row r="15" spans="1:1">
      <c r="A15" s="56" t="s">
        <v>109</v>
      </c>
    </row>
    <row r="16" spans="1:1" ht="15.75">
      <c r="A16" s="55"/>
    </row>
    <row r="17" spans="1:1">
      <c r="A17" s="56" t="s">
        <v>110</v>
      </c>
    </row>
    <row r="18" spans="1:1">
      <c r="A18" s="56" t="s">
        <v>111</v>
      </c>
    </row>
    <row r="19" spans="1:1">
      <c r="A19" s="56" t="s">
        <v>112</v>
      </c>
    </row>
    <row r="20" spans="1:1" ht="15.75">
      <c r="A20" s="55"/>
    </row>
    <row r="21" spans="1:1">
      <c r="A21" s="56" t="s">
        <v>113</v>
      </c>
    </row>
    <row r="22" spans="1:1">
      <c r="A22" s="56" t="s">
        <v>114</v>
      </c>
    </row>
    <row r="23" spans="1:1" ht="15.75">
      <c r="A23" s="55"/>
    </row>
    <row r="24" spans="1:1">
      <c r="A24" s="56" t="s">
        <v>115</v>
      </c>
    </row>
    <row r="25" spans="1:1" ht="15.75">
      <c r="A25" s="55"/>
    </row>
    <row r="26" spans="1:1">
      <c r="A26" s="56" t="s">
        <v>116</v>
      </c>
    </row>
    <row r="27" spans="1:1" ht="15.75">
      <c r="A27" s="57"/>
    </row>
    <row r="28" spans="1:1">
      <c r="A28" s="53"/>
    </row>
    <row r="29" spans="1:1">
      <c r="A29" s="53"/>
    </row>
    <row r="30" spans="1:1">
      <c r="A30" s="58" t="s">
        <v>117</v>
      </c>
    </row>
    <row r="31" spans="1:1">
      <c r="A31" s="58" t="s">
        <v>118</v>
      </c>
    </row>
    <row r="32" spans="1:1">
      <c r="A32" s="58"/>
    </row>
    <row r="33" spans="1:1">
      <c r="A33" s="58" t="s">
        <v>119</v>
      </c>
    </row>
    <row r="34" spans="1:1">
      <c r="A34" s="58" t="s">
        <v>120</v>
      </c>
    </row>
    <row r="35" spans="1:1">
      <c r="A35" s="58" t="s">
        <v>121</v>
      </c>
    </row>
    <row r="36" spans="1:1">
      <c r="A36" s="58" t="s">
        <v>122</v>
      </c>
    </row>
    <row r="37" spans="1:1">
      <c r="A37" s="58" t="s">
        <v>123</v>
      </c>
    </row>
    <row r="38" spans="1:1">
      <c r="A38" s="58" t="s">
        <v>124</v>
      </c>
    </row>
    <row r="39" spans="1:1">
      <c r="A39" s="58" t="s">
        <v>125</v>
      </c>
    </row>
    <row r="40" spans="1:1">
      <c r="A40" s="58" t="s">
        <v>126</v>
      </c>
    </row>
    <row r="41" spans="1:1">
      <c r="A41" s="58"/>
    </row>
    <row r="42" spans="1:1">
      <c r="A42" s="58" t="s">
        <v>127</v>
      </c>
    </row>
    <row r="43" spans="1:1">
      <c r="A43" s="58"/>
    </row>
    <row r="44" spans="1:1">
      <c r="A44" s="58" t="s">
        <v>128</v>
      </c>
    </row>
    <row r="45" spans="1:1">
      <c r="A45" s="58"/>
    </row>
    <row r="46" spans="1:1">
      <c r="A46" s="58" t="s">
        <v>129</v>
      </c>
    </row>
    <row r="47" spans="1:1">
      <c r="A47" s="58" t="s">
        <v>130</v>
      </c>
    </row>
    <row r="48" spans="1:1">
      <c r="A48" s="58" t="s">
        <v>131</v>
      </c>
    </row>
    <row r="49" spans="1:1">
      <c r="A49" s="58" t="s">
        <v>132</v>
      </c>
    </row>
    <row r="50" spans="1:1">
      <c r="A50" s="58" t="s">
        <v>133</v>
      </c>
    </row>
    <row r="51" spans="1:1">
      <c r="A51" s="58" t="s">
        <v>134</v>
      </c>
    </row>
    <row r="52" spans="1:1">
      <c r="A52" s="58" t="s">
        <v>135</v>
      </c>
    </row>
    <row r="53" spans="1:1">
      <c r="A53" s="58" t="s">
        <v>136</v>
      </c>
    </row>
    <row r="54" spans="1:1">
      <c r="A54" s="53"/>
    </row>
    <row r="55" spans="1:1">
      <c r="A55" s="53" t="s">
        <v>137</v>
      </c>
    </row>
    <row r="56" spans="1:1">
      <c r="A56" s="53"/>
    </row>
    <row r="57" spans="1:1">
      <c r="A57" s="53" t="s">
        <v>138</v>
      </c>
    </row>
    <row r="58" spans="1:1">
      <c r="A58" s="53"/>
    </row>
    <row r="59" spans="1:1">
      <c r="A59" s="59" t="s">
        <v>139</v>
      </c>
    </row>
  </sheetData>
  <pageMargins left="0.7" right="0.7" top="0.75" bottom="0.75" header="0.3" footer="0.3"/>
  <pageSetup paperSize="9" orientation="portrait" r:id="rId1"/>
  <headerFooter>
    <oddHeader>&amp;C&amp;"Aptos"&amp;12&amp;KFF0000 UNOFFICIAL&amp;1#_x000D_</oddHeader>
    <oddFooter>&amp;C_x000D_&amp;1#&amp;"Aptos"&amp;12&amp;KFF0000 UNOFFICIAL</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43"/>
  <sheetViews>
    <sheetView zoomScale="90" zoomScaleNormal="90" workbookViewId="0">
      <selection activeCell="C39" sqref="C39"/>
    </sheetView>
  </sheetViews>
  <sheetFormatPr defaultColWidth="8.85546875" defaultRowHeight="15"/>
  <cols>
    <col min="1" max="1" width="63.28515625" customWidth="1"/>
    <col min="2" max="2" width="18.140625" customWidth="1"/>
    <col min="3" max="3" width="83.42578125" customWidth="1"/>
    <col min="4" max="4" width="16.5703125" customWidth="1"/>
    <col min="5" max="5" width="63.85546875" bestFit="1" customWidth="1"/>
    <col min="6" max="6" width="15" bestFit="1" customWidth="1"/>
    <col min="7" max="7" width="13.140625" customWidth="1"/>
    <col min="9" max="9" width="9.85546875" bestFit="1" customWidth="1"/>
    <col min="10" max="10" width="10.85546875" bestFit="1" customWidth="1"/>
    <col min="16" max="16" width="15" bestFit="1" customWidth="1"/>
    <col min="17" max="17" width="11.5703125" bestFit="1" customWidth="1"/>
    <col min="20" max="20" width="19" bestFit="1" customWidth="1"/>
    <col min="22" max="22" width="11" bestFit="1" customWidth="1"/>
  </cols>
  <sheetData>
    <row r="1" spans="1:25" ht="18.75">
      <c r="A1" s="29"/>
      <c r="D1" s="43" t="s">
        <v>0</v>
      </c>
      <c r="E1" s="43"/>
      <c r="F1" s="43"/>
      <c r="G1" s="28"/>
      <c r="H1" s="28"/>
      <c r="I1" s="28"/>
      <c r="J1" s="28"/>
      <c r="K1" s="28"/>
      <c r="L1" s="28"/>
      <c r="M1" s="61" t="s">
        <v>35</v>
      </c>
      <c r="N1" s="43"/>
      <c r="O1" s="43"/>
      <c r="P1" s="43"/>
      <c r="Q1" s="43"/>
      <c r="R1" s="43"/>
      <c r="S1" s="28"/>
      <c r="T1" s="27"/>
      <c r="U1" s="27"/>
      <c r="V1" s="50" t="s">
        <v>149</v>
      </c>
      <c r="W1" s="50" t="s">
        <v>150</v>
      </c>
      <c r="X1" s="27"/>
      <c r="Y1" s="50"/>
    </row>
    <row r="2" spans="1:25" ht="18.75">
      <c r="A2" s="1" t="s">
        <v>171</v>
      </c>
      <c r="D2" s="88" t="s">
        <v>198</v>
      </c>
      <c r="E2" s="88"/>
      <c r="F2" s="88"/>
      <c r="G2" s="49"/>
      <c r="H2" s="49"/>
      <c r="I2" s="28"/>
      <c r="J2" s="28"/>
      <c r="K2" s="28"/>
      <c r="L2" s="28"/>
      <c r="M2" s="88" t="s">
        <v>36</v>
      </c>
      <c r="N2" s="90"/>
      <c r="O2" s="90"/>
      <c r="P2" s="90"/>
      <c r="Q2" s="90"/>
      <c r="R2" s="90"/>
      <c r="S2" s="30"/>
      <c r="T2" s="50" t="s">
        <v>187</v>
      </c>
      <c r="U2" s="27"/>
      <c r="V2" s="87" t="s">
        <v>151</v>
      </c>
      <c r="W2" s="87">
        <v>49.4</v>
      </c>
      <c r="X2" s="87">
        <v>21.3</v>
      </c>
      <c r="Y2" s="27"/>
    </row>
    <row r="3" spans="1:25">
      <c r="A3" t="s">
        <v>16</v>
      </c>
      <c r="D3" s="88"/>
      <c r="E3" s="88"/>
      <c r="F3" s="88"/>
      <c r="G3" s="49"/>
      <c r="H3" s="61" t="s">
        <v>185</v>
      </c>
      <c r="I3" s="28"/>
      <c r="J3" s="61" t="s">
        <v>149</v>
      </c>
      <c r="K3" s="61" t="s">
        <v>150</v>
      </c>
      <c r="L3" s="43"/>
      <c r="M3" s="88" t="s">
        <v>102</v>
      </c>
      <c r="N3" s="88"/>
      <c r="O3" s="88"/>
      <c r="P3" s="88"/>
      <c r="Q3" s="88"/>
      <c r="R3" s="88"/>
      <c r="S3" s="49"/>
      <c r="T3" s="43" t="s">
        <v>197</v>
      </c>
      <c r="U3" s="28"/>
      <c r="V3" s="43" t="s">
        <v>152</v>
      </c>
      <c r="W3" s="43">
        <v>36.9</v>
      </c>
      <c r="X3" s="43">
        <v>21.2</v>
      </c>
      <c r="Y3" s="28"/>
    </row>
    <row r="4" spans="1:25">
      <c r="A4" s="37" t="s">
        <v>172</v>
      </c>
      <c r="B4" s="39"/>
      <c r="D4" s="43" t="s">
        <v>26</v>
      </c>
      <c r="E4" s="43">
        <v>8.7899999999999991</v>
      </c>
      <c r="F4" s="43">
        <v>20.6</v>
      </c>
      <c r="G4" s="89">
        <v>45033</v>
      </c>
      <c r="H4" s="43" t="s">
        <v>196</v>
      </c>
      <c r="I4" s="28"/>
      <c r="J4" s="43">
        <v>9.18</v>
      </c>
      <c r="K4" s="43">
        <v>9.2799999999999994</v>
      </c>
      <c r="L4" s="43">
        <v>21.6</v>
      </c>
      <c r="M4" s="43" t="s">
        <v>26</v>
      </c>
      <c r="N4" s="43">
        <v>62.7</v>
      </c>
      <c r="O4" s="43">
        <v>21</v>
      </c>
      <c r="P4" s="89">
        <v>45033</v>
      </c>
      <c r="Q4" s="43" t="s">
        <v>196</v>
      </c>
      <c r="R4" s="28"/>
      <c r="S4" s="28"/>
      <c r="T4" s="28"/>
      <c r="U4" s="28"/>
      <c r="V4" s="43" t="s">
        <v>153</v>
      </c>
      <c r="W4" s="43">
        <v>1438</v>
      </c>
      <c r="X4" s="43">
        <v>21.4</v>
      </c>
      <c r="Y4" s="28"/>
    </row>
    <row r="5" spans="1:25">
      <c r="A5" t="s">
        <v>2</v>
      </c>
      <c r="C5">
        <v>250</v>
      </c>
      <c r="D5" s="43" t="s">
        <v>25</v>
      </c>
      <c r="E5" s="43">
        <v>8.7799999999999994</v>
      </c>
      <c r="F5" s="43">
        <v>20.6</v>
      </c>
      <c r="G5" s="43" t="s">
        <v>154</v>
      </c>
      <c r="H5" s="43"/>
      <c r="I5" s="28"/>
      <c r="J5" s="28"/>
      <c r="K5" s="28"/>
      <c r="L5" s="28"/>
      <c r="M5" s="43" t="s">
        <v>25</v>
      </c>
      <c r="N5" s="43">
        <v>62.6</v>
      </c>
      <c r="O5" s="43">
        <v>20.8</v>
      </c>
      <c r="P5" s="43" t="s">
        <v>154</v>
      </c>
      <c r="Q5" s="43"/>
      <c r="R5" s="28"/>
      <c r="S5" s="28"/>
      <c r="T5" s="28"/>
      <c r="U5" s="28"/>
      <c r="V5" s="28"/>
      <c r="W5" s="28"/>
      <c r="X5" s="28"/>
      <c r="Y5" s="28"/>
    </row>
    <row r="6" spans="1:25" ht="15.75">
      <c r="A6" s="2" t="s">
        <v>184</v>
      </c>
      <c r="D6" s="43" t="s">
        <v>24</v>
      </c>
      <c r="E6" s="43">
        <v>8.7899999999999991</v>
      </c>
      <c r="F6" s="43">
        <v>20.6</v>
      </c>
      <c r="G6" s="43"/>
      <c r="H6" s="43"/>
      <c r="I6" s="28"/>
      <c r="J6" s="28"/>
      <c r="K6" s="28"/>
      <c r="L6" s="28"/>
      <c r="M6" s="43" t="s">
        <v>24</v>
      </c>
      <c r="N6" s="43">
        <v>62.8</v>
      </c>
      <c r="O6" s="43">
        <v>20.8</v>
      </c>
      <c r="P6" s="28"/>
      <c r="Q6" s="28"/>
      <c r="R6" s="28"/>
      <c r="S6" s="28"/>
      <c r="T6" s="28"/>
      <c r="U6" s="28"/>
      <c r="V6" s="28"/>
      <c r="W6" s="28"/>
      <c r="X6" s="28"/>
      <c r="Y6" s="28"/>
    </row>
    <row r="7" spans="1:25" ht="15.75">
      <c r="A7" s="51" t="s">
        <v>144</v>
      </c>
      <c r="B7" s="37">
        <v>20</v>
      </c>
      <c r="C7" s="37" t="s">
        <v>145</v>
      </c>
      <c r="D7" s="43"/>
      <c r="E7" s="28"/>
      <c r="F7" s="28"/>
      <c r="G7" s="28"/>
      <c r="H7" s="28"/>
      <c r="I7" s="28"/>
      <c r="J7" s="28"/>
      <c r="K7" s="28"/>
      <c r="L7" s="28"/>
      <c r="M7" s="28"/>
      <c r="N7" s="43" t="s">
        <v>199</v>
      </c>
      <c r="O7" s="28"/>
      <c r="P7" s="28"/>
      <c r="Q7" s="28"/>
      <c r="R7" s="28"/>
      <c r="S7" s="28"/>
      <c r="T7" s="28"/>
      <c r="U7" s="28"/>
    </row>
    <row r="8" spans="1:25">
      <c r="B8" s="567" t="s">
        <v>28</v>
      </c>
      <c r="C8" s="61" t="s">
        <v>146</v>
      </c>
      <c r="E8" s="569" t="s">
        <v>142</v>
      </c>
    </row>
    <row r="9" spans="1:25" ht="39.6" customHeight="1">
      <c r="A9" s="37" t="s">
        <v>29</v>
      </c>
      <c r="B9" s="568"/>
      <c r="C9" s="38" t="s">
        <v>30</v>
      </c>
      <c r="D9" s="3" t="s">
        <v>31</v>
      </c>
      <c r="E9" s="570"/>
      <c r="F9" s="42" t="s">
        <v>143</v>
      </c>
      <c r="G9" s="4"/>
    </row>
    <row r="10" spans="1:25" s="8" customFormat="1" ht="15.75">
      <c r="A10" s="5" t="s">
        <v>33</v>
      </c>
      <c r="B10" s="36">
        <v>40</v>
      </c>
      <c r="C10" s="33">
        <f>((B10*1.04)-AVERAGE(H34:H36))*B7</f>
        <v>147.33333333333348</v>
      </c>
      <c r="D10" s="6">
        <f>C10/B7</f>
        <v>7.3666666666666742</v>
      </c>
      <c r="E10" s="7">
        <f>((C10/B7)+AVERAGE(H34:H36))/4-(((C10/B7)+AVERAGE(H34:H36))/4)*10/245</f>
        <v>9.9755102040816332</v>
      </c>
      <c r="F10" s="7">
        <f>E10*4.1</f>
        <v>40.899591836734693</v>
      </c>
      <c r="G10" s="2"/>
    </row>
    <row r="11" spans="1:25" s="8" customFormat="1" ht="15.75">
      <c r="A11" s="9" t="s">
        <v>4</v>
      </c>
      <c r="B11" s="9">
        <v>2</v>
      </c>
      <c r="C11" s="34">
        <f>(B11/100*4+B11)*B7</f>
        <v>41.6</v>
      </c>
      <c r="D11" s="10">
        <f>C11/B7</f>
        <v>2.08</v>
      </c>
      <c r="E11" s="41">
        <f>(((C11)/B7)*0.25)-(((C11)/B7)*0.25)*(10/245)</f>
        <v>0.49877551020408167</v>
      </c>
      <c r="F11" s="41">
        <f>E11*4.1</f>
        <v>2.0449795918367348</v>
      </c>
      <c r="G11" s="65"/>
      <c r="H11" s="65"/>
    </row>
    <row r="12" spans="1:25" s="8" customFormat="1" ht="15.75">
      <c r="A12" s="9" t="s">
        <v>5</v>
      </c>
      <c r="B12" s="9">
        <v>0.22</v>
      </c>
      <c r="C12" s="34">
        <f>(B12/100*4+B12)*B7</f>
        <v>4.5760000000000005</v>
      </c>
      <c r="D12" s="10">
        <f>C12/B7</f>
        <v>0.22880000000000003</v>
      </c>
      <c r="E12" s="41">
        <f>(((C12)/B7)*0.25)-(((C12)/B7)*0.25)*(10/245)</f>
        <v>5.4865306122448984E-2</v>
      </c>
      <c r="F12" s="41">
        <f>E12*4.1</f>
        <v>0.22494775510204082</v>
      </c>
      <c r="G12" s="2"/>
    </row>
    <row r="13" spans="1:25" s="8" customFormat="1" ht="15.75">
      <c r="A13" s="9" t="s">
        <v>6</v>
      </c>
      <c r="B13" s="9">
        <v>3</v>
      </c>
      <c r="C13" s="35">
        <v>0</v>
      </c>
      <c r="D13" s="10">
        <f>C13/B7</f>
        <v>0</v>
      </c>
      <c r="E13" s="41">
        <f>0.73</f>
        <v>0.73</v>
      </c>
      <c r="F13" s="41">
        <f>E13*4.1</f>
        <v>2.9929999999999999</v>
      </c>
      <c r="G13" s="2"/>
      <c r="I13" s="51"/>
      <c r="J13" s="51"/>
      <c r="K13" s="51"/>
      <c r="L13" s="51"/>
      <c r="M13" s="51"/>
    </row>
    <row r="14" spans="1:25" s="8" customFormat="1" ht="15.75">
      <c r="A14" s="9" t="s">
        <v>7</v>
      </c>
      <c r="B14" s="11" t="s">
        <v>8</v>
      </c>
      <c r="C14" s="34">
        <v>0</v>
      </c>
      <c r="D14" s="10"/>
      <c r="E14" s="41">
        <v>0</v>
      </c>
      <c r="F14" s="41"/>
      <c r="G14" s="2"/>
      <c r="I14" s="51"/>
      <c r="J14" s="51"/>
      <c r="K14" s="51" t="s">
        <v>156</v>
      </c>
      <c r="L14" s="51"/>
      <c r="M14" s="51"/>
    </row>
    <row r="15" spans="1:25" s="8" customFormat="1" ht="15.75">
      <c r="A15" s="12"/>
      <c r="B15" s="12"/>
      <c r="C15" s="31"/>
      <c r="D15" s="13"/>
      <c r="E15" s="14"/>
      <c r="F15" s="15"/>
      <c r="G15" s="2"/>
      <c r="I15" s="51" t="s">
        <v>155</v>
      </c>
      <c r="J15" s="51"/>
      <c r="K15" s="51">
        <v>381.37</v>
      </c>
      <c r="L15" s="51" t="s">
        <v>157</v>
      </c>
      <c r="M15" s="51"/>
    </row>
    <row r="16" spans="1:25" s="8" customFormat="1" ht="15.75">
      <c r="A16" s="2" t="s">
        <v>9</v>
      </c>
      <c r="B16" s="2"/>
      <c r="C16" s="16">
        <f>3/4</f>
        <v>0.75</v>
      </c>
      <c r="D16" s="16"/>
      <c r="E16" s="2" t="s">
        <v>10</v>
      </c>
      <c r="G16" s="2"/>
      <c r="I16" s="51" t="s">
        <v>158</v>
      </c>
      <c r="J16" s="62" t="s">
        <v>160</v>
      </c>
      <c r="K16" s="51">
        <f>1/(381.37/2)</f>
        <v>5.2442509898523743E-3</v>
      </c>
      <c r="L16" s="51" t="s">
        <v>159</v>
      </c>
      <c r="M16" s="51"/>
    </row>
    <row r="17" spans="1:22" s="8" customFormat="1" ht="15.75">
      <c r="A17" s="17" t="s">
        <v>11</v>
      </c>
      <c r="B17" s="17">
        <f>10*21*3</f>
        <v>630</v>
      </c>
      <c r="C17" s="17">
        <f>B17*(7.3/100)</f>
        <v>45.989999999999995</v>
      </c>
      <c r="D17" s="17" t="s">
        <v>12</v>
      </c>
      <c r="E17" s="2"/>
      <c r="I17" s="51"/>
      <c r="J17" s="51"/>
      <c r="K17" s="51"/>
      <c r="L17" s="51"/>
      <c r="M17" s="51"/>
    </row>
    <row r="18" spans="1:22" s="8" customFormat="1" ht="15.75">
      <c r="A18" s="17" t="s">
        <v>13</v>
      </c>
      <c r="B18" s="17">
        <f>0.25*3*21</f>
        <v>15.75</v>
      </c>
      <c r="C18" s="17" t="s">
        <v>32</v>
      </c>
      <c r="D18" s="17"/>
      <c r="E18" s="2"/>
      <c r="I18" s="51" t="s">
        <v>162</v>
      </c>
      <c r="J18" s="51"/>
      <c r="K18" s="51">
        <v>305.5</v>
      </c>
      <c r="L18" s="51" t="s">
        <v>157</v>
      </c>
      <c r="M18" s="51"/>
    </row>
    <row r="19" spans="1:22" s="8" customFormat="1" ht="15.75">
      <c r="I19" s="51">
        <f>K16</f>
        <v>5.2442509898523743E-3</v>
      </c>
      <c r="J19" s="51" t="s">
        <v>161</v>
      </c>
      <c r="K19" s="51">
        <f>K18*I19</f>
        <v>1.6021186773999003</v>
      </c>
      <c r="L19" s="51" t="s">
        <v>12</v>
      </c>
    </row>
    <row r="20" spans="1:22" s="8" customFormat="1" ht="18.75">
      <c r="H20" s="26"/>
    </row>
    <row r="21" spans="1:22" s="8" customFormat="1" ht="15.75">
      <c r="A21" s="32" t="s">
        <v>194</v>
      </c>
      <c r="B21" s="18"/>
      <c r="C21" s="19"/>
      <c r="H21"/>
    </row>
    <row r="22" spans="1:22" s="8" customFormat="1" ht="15.75">
      <c r="A22" s="9" t="s">
        <v>193</v>
      </c>
      <c r="B22" s="51" t="s">
        <v>148</v>
      </c>
      <c r="C22" s="20"/>
      <c r="H22"/>
    </row>
    <row r="23" spans="1:22" s="8" customFormat="1" ht="15.75">
      <c r="A23" s="60"/>
      <c r="B23" s="40" t="s">
        <v>147</v>
      </c>
      <c r="C23" s="21" t="s">
        <v>14</v>
      </c>
      <c r="H23"/>
    </row>
    <row r="24" spans="1:22" s="8" customFormat="1" ht="22.5" customHeight="1">
      <c r="A24" s="22" t="s">
        <v>3</v>
      </c>
      <c r="B24" s="95">
        <f>18.05+151.11</f>
        <v>169.16000000000003</v>
      </c>
      <c r="C24" s="92" t="s">
        <v>34</v>
      </c>
      <c r="D24" s="64"/>
      <c r="E24" s="23"/>
    </row>
    <row r="25" spans="1:22" s="8" customFormat="1" ht="22.5" customHeight="1">
      <c r="A25" s="91" t="s">
        <v>4</v>
      </c>
      <c r="B25" s="91">
        <v>47.78</v>
      </c>
      <c r="C25" s="93" t="s">
        <v>195</v>
      </c>
      <c r="D25" s="66"/>
      <c r="E25" s="67"/>
      <c r="F25" s="24"/>
    </row>
    <row r="26" spans="1:22" s="8" customFormat="1" ht="28.5" customHeight="1">
      <c r="A26" s="25" t="s">
        <v>5</v>
      </c>
      <c r="B26" s="25">
        <v>5.21</v>
      </c>
      <c r="C26" s="94" t="s">
        <v>15</v>
      </c>
      <c r="D26" s="63"/>
      <c r="E26" s="24"/>
      <c r="F26" s="24"/>
      <c r="G26" s="24"/>
    </row>
    <row r="27" spans="1:22" s="8" customFormat="1" ht="15.75">
      <c r="C27" s="24"/>
      <c r="D27" s="24"/>
      <c r="E27" s="24"/>
      <c r="F27" s="24"/>
      <c r="G27" s="24"/>
    </row>
    <row r="28" spans="1:22" s="8" customFormat="1" ht="18.75">
      <c r="A28" s="50" t="s">
        <v>192</v>
      </c>
      <c r="B28" s="27"/>
      <c r="C28" s="27"/>
      <c r="D28" s="24"/>
      <c r="E28" s="24"/>
      <c r="F28" s="24"/>
      <c r="G28" s="24"/>
    </row>
    <row r="29" spans="1:22" s="8" customFormat="1" ht="18.75">
      <c r="A29" s="50" t="s">
        <v>173</v>
      </c>
      <c r="B29" s="27"/>
      <c r="C29" s="27"/>
      <c r="D29" s="27"/>
      <c r="E29" s="96"/>
      <c r="F29" s="26"/>
      <c r="G29" s="24"/>
    </row>
    <row r="30" spans="1:22" s="27" customFormat="1" ht="18.75">
      <c r="A30" s="83" t="s">
        <v>141</v>
      </c>
      <c r="B30" s="28"/>
      <c r="C30" s="28"/>
      <c r="E30" s="96"/>
      <c r="F30" s="26"/>
      <c r="G30" s="50" t="s">
        <v>27</v>
      </c>
      <c r="H30" s="50"/>
      <c r="I30" s="50"/>
      <c r="Q30" s="50" t="s">
        <v>149</v>
      </c>
      <c r="R30" s="50" t="s">
        <v>150</v>
      </c>
      <c r="S30" s="50"/>
      <c r="T30" s="50"/>
    </row>
    <row r="31" spans="1:22" s="27" customFormat="1" ht="18.75">
      <c r="A31" s="28" t="s">
        <v>17</v>
      </c>
      <c r="B31" s="28" t="s">
        <v>18</v>
      </c>
      <c r="C31" s="28" t="s">
        <v>19</v>
      </c>
      <c r="D31" s="28" t="s">
        <v>20</v>
      </c>
      <c r="E31" s="28" t="s">
        <v>21</v>
      </c>
      <c r="F31" s="28" t="s">
        <v>22</v>
      </c>
      <c r="G31" s="88" t="s">
        <v>1</v>
      </c>
      <c r="H31" s="90"/>
      <c r="I31" s="90"/>
      <c r="J31" s="30"/>
      <c r="K31" s="30"/>
      <c r="L31" s="30"/>
      <c r="M31" s="30"/>
      <c r="O31" s="50" t="s">
        <v>187</v>
      </c>
      <c r="Q31" s="87" t="s">
        <v>151</v>
      </c>
      <c r="R31" s="87">
        <v>49.6</v>
      </c>
      <c r="S31" s="87">
        <v>22.5</v>
      </c>
      <c r="U31" s="43">
        <v>26.4</v>
      </c>
      <c r="V31" s="43" t="s">
        <v>190</v>
      </c>
    </row>
    <row r="32" spans="1:22" ht="15.75">
      <c r="A32" s="28" t="s">
        <v>23</v>
      </c>
      <c r="B32" s="28">
        <v>8.86</v>
      </c>
      <c r="C32" s="28">
        <v>0.79</v>
      </c>
      <c r="D32" s="28">
        <v>2.1</v>
      </c>
      <c r="E32" s="28">
        <v>0.15</v>
      </c>
      <c r="F32" s="28">
        <v>0.14199999999999999</v>
      </c>
      <c r="G32" s="88" t="s">
        <v>102</v>
      </c>
      <c r="H32" s="88"/>
      <c r="I32" s="88"/>
      <c r="J32" s="49"/>
      <c r="K32" s="49"/>
      <c r="L32" s="49"/>
      <c r="M32" s="49"/>
      <c r="N32" s="28"/>
      <c r="O32" s="43" t="s">
        <v>188</v>
      </c>
      <c r="P32" s="28"/>
      <c r="Q32" s="43" t="s">
        <v>152</v>
      </c>
      <c r="R32" s="43">
        <v>34.74</v>
      </c>
      <c r="S32" s="43">
        <v>22.3</v>
      </c>
      <c r="T32" s="28"/>
      <c r="U32" s="2">
        <v>26.3</v>
      </c>
      <c r="V32" s="2"/>
    </row>
    <row r="33" spans="1:22" ht="15.75">
      <c r="A33" s="28"/>
      <c r="B33" s="28"/>
      <c r="C33" s="28"/>
      <c r="G33" s="88" t="s">
        <v>191</v>
      </c>
      <c r="H33" s="88"/>
      <c r="I33" s="88"/>
      <c r="J33" s="49"/>
      <c r="K33" s="49"/>
      <c r="L33" s="49"/>
      <c r="M33" s="49"/>
      <c r="N33" s="28"/>
      <c r="O33" s="28"/>
      <c r="P33" s="28"/>
      <c r="Q33" s="43" t="s">
        <v>153</v>
      </c>
      <c r="R33" s="43">
        <v>1430</v>
      </c>
      <c r="S33" s="43">
        <v>22.2</v>
      </c>
      <c r="T33" s="28"/>
      <c r="U33" s="2">
        <v>26.5</v>
      </c>
      <c r="V33" s="2"/>
    </row>
    <row r="34" spans="1:22">
      <c r="D34" s="28"/>
      <c r="E34" s="28"/>
      <c r="F34" s="28"/>
      <c r="G34" s="43" t="s">
        <v>26</v>
      </c>
      <c r="H34" s="43">
        <v>34.24</v>
      </c>
      <c r="I34" s="43">
        <v>13.8</v>
      </c>
      <c r="J34" s="89">
        <v>45016</v>
      </c>
      <c r="K34" s="43" t="s">
        <v>186</v>
      </c>
      <c r="L34" s="28"/>
      <c r="M34" s="28"/>
      <c r="N34" s="28"/>
      <c r="O34" s="28"/>
      <c r="P34" s="28"/>
      <c r="Q34" s="28"/>
      <c r="R34" s="28"/>
      <c r="S34" s="28"/>
      <c r="T34" s="28"/>
    </row>
    <row r="35" spans="1:22">
      <c r="F35" s="28"/>
      <c r="G35" s="43" t="s">
        <v>25</v>
      </c>
      <c r="H35" s="43">
        <v>34.08</v>
      </c>
      <c r="I35" s="43">
        <v>13.4</v>
      </c>
      <c r="J35" s="43" t="s">
        <v>154</v>
      </c>
      <c r="K35" s="28"/>
      <c r="L35" s="28"/>
      <c r="M35" s="28"/>
      <c r="N35" s="28"/>
      <c r="O35" s="28"/>
      <c r="P35" s="28"/>
      <c r="Q35" s="28"/>
      <c r="R35" s="28"/>
      <c r="S35" s="28"/>
      <c r="T35" s="28"/>
    </row>
    <row r="36" spans="1:22">
      <c r="F36" s="28"/>
      <c r="G36" s="43" t="s">
        <v>24</v>
      </c>
      <c r="H36" s="43">
        <v>34.380000000000003</v>
      </c>
      <c r="I36" s="43">
        <v>13.8</v>
      </c>
      <c r="J36" s="28"/>
      <c r="K36" s="28"/>
      <c r="L36" s="28"/>
      <c r="M36" s="28"/>
      <c r="N36" s="28"/>
      <c r="O36" s="28"/>
      <c r="P36" s="28"/>
      <c r="Q36" s="28"/>
      <c r="R36" s="28"/>
      <c r="S36" s="28"/>
      <c r="T36" s="28"/>
    </row>
    <row r="37" spans="1:22">
      <c r="F37" s="28"/>
      <c r="G37" s="28"/>
      <c r="H37" s="28"/>
      <c r="I37" s="28"/>
      <c r="J37" s="28"/>
      <c r="K37" s="28"/>
      <c r="L37" s="28"/>
      <c r="M37" s="28"/>
      <c r="N37" s="28"/>
      <c r="O37" s="28"/>
      <c r="P37" s="28"/>
      <c r="Q37" s="28"/>
      <c r="R37" s="28"/>
      <c r="S37" s="28"/>
      <c r="T37" s="28"/>
    </row>
    <row r="38" spans="1:22">
      <c r="F38" s="28"/>
      <c r="G38" s="88" t="s">
        <v>189</v>
      </c>
      <c r="H38" s="49"/>
      <c r="I38" s="49"/>
      <c r="J38" s="49"/>
      <c r="K38" s="49"/>
      <c r="L38" s="49"/>
      <c r="M38" s="49"/>
      <c r="N38" s="49"/>
      <c r="O38" s="28"/>
      <c r="P38" s="28"/>
      <c r="Q38" s="28"/>
      <c r="R38" s="28"/>
      <c r="S38" s="28"/>
      <c r="T38" s="28"/>
    </row>
    <row r="39" spans="1:22" ht="18.75">
      <c r="F39" s="28"/>
      <c r="G39" s="88" t="s">
        <v>191</v>
      </c>
      <c r="H39" s="49"/>
      <c r="I39" s="49"/>
      <c r="J39" s="49"/>
      <c r="K39" s="49"/>
      <c r="L39" s="49"/>
      <c r="M39" s="49"/>
      <c r="N39" s="49"/>
      <c r="O39" s="50" t="s">
        <v>187</v>
      </c>
      <c r="P39" s="28"/>
      <c r="Q39" s="61" t="s">
        <v>149</v>
      </c>
      <c r="R39" s="61" t="s">
        <v>150</v>
      </c>
      <c r="S39" s="43"/>
      <c r="T39" s="28"/>
    </row>
    <row r="40" spans="1:22">
      <c r="F40" s="28"/>
      <c r="G40" s="43" t="s">
        <v>26</v>
      </c>
      <c r="H40" s="43">
        <v>8</v>
      </c>
      <c r="I40" s="43">
        <v>15.2</v>
      </c>
      <c r="J40" s="89">
        <v>45016</v>
      </c>
      <c r="K40" s="43" t="s">
        <v>186</v>
      </c>
      <c r="L40" s="28"/>
      <c r="M40" s="28"/>
      <c r="N40" s="28"/>
      <c r="O40" s="28"/>
      <c r="P40" s="28"/>
      <c r="Q40" s="43">
        <v>9.18</v>
      </c>
      <c r="R40" s="43">
        <v>8.99</v>
      </c>
      <c r="S40" s="43">
        <v>21.4</v>
      </c>
      <c r="T40" s="28"/>
    </row>
    <row r="41" spans="1:22">
      <c r="F41" s="28"/>
      <c r="G41" s="43" t="s">
        <v>25</v>
      </c>
      <c r="H41" s="43">
        <v>8.0299999999999994</v>
      </c>
      <c r="I41" s="43">
        <v>14.7</v>
      </c>
      <c r="J41" s="43" t="s">
        <v>154</v>
      </c>
      <c r="K41" s="28"/>
      <c r="L41" s="28"/>
      <c r="M41" s="28"/>
      <c r="N41" s="28"/>
      <c r="O41" s="28"/>
      <c r="P41" s="28"/>
      <c r="Q41" s="28"/>
      <c r="R41" s="28"/>
      <c r="S41" s="28"/>
      <c r="T41" s="28"/>
    </row>
    <row r="42" spans="1:22">
      <c r="G42" s="43" t="s">
        <v>24</v>
      </c>
      <c r="H42" s="43">
        <v>8.06</v>
      </c>
      <c r="I42" s="43">
        <v>15.4</v>
      </c>
      <c r="J42" s="28"/>
      <c r="K42" s="28"/>
      <c r="L42" s="28"/>
      <c r="M42" s="28"/>
      <c r="N42" s="28"/>
      <c r="O42" s="28"/>
      <c r="P42" s="28"/>
      <c r="Q42" s="28"/>
      <c r="R42" s="28"/>
      <c r="S42" s="28"/>
      <c r="T42" s="28"/>
    </row>
    <row r="43" spans="1:22">
      <c r="G43" s="28"/>
      <c r="H43" s="28"/>
      <c r="I43" s="28"/>
      <c r="J43" s="28"/>
      <c r="K43" s="28"/>
      <c r="L43" s="28"/>
      <c r="M43" s="28"/>
      <c r="N43" s="28"/>
      <c r="O43" s="28"/>
      <c r="P43" s="28"/>
      <c r="Q43" s="28"/>
      <c r="R43" s="28"/>
      <c r="S43" s="28"/>
      <c r="T43" s="28"/>
    </row>
  </sheetData>
  <mergeCells count="2">
    <mergeCell ref="B8:B9"/>
    <mergeCell ref="E8:E9"/>
  </mergeCells>
  <pageMargins left="0.70866141732282995" right="0.70866141732282995" top="0.74803149606299002" bottom="0.74803149606299002" header="0.31496062992126" footer="0.31496062992126"/>
  <pageSetup paperSize="9" scale="28" orientation="landscape" r:id="rId1"/>
  <headerFooter>
    <oddHeader>&amp;C&amp;"Aptos"&amp;12&amp;KFF0000 UNOFFICIAL&amp;1#_x000D_</oddHeader>
    <oddFooter>&amp;C_x000D_&amp;1#&amp;"Aptos"&amp;12&amp;KFF0000 UNOFFICIAL</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D2EE-CC42-43C3-B36F-8B1D388C0065}">
  <sheetPr>
    <pageSetUpPr fitToPage="1"/>
  </sheetPr>
  <dimension ref="A1:AN815"/>
  <sheetViews>
    <sheetView topLeftCell="A86" zoomScale="110" zoomScaleNormal="110" workbookViewId="0">
      <selection activeCell="H103" sqref="H103:H124"/>
    </sheetView>
  </sheetViews>
  <sheetFormatPr defaultColWidth="8.7109375" defaultRowHeight="15"/>
  <cols>
    <col min="1" max="1" width="17.140625" style="43" customWidth="1"/>
    <col min="2" max="2" width="23.140625" style="43" customWidth="1"/>
    <col min="3" max="3" width="8.7109375" style="43"/>
    <col min="4" max="4" width="25.42578125" style="43" customWidth="1"/>
    <col min="5" max="5" width="8.7109375" style="43"/>
    <col min="6" max="6" width="11.42578125" style="43" bestFit="1" customWidth="1"/>
    <col min="7" max="7" width="8.7109375" style="43"/>
    <col min="8" max="8" width="19.42578125" style="43" bestFit="1" customWidth="1"/>
    <col min="9" max="21" width="8.7109375" style="43"/>
    <col min="22" max="22" width="10.85546875" style="43" bestFit="1" customWidth="1"/>
    <col min="23" max="16384" width="8.7109375" style="43"/>
  </cols>
  <sheetData>
    <row r="1" spans="1:13">
      <c r="A1" s="43" t="s">
        <v>83</v>
      </c>
      <c r="B1" s="43" t="s">
        <v>84</v>
      </c>
    </row>
    <row r="2" spans="1:13" ht="15.75">
      <c r="A2" s="2">
        <v>1000</v>
      </c>
      <c r="B2" s="2" t="s">
        <v>174</v>
      </c>
      <c r="C2" s="2"/>
      <c r="D2" s="2"/>
      <c r="E2" s="2"/>
      <c r="F2" s="2"/>
      <c r="G2" s="2"/>
      <c r="H2" s="43" t="s">
        <v>200</v>
      </c>
      <c r="I2" s="2"/>
      <c r="J2" s="8" t="s">
        <v>164</v>
      </c>
      <c r="K2" s="2"/>
      <c r="L2" s="2"/>
      <c r="M2" s="2"/>
    </row>
    <row r="3" spans="1:13" ht="15.75">
      <c r="A3" s="2">
        <v>2000</v>
      </c>
      <c r="B3" s="2" t="s">
        <v>175</v>
      </c>
      <c r="C3" s="2"/>
      <c r="D3" s="2"/>
      <c r="E3" s="2"/>
      <c r="F3" s="2"/>
      <c r="G3" s="2"/>
      <c r="H3" s="43" t="s">
        <v>200</v>
      </c>
      <c r="I3" s="2"/>
      <c r="J3" s="8" t="s">
        <v>165</v>
      </c>
      <c r="K3" s="2"/>
      <c r="L3" s="2"/>
      <c r="M3" s="51"/>
    </row>
    <row r="4" spans="1:13" ht="15.75">
      <c r="A4" s="2">
        <v>3800</v>
      </c>
      <c r="B4" s="2" t="s">
        <v>176</v>
      </c>
      <c r="C4" s="2"/>
      <c r="D4" s="2"/>
      <c r="E4" s="2"/>
      <c r="F4" s="2"/>
      <c r="G4" s="2"/>
      <c r="H4" s="2" t="s">
        <v>85</v>
      </c>
      <c r="I4" s="2"/>
      <c r="J4" s="8" t="s">
        <v>166</v>
      </c>
      <c r="K4" s="2"/>
      <c r="L4" s="2"/>
      <c r="M4" s="2"/>
    </row>
    <row r="5" spans="1:13">
      <c r="J5" s="84" t="s">
        <v>167</v>
      </c>
    </row>
    <row r="6" spans="1:13">
      <c r="J6" s="84" t="s">
        <v>168</v>
      </c>
    </row>
    <row r="8" spans="1:13" ht="15.75">
      <c r="A8" s="2" t="s">
        <v>86</v>
      </c>
      <c r="B8" s="8" t="s">
        <v>163</v>
      </c>
      <c r="C8" s="2"/>
      <c r="D8" s="2"/>
      <c r="E8" s="2"/>
      <c r="F8" s="2"/>
      <c r="G8" s="2"/>
      <c r="H8" s="2"/>
      <c r="I8" s="2"/>
      <c r="J8" s="2"/>
      <c r="K8" s="2"/>
      <c r="L8" s="2"/>
      <c r="M8" s="2"/>
    </row>
    <row r="9" spans="1:13" ht="15.75">
      <c r="A9" s="2"/>
      <c r="B9" s="2"/>
      <c r="C9" s="2"/>
      <c r="D9" s="2"/>
      <c r="E9" s="2"/>
      <c r="F9" s="2"/>
      <c r="G9" s="2"/>
      <c r="H9" s="2"/>
      <c r="I9" s="2"/>
      <c r="J9" s="2"/>
      <c r="K9" s="2"/>
      <c r="L9" s="2"/>
      <c r="M9" s="2"/>
    </row>
    <row r="10" spans="1:13" ht="15.75">
      <c r="A10" s="2"/>
      <c r="B10" s="2"/>
      <c r="C10" s="2"/>
      <c r="D10" s="2"/>
      <c r="E10" s="2"/>
      <c r="F10" s="2"/>
      <c r="G10" s="2"/>
      <c r="H10" s="2"/>
      <c r="I10" s="2"/>
      <c r="J10" s="2"/>
      <c r="K10" s="2"/>
      <c r="L10" s="2"/>
      <c r="M10" s="2"/>
    </row>
    <row r="11" spans="1:13" ht="15.75">
      <c r="A11" s="2"/>
      <c r="B11" s="2"/>
      <c r="C11" s="2"/>
      <c r="D11" s="2"/>
      <c r="E11" s="2"/>
      <c r="F11" s="2"/>
      <c r="G11" s="2"/>
      <c r="H11" s="2"/>
      <c r="I11" s="2"/>
      <c r="J11" s="2"/>
      <c r="K11" s="2"/>
      <c r="L11" s="2"/>
      <c r="M11" s="2"/>
    </row>
    <row r="12" spans="1:13" ht="15.75">
      <c r="A12" s="52" t="s">
        <v>87</v>
      </c>
      <c r="B12" s="52" t="s">
        <v>88</v>
      </c>
      <c r="C12" s="52" t="s">
        <v>89</v>
      </c>
      <c r="D12" s="52"/>
      <c r="E12" s="2"/>
      <c r="F12" s="2"/>
      <c r="G12" s="2"/>
      <c r="H12" s="2"/>
      <c r="I12" s="2"/>
      <c r="J12" s="2"/>
      <c r="K12" s="2"/>
      <c r="L12" s="2"/>
      <c r="M12" s="2"/>
    </row>
    <row r="13" spans="1:13" ht="15.75">
      <c r="A13" s="52" t="s">
        <v>177</v>
      </c>
      <c r="B13" s="52" t="s">
        <v>178</v>
      </c>
      <c r="C13" s="52"/>
      <c r="D13" s="52"/>
      <c r="E13" s="2"/>
      <c r="F13" s="2"/>
      <c r="G13" s="2"/>
      <c r="H13" s="2"/>
      <c r="I13" s="2"/>
      <c r="J13" s="2"/>
      <c r="K13" s="2"/>
      <c r="L13" s="2"/>
      <c r="M13" s="2"/>
    </row>
    <row r="14" spans="1:13" ht="15.75">
      <c r="A14" s="52"/>
      <c r="B14" s="68"/>
      <c r="C14" s="68"/>
      <c r="D14" s="68"/>
      <c r="E14" s="2"/>
      <c r="F14" s="2"/>
      <c r="G14" s="2"/>
      <c r="H14" s="2"/>
      <c r="I14" s="2"/>
      <c r="J14" s="2"/>
      <c r="K14" s="2"/>
      <c r="L14" s="2"/>
      <c r="M14" s="2"/>
    </row>
    <row r="15" spans="1:13" ht="15.75">
      <c r="A15" s="69" t="s">
        <v>90</v>
      </c>
      <c r="B15" s="70" t="s">
        <v>91</v>
      </c>
      <c r="C15" s="71"/>
      <c r="D15" s="71"/>
      <c r="E15" s="2"/>
      <c r="F15" s="1" t="s">
        <v>87</v>
      </c>
      <c r="G15" s="1" t="s">
        <v>92</v>
      </c>
      <c r="H15" s="52"/>
      <c r="I15" s="52"/>
      <c r="J15" s="2"/>
      <c r="K15" s="2"/>
      <c r="L15" s="1"/>
      <c r="M15" s="72"/>
    </row>
    <row r="16" spans="1:13" ht="15.75">
      <c r="A16" s="73" t="s">
        <v>93</v>
      </c>
      <c r="B16" s="74">
        <v>45063</v>
      </c>
      <c r="C16" s="69">
        <v>5</v>
      </c>
      <c r="D16" s="69" t="s">
        <v>101</v>
      </c>
      <c r="E16" s="2"/>
      <c r="F16" s="1">
        <v>1</v>
      </c>
      <c r="G16" s="75">
        <f>B17</f>
        <v>45068</v>
      </c>
      <c r="H16" s="52">
        <f>C17</f>
        <v>15</v>
      </c>
      <c r="I16" s="52" t="s">
        <v>94</v>
      </c>
      <c r="J16" s="2"/>
      <c r="K16" s="2"/>
      <c r="L16" s="52"/>
      <c r="M16" s="76"/>
    </row>
    <row r="17" spans="1:13" ht="15.75">
      <c r="A17" s="73">
        <v>1</v>
      </c>
      <c r="B17" s="77">
        <f>B16+C16</f>
        <v>45068</v>
      </c>
      <c r="C17" s="73">
        <v>15</v>
      </c>
      <c r="D17" s="73" t="s">
        <v>94</v>
      </c>
      <c r="E17" s="2"/>
      <c r="F17" s="1">
        <v>2</v>
      </c>
      <c r="G17" s="75">
        <f t="shared" ref="G17:H36" si="0">B18</f>
        <v>45083</v>
      </c>
      <c r="H17" s="52">
        <f t="shared" si="0"/>
        <v>15</v>
      </c>
      <c r="I17" s="75"/>
      <c r="J17" s="2"/>
      <c r="K17" s="2"/>
      <c r="L17" s="52"/>
      <c r="M17" s="78"/>
    </row>
    <row r="18" spans="1:13" ht="15.75">
      <c r="A18" s="73">
        <v>2</v>
      </c>
      <c r="B18" s="77">
        <f>B17+C17</f>
        <v>45083</v>
      </c>
      <c r="C18" s="73">
        <f>C17</f>
        <v>15</v>
      </c>
      <c r="D18" s="73"/>
      <c r="E18" s="2"/>
      <c r="F18" s="1">
        <v>3</v>
      </c>
      <c r="G18" s="75">
        <f t="shared" si="0"/>
        <v>45098</v>
      </c>
      <c r="H18" s="52">
        <f t="shared" si="0"/>
        <v>15</v>
      </c>
      <c r="I18" s="75"/>
      <c r="J18" s="2"/>
      <c r="K18" s="2"/>
      <c r="L18" s="52"/>
      <c r="M18" s="78"/>
    </row>
    <row r="19" spans="1:13" ht="15.75">
      <c r="A19" s="73">
        <v>3</v>
      </c>
      <c r="B19" s="77">
        <f t="shared" ref="B19:B36" si="1">B18+C18</f>
        <v>45098</v>
      </c>
      <c r="C19" s="73">
        <f t="shared" ref="C19:C37" si="2">C18</f>
        <v>15</v>
      </c>
      <c r="D19" s="73"/>
      <c r="E19" s="2"/>
      <c r="F19" s="1">
        <v>4</v>
      </c>
      <c r="G19" s="75">
        <f t="shared" si="0"/>
        <v>45113</v>
      </c>
      <c r="H19" s="52">
        <f t="shared" si="0"/>
        <v>15</v>
      </c>
      <c r="I19" s="75"/>
      <c r="J19" s="2"/>
      <c r="K19" s="2"/>
      <c r="L19" s="52"/>
      <c r="M19" s="78"/>
    </row>
    <row r="20" spans="1:13" ht="15.75">
      <c r="A20" s="73">
        <v>4</v>
      </c>
      <c r="B20" s="77">
        <f t="shared" si="1"/>
        <v>45113</v>
      </c>
      <c r="C20" s="73">
        <f t="shared" si="2"/>
        <v>15</v>
      </c>
      <c r="D20" s="73"/>
      <c r="E20" s="2"/>
      <c r="F20" s="1">
        <v>5</v>
      </c>
      <c r="G20" s="75">
        <f t="shared" si="0"/>
        <v>45128</v>
      </c>
      <c r="H20" s="52">
        <f t="shared" si="0"/>
        <v>15</v>
      </c>
      <c r="I20" s="75"/>
      <c r="J20" s="2"/>
      <c r="K20" s="2"/>
      <c r="L20" s="52"/>
      <c r="M20" s="78"/>
    </row>
    <row r="21" spans="1:13" ht="15.75">
      <c r="A21" s="73">
        <v>5</v>
      </c>
      <c r="B21" s="77">
        <f t="shared" si="1"/>
        <v>45128</v>
      </c>
      <c r="C21" s="73">
        <f t="shared" si="2"/>
        <v>15</v>
      </c>
      <c r="D21" s="73"/>
      <c r="E21" s="2"/>
      <c r="F21" s="1">
        <v>6</v>
      </c>
      <c r="G21" s="75">
        <f t="shared" si="0"/>
        <v>45143</v>
      </c>
      <c r="H21" s="52">
        <f t="shared" si="0"/>
        <v>15</v>
      </c>
      <c r="I21" s="75"/>
      <c r="J21" s="2"/>
      <c r="K21" s="2"/>
      <c r="L21" s="52"/>
      <c r="M21" s="78"/>
    </row>
    <row r="22" spans="1:13" ht="15.75">
      <c r="A22" s="73">
        <v>6</v>
      </c>
      <c r="B22" s="77">
        <f t="shared" si="1"/>
        <v>45143</v>
      </c>
      <c r="C22" s="73">
        <f t="shared" si="2"/>
        <v>15</v>
      </c>
      <c r="D22" s="73"/>
      <c r="E22" s="2"/>
      <c r="F22" s="1">
        <v>7</v>
      </c>
      <c r="G22" s="75">
        <f t="shared" si="0"/>
        <v>45158</v>
      </c>
      <c r="H22" s="52">
        <f t="shared" si="0"/>
        <v>15</v>
      </c>
      <c r="I22" s="75"/>
      <c r="J22" s="2"/>
      <c r="K22" s="2"/>
      <c r="L22" s="52"/>
      <c r="M22" s="78"/>
    </row>
    <row r="23" spans="1:13" ht="15.75">
      <c r="A23" s="73">
        <v>7</v>
      </c>
      <c r="B23" s="77">
        <f t="shared" si="1"/>
        <v>45158</v>
      </c>
      <c r="C23" s="73">
        <f t="shared" si="2"/>
        <v>15</v>
      </c>
      <c r="D23" s="73"/>
      <c r="E23" s="2"/>
      <c r="F23" s="1">
        <v>8</v>
      </c>
      <c r="G23" s="75">
        <f t="shared" si="0"/>
        <v>45173</v>
      </c>
      <c r="H23" s="52">
        <f t="shared" si="0"/>
        <v>15</v>
      </c>
      <c r="I23" s="75"/>
      <c r="J23" s="2"/>
      <c r="K23" s="2"/>
      <c r="L23" s="52"/>
      <c r="M23" s="78"/>
    </row>
    <row r="24" spans="1:13" ht="15.75">
      <c r="A24" s="73">
        <v>8</v>
      </c>
      <c r="B24" s="77">
        <f>B23+C23</f>
        <v>45173</v>
      </c>
      <c r="C24" s="73">
        <f t="shared" si="2"/>
        <v>15</v>
      </c>
      <c r="D24" s="73"/>
      <c r="E24" s="2"/>
      <c r="F24" s="1">
        <v>9</v>
      </c>
      <c r="G24" s="75">
        <f t="shared" si="0"/>
        <v>45188</v>
      </c>
      <c r="H24" s="52">
        <f t="shared" si="0"/>
        <v>15</v>
      </c>
      <c r="I24" s="75"/>
      <c r="J24" s="2"/>
      <c r="K24" s="2"/>
      <c r="L24" s="52"/>
      <c r="M24" s="78"/>
    </row>
    <row r="25" spans="1:13" ht="15.75">
      <c r="A25" s="73">
        <v>9</v>
      </c>
      <c r="B25" s="77">
        <f t="shared" si="1"/>
        <v>45188</v>
      </c>
      <c r="C25" s="73">
        <f t="shared" si="2"/>
        <v>15</v>
      </c>
      <c r="D25" s="73"/>
      <c r="E25" s="2"/>
      <c r="F25" s="1">
        <v>10</v>
      </c>
      <c r="G25" s="75">
        <f t="shared" si="0"/>
        <v>45203</v>
      </c>
      <c r="H25" s="52">
        <f t="shared" si="0"/>
        <v>15</v>
      </c>
      <c r="I25" s="75"/>
      <c r="J25" s="2"/>
      <c r="K25" s="2"/>
      <c r="L25" s="52"/>
      <c r="M25" s="78"/>
    </row>
    <row r="26" spans="1:13" ht="15.75">
      <c r="A26" s="73">
        <v>10</v>
      </c>
      <c r="B26" s="77">
        <f t="shared" si="1"/>
        <v>45203</v>
      </c>
      <c r="C26" s="73">
        <f t="shared" si="2"/>
        <v>15</v>
      </c>
      <c r="D26" s="73"/>
      <c r="E26" s="2"/>
      <c r="F26" s="1">
        <v>11</v>
      </c>
      <c r="G26" s="75">
        <f t="shared" si="0"/>
        <v>45218</v>
      </c>
      <c r="H26" s="52">
        <f t="shared" si="0"/>
        <v>15</v>
      </c>
      <c r="I26" s="75"/>
      <c r="J26" s="2"/>
      <c r="K26" s="2"/>
      <c r="L26" s="52"/>
      <c r="M26" s="78"/>
    </row>
    <row r="27" spans="1:13" ht="15.75">
      <c r="A27" s="73">
        <v>11</v>
      </c>
      <c r="B27" s="77">
        <f t="shared" si="1"/>
        <v>45218</v>
      </c>
      <c r="C27" s="73">
        <f t="shared" si="2"/>
        <v>15</v>
      </c>
      <c r="D27" s="73"/>
      <c r="E27" s="2"/>
      <c r="F27" s="1">
        <v>12</v>
      </c>
      <c r="G27" s="75">
        <f t="shared" si="0"/>
        <v>45233</v>
      </c>
      <c r="H27" s="52">
        <f t="shared" si="0"/>
        <v>15</v>
      </c>
      <c r="I27" s="75"/>
      <c r="J27" s="2"/>
      <c r="K27" s="2"/>
      <c r="L27" s="52"/>
      <c r="M27" s="78"/>
    </row>
    <row r="28" spans="1:13" ht="15.75">
      <c r="A28" s="73">
        <v>12</v>
      </c>
      <c r="B28" s="77">
        <f t="shared" si="1"/>
        <v>45233</v>
      </c>
      <c r="C28" s="73">
        <f t="shared" si="2"/>
        <v>15</v>
      </c>
      <c r="D28" s="73"/>
      <c r="E28" s="2"/>
      <c r="F28" s="1">
        <v>13</v>
      </c>
      <c r="G28" s="75">
        <f t="shared" si="0"/>
        <v>45248</v>
      </c>
      <c r="H28" s="52">
        <f t="shared" si="0"/>
        <v>15</v>
      </c>
      <c r="I28" s="75"/>
      <c r="J28" s="2"/>
      <c r="K28" s="2"/>
      <c r="L28" s="52"/>
      <c r="M28" s="78"/>
    </row>
    <row r="29" spans="1:13" ht="15.75">
      <c r="A29" s="73">
        <v>13</v>
      </c>
      <c r="B29" s="77">
        <f t="shared" si="1"/>
        <v>45248</v>
      </c>
      <c r="C29" s="73">
        <f t="shared" si="2"/>
        <v>15</v>
      </c>
      <c r="D29" s="73"/>
      <c r="E29" s="2"/>
      <c r="F29" s="1">
        <v>14</v>
      </c>
      <c r="G29" s="75">
        <f t="shared" si="0"/>
        <v>45263</v>
      </c>
      <c r="H29" s="52">
        <f t="shared" si="0"/>
        <v>15</v>
      </c>
      <c r="I29" s="75"/>
      <c r="J29" s="2"/>
      <c r="K29" s="2"/>
      <c r="L29" s="52"/>
      <c r="M29" s="78"/>
    </row>
    <row r="30" spans="1:13" ht="15.75">
      <c r="A30" s="73">
        <v>14</v>
      </c>
      <c r="B30" s="77">
        <f t="shared" si="1"/>
        <v>45263</v>
      </c>
      <c r="C30" s="73">
        <f t="shared" si="2"/>
        <v>15</v>
      </c>
      <c r="D30" s="73"/>
      <c r="E30" s="2"/>
      <c r="F30" s="1">
        <v>15</v>
      </c>
      <c r="G30" s="75">
        <f t="shared" si="0"/>
        <v>45278</v>
      </c>
      <c r="H30" s="52">
        <f t="shared" si="0"/>
        <v>15</v>
      </c>
      <c r="I30" s="75"/>
      <c r="J30" s="2"/>
      <c r="K30" s="2"/>
      <c r="L30" s="52"/>
      <c r="M30" s="78"/>
    </row>
    <row r="31" spans="1:13" ht="15.75">
      <c r="A31" s="73">
        <v>15</v>
      </c>
      <c r="B31" s="77">
        <f t="shared" si="1"/>
        <v>45278</v>
      </c>
      <c r="C31" s="73">
        <f t="shared" si="2"/>
        <v>15</v>
      </c>
      <c r="D31" s="73"/>
      <c r="E31" s="2"/>
      <c r="F31" s="1">
        <v>16</v>
      </c>
      <c r="G31" s="75">
        <f t="shared" si="0"/>
        <v>45293</v>
      </c>
      <c r="H31" s="52">
        <f t="shared" si="0"/>
        <v>15</v>
      </c>
      <c r="I31" s="75"/>
      <c r="J31" s="2"/>
      <c r="K31" s="2"/>
      <c r="L31" s="52"/>
      <c r="M31" s="78"/>
    </row>
    <row r="32" spans="1:13" ht="15.75">
      <c r="A32" s="73">
        <v>16</v>
      </c>
      <c r="B32" s="77">
        <f t="shared" si="1"/>
        <v>45293</v>
      </c>
      <c r="C32" s="73">
        <f t="shared" si="2"/>
        <v>15</v>
      </c>
      <c r="D32" s="73"/>
      <c r="E32" s="2"/>
      <c r="F32" s="1">
        <v>17</v>
      </c>
      <c r="G32" s="75">
        <f t="shared" si="0"/>
        <v>45308</v>
      </c>
      <c r="H32" s="52">
        <f t="shared" si="0"/>
        <v>15</v>
      </c>
      <c r="I32" s="75"/>
      <c r="J32" s="2"/>
      <c r="K32" s="2"/>
      <c r="L32" s="52"/>
      <c r="M32" s="78"/>
    </row>
    <row r="33" spans="1:35" ht="15.75">
      <c r="A33" s="73">
        <v>17</v>
      </c>
      <c r="B33" s="77">
        <f t="shared" si="1"/>
        <v>45308</v>
      </c>
      <c r="C33" s="73">
        <f t="shared" si="2"/>
        <v>15</v>
      </c>
      <c r="D33" s="73"/>
      <c r="E33" s="2"/>
      <c r="F33" s="1">
        <v>18</v>
      </c>
      <c r="G33" s="75">
        <f t="shared" si="0"/>
        <v>45323</v>
      </c>
      <c r="H33" s="52">
        <f t="shared" si="0"/>
        <v>15</v>
      </c>
      <c r="I33" s="75"/>
      <c r="J33" s="2"/>
      <c r="K33" s="2"/>
      <c r="L33" s="52"/>
      <c r="M33" s="78"/>
    </row>
    <row r="34" spans="1:35" ht="15.75">
      <c r="A34" s="73">
        <v>18</v>
      </c>
      <c r="B34" s="77">
        <f t="shared" si="1"/>
        <v>45323</v>
      </c>
      <c r="C34" s="73">
        <f t="shared" si="2"/>
        <v>15</v>
      </c>
      <c r="D34" s="73"/>
      <c r="E34" s="2"/>
      <c r="F34" s="1">
        <v>19</v>
      </c>
      <c r="G34" s="75">
        <f t="shared" si="0"/>
        <v>45338</v>
      </c>
      <c r="H34" s="52">
        <f t="shared" si="0"/>
        <v>15</v>
      </c>
      <c r="I34" s="75"/>
      <c r="J34" s="2"/>
      <c r="K34" s="2"/>
      <c r="L34" s="52"/>
      <c r="M34" s="78"/>
    </row>
    <row r="35" spans="1:35" ht="15.75">
      <c r="A35" s="73">
        <v>19</v>
      </c>
      <c r="B35" s="77">
        <f t="shared" si="1"/>
        <v>45338</v>
      </c>
      <c r="C35" s="73">
        <f t="shared" si="2"/>
        <v>15</v>
      </c>
      <c r="D35" s="73"/>
      <c r="E35" s="2"/>
      <c r="F35" s="1">
        <v>20</v>
      </c>
      <c r="G35" s="75">
        <f t="shared" si="0"/>
        <v>45353</v>
      </c>
      <c r="H35" s="52">
        <f t="shared" si="0"/>
        <v>15</v>
      </c>
      <c r="I35" s="75"/>
      <c r="J35" s="2"/>
      <c r="K35" s="2"/>
      <c r="L35" s="52"/>
      <c r="M35" s="78"/>
    </row>
    <row r="36" spans="1:35">
      <c r="A36" s="73">
        <v>20</v>
      </c>
      <c r="B36" s="77">
        <f t="shared" si="1"/>
        <v>45353</v>
      </c>
      <c r="C36" s="73">
        <f t="shared" si="2"/>
        <v>15</v>
      </c>
      <c r="D36" s="73"/>
      <c r="F36" s="1">
        <v>21</v>
      </c>
      <c r="G36" s="75">
        <f t="shared" si="0"/>
        <v>45368</v>
      </c>
      <c r="H36" s="52">
        <f t="shared" si="0"/>
        <v>15</v>
      </c>
      <c r="I36" s="52"/>
      <c r="L36" s="52"/>
      <c r="M36" s="78"/>
    </row>
    <row r="37" spans="1:35">
      <c r="A37" s="73">
        <v>21</v>
      </c>
      <c r="B37" s="77">
        <f>B36+C36</f>
        <v>45368</v>
      </c>
      <c r="C37" s="73">
        <f t="shared" si="2"/>
        <v>15</v>
      </c>
      <c r="D37" s="73"/>
      <c r="F37" s="1" t="s">
        <v>95</v>
      </c>
      <c r="G37" s="75">
        <f>G36+H36</f>
        <v>45383</v>
      </c>
      <c r="H37" s="52"/>
      <c r="I37" s="52" t="s">
        <v>96</v>
      </c>
      <c r="L37" s="52"/>
      <c r="M37" s="78"/>
    </row>
    <row r="38" spans="1:35">
      <c r="A38" s="73" t="s">
        <v>95</v>
      </c>
      <c r="B38" s="77">
        <f>B37+C37</f>
        <v>45383</v>
      </c>
      <c r="C38" s="73"/>
      <c r="D38" s="73" t="s">
        <v>96</v>
      </c>
      <c r="F38" s="52"/>
      <c r="G38" s="75"/>
      <c r="H38" s="52"/>
      <c r="I38" s="52"/>
      <c r="L38" s="52"/>
      <c r="M38" s="78"/>
    </row>
    <row r="39" spans="1:35">
      <c r="A39" s="73" t="s">
        <v>97</v>
      </c>
      <c r="B39" s="77">
        <v>45389</v>
      </c>
      <c r="C39" s="79">
        <f>B39-B38</f>
        <v>6</v>
      </c>
      <c r="D39" s="73" t="s">
        <v>98</v>
      </c>
      <c r="L39" s="52"/>
      <c r="M39" s="78"/>
    </row>
    <row r="40" spans="1:35">
      <c r="A40" s="73"/>
      <c r="B40" s="80"/>
      <c r="C40" s="79"/>
      <c r="D40" s="79"/>
      <c r="L40" s="52"/>
      <c r="M40" s="78"/>
    </row>
    <row r="41" spans="1:35">
      <c r="A41" s="73" t="s">
        <v>99</v>
      </c>
      <c r="B41" s="73">
        <f>SUM(C17:C37)</f>
        <v>315</v>
      </c>
      <c r="C41" s="73"/>
      <c r="D41" s="81"/>
      <c r="L41" s="52"/>
      <c r="M41" s="82"/>
    </row>
    <row r="42" spans="1:35">
      <c r="A42" s="73" t="s">
        <v>100</v>
      </c>
      <c r="B42" s="73"/>
      <c r="C42" s="73"/>
      <c r="D42" s="81"/>
      <c r="L42" s="52"/>
      <c r="M42" s="52"/>
    </row>
    <row r="43" spans="1:35">
      <c r="A43" s="73"/>
      <c r="B43" s="73"/>
      <c r="C43" s="73"/>
      <c r="D43" s="81"/>
      <c r="L43" s="52"/>
      <c r="M43" s="52"/>
    </row>
    <row r="44" spans="1:35">
      <c r="L44" s="52"/>
      <c r="M44" s="52"/>
    </row>
    <row r="45" spans="1:35" customFormat="1">
      <c r="A45" t="s">
        <v>370</v>
      </c>
      <c r="B45" t="s">
        <v>371</v>
      </c>
    </row>
    <row r="46" spans="1:35" customFormat="1">
      <c r="A46" t="s">
        <v>370</v>
      </c>
      <c r="B46" t="s">
        <v>372</v>
      </c>
      <c r="C46" t="s">
        <v>373</v>
      </c>
      <c r="D46" t="s">
        <v>374</v>
      </c>
      <c r="E46" t="s">
        <v>375</v>
      </c>
      <c r="F46" t="s">
        <v>376</v>
      </c>
      <c r="G46" t="s">
        <v>377</v>
      </c>
      <c r="H46" t="s">
        <v>378</v>
      </c>
      <c r="Q46" t="s">
        <v>373</v>
      </c>
      <c r="R46" t="s">
        <v>374</v>
      </c>
      <c r="S46" t="s">
        <v>375</v>
      </c>
      <c r="T46" t="s">
        <v>376</v>
      </c>
      <c r="U46" t="s">
        <v>377</v>
      </c>
      <c r="V46" t="s">
        <v>1526</v>
      </c>
    </row>
    <row r="47" spans="1:35" customFormat="1">
      <c r="A47" t="s">
        <v>370</v>
      </c>
      <c r="B47" t="s">
        <v>379</v>
      </c>
      <c r="AD47" t="s">
        <v>373</v>
      </c>
      <c r="AE47" t="s">
        <v>374</v>
      </c>
      <c r="AF47" t="s">
        <v>375</v>
      </c>
      <c r="AG47" t="s">
        <v>376</v>
      </c>
      <c r="AH47" t="s">
        <v>377</v>
      </c>
      <c r="AI47" t="s">
        <v>1526</v>
      </c>
    </row>
    <row r="48" spans="1:35" customFormat="1">
      <c r="A48" t="s">
        <v>370</v>
      </c>
      <c r="B48" t="s">
        <v>380</v>
      </c>
      <c r="C48" t="s">
        <v>381</v>
      </c>
      <c r="P48" t="s">
        <v>381</v>
      </c>
    </row>
    <row r="49" spans="1:35" customFormat="1">
      <c r="A49" t="s">
        <v>370</v>
      </c>
      <c r="B49" t="s">
        <v>382</v>
      </c>
      <c r="AC49" t="s">
        <v>381</v>
      </c>
    </row>
    <row r="50" spans="1:35" customFormat="1">
      <c r="A50" t="s">
        <v>370</v>
      </c>
      <c r="B50" t="s">
        <v>383</v>
      </c>
    </row>
    <row r="51" spans="1:35" customFormat="1">
      <c r="A51" t="s">
        <v>370</v>
      </c>
      <c r="B51" t="s">
        <v>384</v>
      </c>
      <c r="C51" t="s">
        <v>39</v>
      </c>
      <c r="D51" t="s">
        <v>385</v>
      </c>
      <c r="E51" t="s">
        <v>386</v>
      </c>
      <c r="F51" t="s">
        <v>387</v>
      </c>
      <c r="Q51" t="s">
        <v>39</v>
      </c>
      <c r="R51" t="s">
        <v>385</v>
      </c>
      <c r="S51" t="s">
        <v>386</v>
      </c>
      <c r="T51" t="s">
        <v>387</v>
      </c>
    </row>
    <row r="52" spans="1:35" customFormat="1">
      <c r="A52" t="s">
        <v>370</v>
      </c>
      <c r="B52" t="s">
        <v>388</v>
      </c>
      <c r="C52" t="s">
        <v>389</v>
      </c>
      <c r="D52" t="s">
        <v>390</v>
      </c>
      <c r="E52" t="s">
        <v>391</v>
      </c>
      <c r="F52" t="s">
        <v>392</v>
      </c>
      <c r="Q52" t="s">
        <v>389</v>
      </c>
      <c r="R52" t="s">
        <v>390</v>
      </c>
      <c r="S52" t="s">
        <v>391</v>
      </c>
      <c r="T52" t="s">
        <v>392</v>
      </c>
      <c r="AD52" t="s">
        <v>39</v>
      </c>
      <c r="AE52" t="s">
        <v>385</v>
      </c>
      <c r="AF52" t="s">
        <v>386</v>
      </c>
      <c r="AG52" t="s">
        <v>387</v>
      </c>
    </row>
    <row r="53" spans="1:35" customFormat="1">
      <c r="A53" t="s">
        <v>370</v>
      </c>
      <c r="B53" t="s">
        <v>393</v>
      </c>
      <c r="C53" t="s">
        <v>394</v>
      </c>
      <c r="D53" t="s">
        <v>395</v>
      </c>
      <c r="E53" t="s">
        <v>396</v>
      </c>
      <c r="F53" t="s">
        <v>397</v>
      </c>
      <c r="Q53" t="s">
        <v>394</v>
      </c>
      <c r="R53" t="s">
        <v>395</v>
      </c>
      <c r="S53" t="s">
        <v>396</v>
      </c>
      <c r="T53" t="s">
        <v>397</v>
      </c>
      <c r="AD53" t="s">
        <v>389</v>
      </c>
      <c r="AE53" t="s">
        <v>390</v>
      </c>
      <c r="AF53" t="s">
        <v>391</v>
      </c>
      <c r="AG53" t="s">
        <v>392</v>
      </c>
    </row>
    <row r="54" spans="1:35" customFormat="1">
      <c r="A54" t="s">
        <v>370</v>
      </c>
      <c r="B54" t="s">
        <v>398</v>
      </c>
      <c r="C54" t="s">
        <v>399</v>
      </c>
      <c r="D54" t="s">
        <v>400</v>
      </c>
      <c r="E54" t="s">
        <v>401</v>
      </c>
      <c r="F54" t="s">
        <v>402</v>
      </c>
      <c r="Q54" t="s">
        <v>399</v>
      </c>
      <c r="R54" t="s">
        <v>400</v>
      </c>
      <c r="S54" t="s">
        <v>401</v>
      </c>
      <c r="T54" t="s">
        <v>1527</v>
      </c>
      <c r="AD54" t="s">
        <v>399</v>
      </c>
      <c r="AE54" t="s">
        <v>1653</v>
      </c>
      <c r="AF54" t="s">
        <v>401</v>
      </c>
      <c r="AG54" t="s">
        <v>1654</v>
      </c>
    </row>
    <row r="55" spans="1:35" customFormat="1">
      <c r="A55" t="s">
        <v>370</v>
      </c>
      <c r="B55" t="s">
        <v>403</v>
      </c>
    </row>
    <row r="56" spans="1:35" customFormat="1">
      <c r="A56" t="s">
        <v>370</v>
      </c>
      <c r="B56" t="s">
        <v>404</v>
      </c>
      <c r="C56" t="s">
        <v>405</v>
      </c>
      <c r="Q56" t="s">
        <v>405</v>
      </c>
      <c r="AD56" t="s">
        <v>405</v>
      </c>
    </row>
    <row r="57" spans="1:35" customFormat="1">
      <c r="A57" t="s">
        <v>370</v>
      </c>
      <c r="B57" t="s">
        <v>406</v>
      </c>
      <c r="C57" t="s">
        <v>407</v>
      </c>
      <c r="D57" t="s">
        <v>408</v>
      </c>
      <c r="E57" t="s">
        <v>409</v>
      </c>
      <c r="F57" t="s">
        <v>407</v>
      </c>
      <c r="Q57" t="s">
        <v>407</v>
      </c>
      <c r="R57" t="s">
        <v>408</v>
      </c>
      <c r="S57" t="s">
        <v>409</v>
      </c>
      <c r="T57" t="s">
        <v>407</v>
      </c>
      <c r="AD57" t="s">
        <v>407</v>
      </c>
      <c r="AE57" t="s">
        <v>408</v>
      </c>
      <c r="AF57" t="s">
        <v>409</v>
      </c>
      <c r="AG57" t="s">
        <v>407</v>
      </c>
    </row>
    <row r="58" spans="1:35" customFormat="1">
      <c r="A58" t="s">
        <v>370</v>
      </c>
      <c r="B58" t="s">
        <v>410</v>
      </c>
      <c r="C58" t="s">
        <v>411</v>
      </c>
      <c r="Q58" t="s">
        <v>411</v>
      </c>
      <c r="AD58" t="s">
        <v>411</v>
      </c>
    </row>
    <row r="59" spans="1:35" customFormat="1">
      <c r="A59" t="s">
        <v>370</v>
      </c>
      <c r="B59" t="s">
        <v>412</v>
      </c>
      <c r="C59" t="s">
        <v>413</v>
      </c>
      <c r="D59" t="s">
        <v>414</v>
      </c>
      <c r="E59">
        <v>23</v>
      </c>
      <c r="F59" s="190">
        <v>0.95285879629629633</v>
      </c>
      <c r="G59">
        <v>2024</v>
      </c>
      <c r="Q59" t="s">
        <v>413</v>
      </c>
      <c r="R59" t="s">
        <v>414</v>
      </c>
      <c r="S59">
        <v>23</v>
      </c>
      <c r="T59" s="190">
        <v>0.98819444444444449</v>
      </c>
      <c r="U59">
        <v>2024</v>
      </c>
      <c r="AD59" t="s">
        <v>413</v>
      </c>
      <c r="AE59" t="s">
        <v>414</v>
      </c>
      <c r="AF59">
        <v>23</v>
      </c>
      <c r="AG59" s="190">
        <v>0.98912037037037037</v>
      </c>
      <c r="AH59">
        <v>2024</v>
      </c>
    </row>
    <row r="60" spans="1:35" customFormat="1">
      <c r="A60" t="s">
        <v>370</v>
      </c>
      <c r="B60" t="s">
        <v>415</v>
      </c>
    </row>
    <row r="61" spans="1:35" customFormat="1">
      <c r="A61" t="s">
        <v>370</v>
      </c>
      <c r="B61" t="s">
        <v>416</v>
      </c>
      <c r="C61" t="s">
        <v>417</v>
      </c>
      <c r="D61" t="s">
        <v>418</v>
      </c>
      <c r="E61" t="s">
        <v>301</v>
      </c>
      <c r="F61" t="s">
        <v>419</v>
      </c>
      <c r="G61" t="s">
        <v>420</v>
      </c>
      <c r="H61" t="s">
        <v>421</v>
      </c>
      <c r="Q61" t="s">
        <v>417</v>
      </c>
      <c r="R61" t="s">
        <v>418</v>
      </c>
      <c r="S61" t="s">
        <v>301</v>
      </c>
      <c r="T61" t="s">
        <v>419</v>
      </c>
      <c r="U61" t="s">
        <v>420</v>
      </c>
      <c r="V61" t="s">
        <v>421</v>
      </c>
      <c r="AD61" t="s">
        <v>417</v>
      </c>
      <c r="AE61" t="s">
        <v>418</v>
      </c>
      <c r="AF61" t="s">
        <v>301</v>
      </c>
      <c r="AG61" t="s">
        <v>419</v>
      </c>
      <c r="AH61" t="s">
        <v>420</v>
      </c>
      <c r="AI61" t="s">
        <v>421</v>
      </c>
    </row>
    <row r="62" spans="1:35" customFormat="1">
      <c r="A62" t="s">
        <v>370</v>
      </c>
      <c r="B62" t="s">
        <v>422</v>
      </c>
      <c r="C62" t="s">
        <v>423</v>
      </c>
      <c r="D62" t="s">
        <v>424</v>
      </c>
      <c r="E62" t="s">
        <v>425</v>
      </c>
      <c r="F62" t="s">
        <v>426</v>
      </c>
      <c r="G62" t="s">
        <v>427</v>
      </c>
      <c r="Q62" t="s">
        <v>423</v>
      </c>
      <c r="R62" t="s">
        <v>424</v>
      </c>
      <c r="S62" t="s">
        <v>425</v>
      </c>
      <c r="T62" t="s">
        <v>426</v>
      </c>
      <c r="U62" t="s">
        <v>427</v>
      </c>
      <c r="AD62" t="s">
        <v>423</v>
      </c>
      <c r="AE62" t="s">
        <v>424</v>
      </c>
      <c r="AF62" t="s">
        <v>425</v>
      </c>
      <c r="AG62" t="s">
        <v>426</v>
      </c>
      <c r="AH62" t="s">
        <v>427</v>
      </c>
    </row>
    <row r="63" spans="1:35" customFormat="1">
      <c r="A63" t="s">
        <v>370</v>
      </c>
      <c r="B63" t="s">
        <v>428</v>
      </c>
      <c r="C63" t="s">
        <v>429</v>
      </c>
      <c r="D63" t="s">
        <v>430</v>
      </c>
      <c r="E63" t="s">
        <v>431</v>
      </c>
      <c r="F63" t="s">
        <v>432</v>
      </c>
      <c r="G63" t="s">
        <v>433</v>
      </c>
      <c r="H63" t="s">
        <v>434</v>
      </c>
      <c r="Q63" t="s">
        <v>429</v>
      </c>
      <c r="R63" t="s">
        <v>430</v>
      </c>
      <c r="S63" t="s">
        <v>431</v>
      </c>
      <c r="T63" t="s">
        <v>432</v>
      </c>
      <c r="U63" t="s">
        <v>433</v>
      </c>
      <c r="V63" t="s">
        <v>434</v>
      </c>
      <c r="AD63" t="s">
        <v>429</v>
      </c>
      <c r="AE63" t="s">
        <v>430</v>
      </c>
      <c r="AF63" t="s">
        <v>431</v>
      </c>
      <c r="AG63" t="s">
        <v>432</v>
      </c>
      <c r="AH63" t="s">
        <v>433</v>
      </c>
      <c r="AI63" t="s">
        <v>434</v>
      </c>
    </row>
    <row r="64" spans="1:35" customFormat="1">
      <c r="A64" t="s">
        <v>370</v>
      </c>
      <c r="B64" t="s">
        <v>435</v>
      </c>
      <c r="C64" t="s">
        <v>436</v>
      </c>
      <c r="D64" t="s">
        <v>437</v>
      </c>
      <c r="E64" t="s">
        <v>438</v>
      </c>
      <c r="F64" t="s">
        <v>439</v>
      </c>
      <c r="G64" t="s">
        <v>39</v>
      </c>
      <c r="Q64" t="s">
        <v>436</v>
      </c>
      <c r="R64" t="s">
        <v>437</v>
      </c>
      <c r="S64" t="s">
        <v>438</v>
      </c>
      <c r="T64" t="s">
        <v>439</v>
      </c>
      <c r="U64" t="s">
        <v>39</v>
      </c>
      <c r="AD64" t="s">
        <v>436</v>
      </c>
      <c r="AE64" t="s">
        <v>437</v>
      </c>
      <c r="AF64" t="s">
        <v>438</v>
      </c>
      <c r="AG64" t="s">
        <v>439</v>
      </c>
      <c r="AH64" t="s">
        <v>39</v>
      </c>
    </row>
    <row r="65" spans="1:40" customFormat="1">
      <c r="A65" t="s">
        <v>370</v>
      </c>
      <c r="B65" t="s">
        <v>440</v>
      </c>
    </row>
    <row r="66" spans="1:40" customFormat="1">
      <c r="A66" t="s">
        <v>370</v>
      </c>
      <c r="B66" t="s">
        <v>441</v>
      </c>
      <c r="C66" t="s">
        <v>442</v>
      </c>
      <c r="D66" t="s">
        <v>443</v>
      </c>
      <c r="E66">
        <v>7</v>
      </c>
      <c r="Q66" t="s">
        <v>442</v>
      </c>
      <c r="R66" t="s">
        <v>443</v>
      </c>
      <c r="S66">
        <v>7</v>
      </c>
      <c r="AD66" t="s">
        <v>442</v>
      </c>
      <c r="AE66" t="s">
        <v>443</v>
      </c>
      <c r="AF66">
        <v>7</v>
      </c>
    </row>
    <row r="67" spans="1:40" customFormat="1">
      <c r="A67" t="s">
        <v>370</v>
      </c>
      <c r="B67" t="s">
        <v>444</v>
      </c>
    </row>
    <row r="68" spans="1:40" customFormat="1">
      <c r="A68" t="s">
        <v>370</v>
      </c>
      <c r="B68" t="s">
        <v>445</v>
      </c>
      <c r="C68" t="s">
        <v>405</v>
      </c>
      <c r="Q68" t="s">
        <v>405</v>
      </c>
      <c r="AD68" t="s">
        <v>405</v>
      </c>
    </row>
    <row r="69" spans="1:40" customFormat="1">
      <c r="A69" t="s">
        <v>370</v>
      </c>
      <c r="B69" t="s">
        <v>446</v>
      </c>
      <c r="C69" t="s">
        <v>407</v>
      </c>
      <c r="D69" t="s">
        <v>447</v>
      </c>
      <c r="E69" t="s">
        <v>434</v>
      </c>
      <c r="F69" t="s">
        <v>448</v>
      </c>
      <c r="G69" t="s">
        <v>407</v>
      </c>
      <c r="Q69" t="s">
        <v>407</v>
      </c>
      <c r="R69" t="s">
        <v>447</v>
      </c>
      <c r="S69" t="s">
        <v>434</v>
      </c>
      <c r="T69" t="s">
        <v>448</v>
      </c>
      <c r="U69" t="s">
        <v>407</v>
      </c>
      <c r="AD69" t="s">
        <v>407</v>
      </c>
      <c r="AE69" t="s">
        <v>447</v>
      </c>
      <c r="AF69" t="s">
        <v>434</v>
      </c>
      <c r="AG69" t="s">
        <v>448</v>
      </c>
      <c r="AH69" t="s">
        <v>407</v>
      </c>
    </row>
    <row r="70" spans="1:40" customFormat="1">
      <c r="A70" t="s">
        <v>370</v>
      </c>
      <c r="B70" t="s">
        <v>449</v>
      </c>
      <c r="C70" t="s">
        <v>411</v>
      </c>
      <c r="Q70" t="s">
        <v>411</v>
      </c>
      <c r="AD70" t="s">
        <v>411</v>
      </c>
    </row>
    <row r="71" spans="1:40" customFormat="1">
      <c r="A71" t="s">
        <v>370</v>
      </c>
      <c r="B71" t="s">
        <v>450</v>
      </c>
      <c r="C71" t="s">
        <v>413</v>
      </c>
      <c r="D71" t="s">
        <v>414</v>
      </c>
      <c r="E71">
        <v>23</v>
      </c>
      <c r="F71" s="190">
        <v>0.95291666666666663</v>
      </c>
      <c r="G71">
        <v>2024</v>
      </c>
      <c r="Q71" t="s">
        <v>413</v>
      </c>
      <c r="R71" t="s">
        <v>414</v>
      </c>
      <c r="S71">
        <v>23</v>
      </c>
      <c r="T71" s="190">
        <v>0.98824074074074075</v>
      </c>
      <c r="U71">
        <v>2024</v>
      </c>
      <c r="AD71" t="s">
        <v>413</v>
      </c>
      <c r="AE71" t="s">
        <v>414</v>
      </c>
      <c r="AF71">
        <v>23</v>
      </c>
      <c r="AG71" s="190">
        <v>0.98917824074074079</v>
      </c>
      <c r="AH71">
        <v>2024</v>
      </c>
    </row>
    <row r="72" spans="1:40" customFormat="1">
      <c r="A72" t="s">
        <v>370</v>
      </c>
      <c r="B72" t="s">
        <v>451</v>
      </c>
    </row>
    <row r="73" spans="1:40" customFormat="1">
      <c r="A73" t="s">
        <v>370</v>
      </c>
      <c r="B73" t="s">
        <v>452</v>
      </c>
      <c r="C73" t="s">
        <v>417</v>
      </c>
      <c r="D73" t="s">
        <v>453</v>
      </c>
      <c r="E73" t="s">
        <v>454</v>
      </c>
      <c r="F73" t="s">
        <v>455</v>
      </c>
      <c r="Q73" t="s">
        <v>417</v>
      </c>
      <c r="R73" t="s">
        <v>453</v>
      </c>
      <c r="S73" t="s">
        <v>454</v>
      </c>
      <c r="T73" t="s">
        <v>455</v>
      </c>
      <c r="AD73" t="s">
        <v>417</v>
      </c>
      <c r="AE73" t="s">
        <v>453</v>
      </c>
      <c r="AF73" t="s">
        <v>455</v>
      </c>
      <c r="AG73" t="s">
        <v>473</v>
      </c>
    </row>
    <row r="74" spans="1:40" customFormat="1">
      <c r="A74" t="s">
        <v>370</v>
      </c>
      <c r="B74" t="s">
        <v>456</v>
      </c>
      <c r="C74" t="s">
        <v>423</v>
      </c>
      <c r="D74" t="s">
        <v>453</v>
      </c>
      <c r="E74" t="s">
        <v>87</v>
      </c>
      <c r="F74" t="s">
        <v>457</v>
      </c>
      <c r="Q74" t="s">
        <v>423</v>
      </c>
      <c r="R74" t="s">
        <v>453</v>
      </c>
      <c r="S74" t="s">
        <v>87</v>
      </c>
      <c r="T74" t="s">
        <v>457</v>
      </c>
      <c r="AD74" t="s">
        <v>423</v>
      </c>
      <c r="AE74" t="s">
        <v>453</v>
      </c>
      <c r="AF74" t="s">
        <v>461</v>
      </c>
      <c r="AG74" t="s">
        <v>462</v>
      </c>
    </row>
    <row r="75" spans="1:40" customFormat="1">
      <c r="A75" t="s">
        <v>370</v>
      </c>
      <c r="B75" t="s">
        <v>458</v>
      </c>
      <c r="C75" t="s">
        <v>429</v>
      </c>
      <c r="D75" t="s">
        <v>453</v>
      </c>
      <c r="E75" t="s">
        <v>459</v>
      </c>
      <c r="F75" t="s">
        <v>455</v>
      </c>
      <c r="Q75" t="s">
        <v>429</v>
      </c>
      <c r="R75" t="s">
        <v>453</v>
      </c>
      <c r="S75" t="s">
        <v>459</v>
      </c>
      <c r="T75" t="s">
        <v>455</v>
      </c>
      <c r="AD75" t="s">
        <v>464</v>
      </c>
      <c r="AE75" t="s">
        <v>408</v>
      </c>
      <c r="AF75" t="s">
        <v>409</v>
      </c>
    </row>
    <row r="76" spans="1:40" customFormat="1">
      <c r="A76" t="s">
        <v>370</v>
      </c>
      <c r="B76" t="s">
        <v>460</v>
      </c>
      <c r="C76" t="s">
        <v>436</v>
      </c>
      <c r="D76" t="s">
        <v>453</v>
      </c>
      <c r="E76" t="s">
        <v>461</v>
      </c>
      <c r="F76" t="s">
        <v>462</v>
      </c>
      <c r="Q76" t="s">
        <v>436</v>
      </c>
      <c r="R76" t="s">
        <v>453</v>
      </c>
      <c r="S76" t="s">
        <v>461</v>
      </c>
      <c r="T76" t="s">
        <v>462</v>
      </c>
    </row>
    <row r="77" spans="1:40" customFormat="1">
      <c r="A77" t="s">
        <v>370</v>
      </c>
      <c r="B77" t="s">
        <v>463</v>
      </c>
      <c r="C77" t="s">
        <v>464</v>
      </c>
      <c r="D77" t="s">
        <v>408</v>
      </c>
      <c r="E77" t="s">
        <v>409</v>
      </c>
      <c r="Q77" t="s">
        <v>464</v>
      </c>
      <c r="R77" t="s">
        <v>408</v>
      </c>
      <c r="S77" t="s">
        <v>409</v>
      </c>
      <c r="AD77" t="s">
        <v>442</v>
      </c>
      <c r="AE77" t="s">
        <v>443</v>
      </c>
      <c r="AF77">
        <v>1</v>
      </c>
    </row>
    <row r="78" spans="1:40" customFormat="1">
      <c r="A78" t="s">
        <v>370</v>
      </c>
      <c r="B78" t="s">
        <v>465</v>
      </c>
    </row>
    <row r="79" spans="1:40" customFormat="1">
      <c r="A79" t="s">
        <v>370</v>
      </c>
      <c r="B79" t="s">
        <v>466</v>
      </c>
      <c r="C79" t="s">
        <v>442</v>
      </c>
      <c r="D79" t="s">
        <v>443</v>
      </c>
      <c r="E79">
        <v>1</v>
      </c>
      <c r="Q79" t="s">
        <v>442</v>
      </c>
      <c r="R79" t="s">
        <v>443</v>
      </c>
      <c r="S79">
        <v>1</v>
      </c>
      <c r="AD79" t="s">
        <v>469</v>
      </c>
      <c r="AE79" t="s">
        <v>470</v>
      </c>
      <c r="AF79" t="s">
        <v>471</v>
      </c>
      <c r="AG79" t="s">
        <v>472</v>
      </c>
      <c r="AH79" t="s">
        <v>455</v>
      </c>
      <c r="AI79" t="s">
        <v>473</v>
      </c>
      <c r="AJ79" t="s">
        <v>376</v>
      </c>
      <c r="AK79" t="s">
        <v>474</v>
      </c>
      <c r="AL79" t="s">
        <v>475</v>
      </c>
      <c r="AM79" t="s">
        <v>473</v>
      </c>
      <c r="AN79" t="s">
        <v>476</v>
      </c>
    </row>
    <row r="80" spans="1:40" customFormat="1">
      <c r="A80" t="s">
        <v>370</v>
      </c>
      <c r="B80" t="s">
        <v>467</v>
      </c>
      <c r="AD80" t="s">
        <v>478</v>
      </c>
      <c r="AE80" t="s">
        <v>479</v>
      </c>
      <c r="AF80" t="s">
        <v>480</v>
      </c>
      <c r="AG80" t="s">
        <v>473</v>
      </c>
      <c r="AH80" t="s">
        <v>481</v>
      </c>
      <c r="AI80" t="s">
        <v>482</v>
      </c>
      <c r="AJ80" t="s">
        <v>375</v>
      </c>
      <c r="AK80" t="s">
        <v>396</v>
      </c>
    </row>
    <row r="81" spans="1:40" customFormat="1">
      <c r="A81" t="s">
        <v>370</v>
      </c>
      <c r="B81" t="s">
        <v>468</v>
      </c>
      <c r="C81" t="s">
        <v>469</v>
      </c>
      <c r="D81" t="s">
        <v>470</v>
      </c>
      <c r="E81" t="s">
        <v>471</v>
      </c>
      <c r="F81" t="s">
        <v>472</v>
      </c>
      <c r="G81" t="s">
        <v>455</v>
      </c>
      <c r="H81" t="s">
        <v>473</v>
      </c>
      <c r="I81" t="s">
        <v>376</v>
      </c>
      <c r="J81" t="s">
        <v>474</v>
      </c>
      <c r="K81" t="s">
        <v>475</v>
      </c>
      <c r="L81" t="s">
        <v>473</v>
      </c>
      <c r="M81" t="s">
        <v>476</v>
      </c>
      <c r="Q81" t="s">
        <v>469</v>
      </c>
      <c r="R81" t="s">
        <v>470</v>
      </c>
      <c r="S81" t="s">
        <v>471</v>
      </c>
      <c r="T81" t="s">
        <v>472</v>
      </c>
      <c r="U81" t="s">
        <v>455</v>
      </c>
      <c r="V81" t="s">
        <v>473</v>
      </c>
      <c r="W81" t="s">
        <v>376</v>
      </c>
      <c r="X81" t="s">
        <v>474</v>
      </c>
      <c r="Y81" t="s">
        <v>475</v>
      </c>
      <c r="Z81" t="s">
        <v>473</v>
      </c>
      <c r="AA81" t="s">
        <v>476</v>
      </c>
      <c r="AD81" t="s">
        <v>484</v>
      </c>
      <c r="AE81" t="s">
        <v>485</v>
      </c>
      <c r="AF81" t="s">
        <v>486</v>
      </c>
      <c r="AG81" t="s">
        <v>487</v>
      </c>
      <c r="AH81" t="s">
        <v>376</v>
      </c>
      <c r="AI81" t="s">
        <v>488</v>
      </c>
      <c r="AJ81" t="s">
        <v>471</v>
      </c>
      <c r="AK81" t="s">
        <v>489</v>
      </c>
      <c r="AL81" t="s">
        <v>490</v>
      </c>
      <c r="AM81" t="s">
        <v>472</v>
      </c>
    </row>
    <row r="82" spans="1:40" customFormat="1">
      <c r="A82" t="s">
        <v>370</v>
      </c>
      <c r="B82" t="s">
        <v>477</v>
      </c>
      <c r="C82" t="s">
        <v>478</v>
      </c>
      <c r="D82" t="s">
        <v>479</v>
      </c>
      <c r="E82" t="s">
        <v>480</v>
      </c>
      <c r="F82" t="s">
        <v>473</v>
      </c>
      <c r="G82" t="s">
        <v>481</v>
      </c>
      <c r="H82" t="s">
        <v>482</v>
      </c>
      <c r="I82" t="s">
        <v>375</v>
      </c>
      <c r="J82" t="s">
        <v>396</v>
      </c>
      <c r="Q82" t="s">
        <v>478</v>
      </c>
      <c r="R82" t="s">
        <v>479</v>
      </c>
      <c r="S82" t="s">
        <v>480</v>
      </c>
      <c r="T82" t="s">
        <v>473</v>
      </c>
      <c r="U82" t="s">
        <v>481</v>
      </c>
      <c r="V82" t="s">
        <v>482</v>
      </c>
      <c r="W82" t="s">
        <v>375</v>
      </c>
      <c r="X82" t="s">
        <v>396</v>
      </c>
      <c r="AD82" t="s">
        <v>455</v>
      </c>
      <c r="AE82" t="s">
        <v>473</v>
      </c>
      <c r="AF82" t="s">
        <v>492</v>
      </c>
      <c r="AG82" t="s">
        <v>493</v>
      </c>
      <c r="AH82" t="s">
        <v>494</v>
      </c>
      <c r="AI82" t="s">
        <v>396</v>
      </c>
      <c r="AJ82" t="s">
        <v>495</v>
      </c>
      <c r="AK82" t="s">
        <v>496</v>
      </c>
      <c r="AL82" t="s">
        <v>497</v>
      </c>
      <c r="AM82" t="s">
        <v>498</v>
      </c>
      <c r="AN82" t="s">
        <v>499</v>
      </c>
    </row>
    <row r="83" spans="1:40" customFormat="1">
      <c r="A83" t="s">
        <v>370</v>
      </c>
      <c r="B83" t="s">
        <v>483</v>
      </c>
      <c r="C83" t="s">
        <v>484</v>
      </c>
      <c r="D83" t="s">
        <v>485</v>
      </c>
      <c r="E83" t="s">
        <v>486</v>
      </c>
      <c r="F83" t="s">
        <v>487</v>
      </c>
      <c r="G83" t="s">
        <v>376</v>
      </c>
      <c r="H83" t="s">
        <v>488</v>
      </c>
      <c r="I83" t="s">
        <v>471</v>
      </c>
      <c r="J83" t="s">
        <v>489</v>
      </c>
      <c r="K83" t="s">
        <v>490</v>
      </c>
      <c r="L83" t="s">
        <v>472</v>
      </c>
      <c r="Q83" t="s">
        <v>484</v>
      </c>
      <c r="R83" t="s">
        <v>485</v>
      </c>
      <c r="S83" t="s">
        <v>486</v>
      </c>
      <c r="T83" t="s">
        <v>487</v>
      </c>
      <c r="U83" t="s">
        <v>376</v>
      </c>
      <c r="V83" t="s">
        <v>488</v>
      </c>
      <c r="W83" t="s">
        <v>471</v>
      </c>
      <c r="X83" t="s">
        <v>489</v>
      </c>
      <c r="Y83" t="s">
        <v>490</v>
      </c>
      <c r="Z83" t="s">
        <v>472</v>
      </c>
      <c r="AD83" t="s">
        <v>501</v>
      </c>
      <c r="AE83" t="s">
        <v>502</v>
      </c>
    </row>
    <row r="84" spans="1:40" customFormat="1">
      <c r="A84" t="s">
        <v>370</v>
      </c>
      <c r="B84" t="s">
        <v>491</v>
      </c>
      <c r="C84" t="s">
        <v>455</v>
      </c>
      <c r="D84" t="s">
        <v>473</v>
      </c>
      <c r="E84" t="s">
        <v>492</v>
      </c>
      <c r="F84" t="s">
        <v>493</v>
      </c>
      <c r="G84" t="s">
        <v>494</v>
      </c>
      <c r="H84" t="s">
        <v>396</v>
      </c>
      <c r="I84" t="s">
        <v>495</v>
      </c>
      <c r="J84" t="s">
        <v>496</v>
      </c>
      <c r="K84" t="s">
        <v>497</v>
      </c>
      <c r="L84" t="s">
        <v>498</v>
      </c>
      <c r="M84" t="s">
        <v>499</v>
      </c>
      <c r="Q84" t="s">
        <v>455</v>
      </c>
      <c r="R84" t="s">
        <v>473</v>
      </c>
      <c r="S84" t="s">
        <v>492</v>
      </c>
      <c r="T84" t="s">
        <v>493</v>
      </c>
      <c r="U84" t="s">
        <v>494</v>
      </c>
      <c r="V84" t="s">
        <v>396</v>
      </c>
      <c r="W84" t="s">
        <v>495</v>
      </c>
      <c r="X84" t="s">
        <v>496</v>
      </c>
      <c r="Y84" t="s">
        <v>497</v>
      </c>
      <c r="Z84" t="s">
        <v>498</v>
      </c>
      <c r="AA84" t="s">
        <v>499</v>
      </c>
    </row>
    <row r="85" spans="1:40" customFormat="1">
      <c r="A85" t="s">
        <v>370</v>
      </c>
      <c r="B85" t="s">
        <v>500</v>
      </c>
      <c r="C85" t="s">
        <v>501</v>
      </c>
      <c r="D85" t="s">
        <v>502</v>
      </c>
      <c r="Q85" t="s">
        <v>501</v>
      </c>
      <c r="R85" t="s">
        <v>502</v>
      </c>
    </row>
    <row r="86" spans="1:40" customFormat="1">
      <c r="A86" t="s">
        <v>370</v>
      </c>
      <c r="B86" t="s">
        <v>503</v>
      </c>
      <c r="AD86" t="s">
        <v>506</v>
      </c>
      <c r="AE86" t="s">
        <v>507</v>
      </c>
      <c r="AF86" t="s">
        <v>1653</v>
      </c>
    </row>
    <row r="87" spans="1:40" customFormat="1">
      <c r="A87" t="s">
        <v>370</v>
      </c>
      <c r="B87" t="s">
        <v>504</v>
      </c>
      <c r="AD87" t="s">
        <v>509</v>
      </c>
      <c r="AE87" t="s">
        <v>1655</v>
      </c>
      <c r="AF87">
        <v>26</v>
      </c>
      <c r="AG87">
        <v>2002</v>
      </c>
      <c r="AH87" s="190">
        <v>0.46543981481481483</v>
      </c>
    </row>
    <row r="88" spans="1:40" customFormat="1">
      <c r="A88" t="s">
        <v>370</v>
      </c>
      <c r="B88" t="s">
        <v>505</v>
      </c>
      <c r="C88" t="s">
        <v>506</v>
      </c>
      <c r="D88" t="s">
        <v>507</v>
      </c>
      <c r="E88" t="s">
        <v>400</v>
      </c>
      <c r="Q88" t="s">
        <v>506</v>
      </c>
      <c r="R88" t="s">
        <v>507</v>
      </c>
      <c r="S88" t="s">
        <v>400</v>
      </c>
      <c r="AD88" t="s">
        <v>512</v>
      </c>
      <c r="AE88" t="s">
        <v>401</v>
      </c>
      <c r="AF88" t="s">
        <v>1654</v>
      </c>
    </row>
    <row r="89" spans="1:40" customFormat="1">
      <c r="A89" t="s">
        <v>370</v>
      </c>
      <c r="B89" t="s">
        <v>508</v>
      </c>
      <c r="C89" t="s">
        <v>509</v>
      </c>
      <c r="D89" t="s">
        <v>510</v>
      </c>
      <c r="E89">
        <v>15</v>
      </c>
      <c r="F89">
        <v>2003</v>
      </c>
      <c r="G89" s="190">
        <v>0.7643981481481481</v>
      </c>
      <c r="Q89" t="s">
        <v>509</v>
      </c>
      <c r="R89" t="s">
        <v>510</v>
      </c>
      <c r="S89">
        <v>15</v>
      </c>
      <c r="T89">
        <v>2003</v>
      </c>
      <c r="U89" s="190">
        <v>0.7643981481481481</v>
      </c>
    </row>
    <row r="90" spans="1:40" customFormat="1">
      <c r="A90" t="s">
        <v>370</v>
      </c>
      <c r="B90" t="s">
        <v>511</v>
      </c>
      <c r="C90" t="s">
        <v>512</v>
      </c>
      <c r="D90" t="s">
        <v>401</v>
      </c>
      <c r="E90" t="s">
        <v>402</v>
      </c>
      <c r="Q90" t="s">
        <v>512</v>
      </c>
      <c r="R90" t="s">
        <v>401</v>
      </c>
      <c r="S90" t="s">
        <v>1527</v>
      </c>
      <c r="AD90" t="s">
        <v>434</v>
      </c>
      <c r="AE90" t="s">
        <v>515</v>
      </c>
      <c r="AF90" t="s">
        <v>488</v>
      </c>
      <c r="AG90" t="s">
        <v>516</v>
      </c>
      <c r="AH90" t="s">
        <v>160</v>
      </c>
      <c r="AI90" s="85">
        <v>44962</v>
      </c>
      <c r="AJ90" s="190">
        <v>0.2495023148148148</v>
      </c>
    </row>
    <row r="91" spans="1:40" customFormat="1">
      <c r="A91" t="s">
        <v>370</v>
      </c>
      <c r="B91" t="s">
        <v>513</v>
      </c>
      <c r="AD91" t="s">
        <v>434</v>
      </c>
      <c r="AE91" t="s">
        <v>515</v>
      </c>
      <c r="AF91" t="s">
        <v>518</v>
      </c>
      <c r="AG91" t="s">
        <v>516</v>
      </c>
      <c r="AH91" t="s">
        <v>160</v>
      </c>
      <c r="AI91" s="85">
        <v>45295</v>
      </c>
      <c r="AJ91" s="190">
        <v>3.0092592592592595E-4</v>
      </c>
    </row>
    <row r="92" spans="1:40" customFormat="1">
      <c r="A92" t="s">
        <v>370</v>
      </c>
      <c r="B92" t="s">
        <v>514</v>
      </c>
      <c r="C92" t="s">
        <v>434</v>
      </c>
      <c r="D92" t="s">
        <v>515</v>
      </c>
      <c r="E92" t="s">
        <v>488</v>
      </c>
      <c r="F92" t="s">
        <v>516</v>
      </c>
      <c r="G92" t="s">
        <v>160</v>
      </c>
      <c r="H92" s="85">
        <v>44962</v>
      </c>
      <c r="I92" s="190">
        <v>0.2621412037037037</v>
      </c>
      <c r="Q92" t="s">
        <v>434</v>
      </c>
      <c r="R92" t="s">
        <v>515</v>
      </c>
      <c r="S92" t="s">
        <v>488</v>
      </c>
      <c r="T92" t="s">
        <v>516</v>
      </c>
      <c r="U92" t="s">
        <v>160</v>
      </c>
      <c r="V92" s="85">
        <v>44962</v>
      </c>
      <c r="W92" s="190">
        <v>0.27252314814814815</v>
      </c>
    </row>
    <row r="93" spans="1:40" customFormat="1">
      <c r="A93" t="s">
        <v>370</v>
      </c>
      <c r="B93" t="s">
        <v>517</v>
      </c>
      <c r="C93" t="s">
        <v>434</v>
      </c>
      <c r="D93" t="s">
        <v>515</v>
      </c>
      <c r="E93" t="s">
        <v>518</v>
      </c>
      <c r="F93" t="s">
        <v>516</v>
      </c>
      <c r="G93" t="s">
        <v>160</v>
      </c>
      <c r="H93" s="85">
        <v>45295</v>
      </c>
      <c r="I93" s="190">
        <v>3.4722222222222224E-4</v>
      </c>
      <c r="Q93" t="s">
        <v>434</v>
      </c>
      <c r="R93" t="s">
        <v>515</v>
      </c>
      <c r="S93" t="s">
        <v>518</v>
      </c>
      <c r="T93" t="s">
        <v>516</v>
      </c>
      <c r="U93" t="s">
        <v>160</v>
      </c>
      <c r="V93" s="85">
        <v>45295</v>
      </c>
      <c r="W93" s="190">
        <v>3.4722222222222224E-4</v>
      </c>
      <c r="AD93" t="s">
        <v>520</v>
      </c>
    </row>
    <row r="94" spans="1:40" customFormat="1">
      <c r="A94" t="s">
        <v>370</v>
      </c>
      <c r="B94" t="s">
        <v>519</v>
      </c>
      <c r="AD94" t="s">
        <v>522</v>
      </c>
    </row>
    <row r="95" spans="1:40" customFormat="1">
      <c r="A95" t="s">
        <v>370</v>
      </c>
      <c r="B95" t="s">
        <v>519</v>
      </c>
      <c r="C95" t="s">
        <v>520</v>
      </c>
      <c r="Q95" t="s">
        <v>520</v>
      </c>
    </row>
    <row r="96" spans="1:40" customFormat="1">
      <c r="A96" t="s">
        <v>370</v>
      </c>
      <c r="B96" t="s">
        <v>521</v>
      </c>
      <c r="C96" t="s">
        <v>522</v>
      </c>
      <c r="Q96" t="s">
        <v>522</v>
      </c>
      <c r="AD96" t="s">
        <v>1656</v>
      </c>
    </row>
    <row r="97" spans="1:36" customFormat="1">
      <c r="A97" t="s">
        <v>370</v>
      </c>
      <c r="B97" t="s">
        <v>523</v>
      </c>
    </row>
    <row r="98" spans="1:36" customFormat="1">
      <c r="A98" t="s">
        <v>370</v>
      </c>
      <c r="B98" t="s">
        <v>524</v>
      </c>
      <c r="C98" t="s">
        <v>525</v>
      </c>
      <c r="Q98" t="s">
        <v>1528</v>
      </c>
      <c r="AD98" t="s">
        <v>527</v>
      </c>
    </row>
    <row r="99" spans="1:36" customFormat="1">
      <c r="A99" t="s">
        <v>370</v>
      </c>
      <c r="B99" t="s">
        <v>526</v>
      </c>
      <c r="AD99" t="s">
        <v>529</v>
      </c>
    </row>
    <row r="100" spans="1:36" customFormat="1">
      <c r="A100" t="s">
        <v>370</v>
      </c>
      <c r="B100" t="s">
        <v>526</v>
      </c>
      <c r="C100" t="s">
        <v>527</v>
      </c>
      <c r="Q100" t="s">
        <v>527</v>
      </c>
    </row>
    <row r="101" spans="1:36" customFormat="1">
      <c r="A101" t="s">
        <v>370</v>
      </c>
      <c r="B101" t="s">
        <v>528</v>
      </c>
      <c r="C101" t="s">
        <v>529</v>
      </c>
      <c r="Q101" t="s">
        <v>529</v>
      </c>
      <c r="AD101" t="s">
        <v>532</v>
      </c>
      <c r="AE101">
        <v>1</v>
      </c>
      <c r="AF101" t="s">
        <v>533</v>
      </c>
      <c r="AG101">
        <v>22</v>
      </c>
      <c r="AH101" t="s">
        <v>534</v>
      </c>
      <c r="AI101" t="s">
        <v>535</v>
      </c>
      <c r="AJ101" s="190">
        <v>0</v>
      </c>
    </row>
    <row r="102" spans="1:36" customFormat="1">
      <c r="A102" t="s">
        <v>370</v>
      </c>
      <c r="B102" t="s">
        <v>530</v>
      </c>
      <c r="AD102" t="s">
        <v>532</v>
      </c>
      <c r="AE102">
        <v>2</v>
      </c>
      <c r="AF102" t="s">
        <v>533</v>
      </c>
      <c r="AG102">
        <v>22</v>
      </c>
      <c r="AH102" t="s">
        <v>534</v>
      </c>
      <c r="AI102" s="85">
        <v>45083</v>
      </c>
      <c r="AJ102" s="190">
        <v>0</v>
      </c>
    </row>
    <row r="103" spans="1:36" customFormat="1">
      <c r="A103" t="s">
        <v>370</v>
      </c>
      <c r="B103" t="s">
        <v>531</v>
      </c>
      <c r="C103" t="s">
        <v>532</v>
      </c>
      <c r="D103">
        <v>1</v>
      </c>
      <c r="E103" t="s">
        <v>533</v>
      </c>
      <c r="F103">
        <v>22</v>
      </c>
      <c r="G103" t="s">
        <v>534</v>
      </c>
      <c r="H103" t="s">
        <v>535</v>
      </c>
      <c r="I103" s="190">
        <v>0</v>
      </c>
      <c r="Q103" t="s">
        <v>532</v>
      </c>
      <c r="R103">
        <v>1</v>
      </c>
      <c r="S103" t="s">
        <v>533</v>
      </c>
      <c r="T103">
        <v>22</v>
      </c>
      <c r="U103" t="s">
        <v>534</v>
      </c>
      <c r="V103" t="s">
        <v>535</v>
      </c>
      <c r="W103" s="190">
        <v>0</v>
      </c>
      <c r="AD103" t="s">
        <v>532</v>
      </c>
      <c r="AE103">
        <v>3</v>
      </c>
      <c r="AF103" t="s">
        <v>533</v>
      </c>
      <c r="AG103">
        <v>22</v>
      </c>
      <c r="AH103" t="s">
        <v>534</v>
      </c>
      <c r="AI103" t="s">
        <v>538</v>
      </c>
      <c r="AJ103" s="190">
        <v>0</v>
      </c>
    </row>
    <row r="104" spans="1:36" customFormat="1">
      <c r="A104" t="s">
        <v>370</v>
      </c>
      <c r="B104" t="s">
        <v>536</v>
      </c>
      <c r="C104" t="s">
        <v>532</v>
      </c>
      <c r="D104">
        <v>2</v>
      </c>
      <c r="E104" t="s">
        <v>533</v>
      </c>
      <c r="F104">
        <v>22</v>
      </c>
      <c r="G104" t="s">
        <v>534</v>
      </c>
      <c r="H104" s="85">
        <v>45083</v>
      </c>
      <c r="I104" s="190">
        <v>0</v>
      </c>
      <c r="Q104" t="s">
        <v>532</v>
      </c>
      <c r="R104">
        <v>2</v>
      </c>
      <c r="S104" t="s">
        <v>533</v>
      </c>
      <c r="T104">
        <v>22</v>
      </c>
      <c r="U104" t="s">
        <v>534</v>
      </c>
      <c r="V104" s="85">
        <v>45083</v>
      </c>
      <c r="W104" s="190">
        <v>0</v>
      </c>
      <c r="AD104" t="s">
        <v>532</v>
      </c>
      <c r="AE104">
        <v>4</v>
      </c>
      <c r="AF104" t="s">
        <v>533</v>
      </c>
      <c r="AG104">
        <v>22</v>
      </c>
      <c r="AH104" t="s">
        <v>534</v>
      </c>
      <c r="AI104" s="85">
        <v>45084</v>
      </c>
      <c r="AJ104" s="190">
        <v>0</v>
      </c>
    </row>
    <row r="105" spans="1:36" customFormat="1">
      <c r="A105" t="s">
        <v>370</v>
      </c>
      <c r="B105" t="s">
        <v>537</v>
      </c>
      <c r="C105" t="s">
        <v>532</v>
      </c>
      <c r="D105">
        <v>3</v>
      </c>
      <c r="E105" t="s">
        <v>533</v>
      </c>
      <c r="F105">
        <v>22</v>
      </c>
      <c r="G105" t="s">
        <v>534</v>
      </c>
      <c r="H105" t="s">
        <v>538</v>
      </c>
      <c r="I105" s="190">
        <v>0</v>
      </c>
      <c r="Q105" t="s">
        <v>532</v>
      </c>
      <c r="R105">
        <v>3</v>
      </c>
      <c r="S105" t="s">
        <v>533</v>
      </c>
      <c r="T105">
        <v>22</v>
      </c>
      <c r="U105" t="s">
        <v>534</v>
      </c>
      <c r="V105" t="s">
        <v>538</v>
      </c>
      <c r="W105" s="190">
        <v>0</v>
      </c>
      <c r="AD105" t="s">
        <v>532</v>
      </c>
      <c r="AE105">
        <v>5</v>
      </c>
      <c r="AF105" t="s">
        <v>533</v>
      </c>
      <c r="AG105">
        <v>22</v>
      </c>
      <c r="AH105" t="s">
        <v>534</v>
      </c>
      <c r="AI105" t="s">
        <v>541</v>
      </c>
      <c r="AJ105" s="190">
        <v>0</v>
      </c>
    </row>
    <row r="106" spans="1:36" customFormat="1">
      <c r="A106" t="s">
        <v>370</v>
      </c>
      <c r="B106" t="s">
        <v>539</v>
      </c>
      <c r="C106" t="s">
        <v>532</v>
      </c>
      <c r="D106">
        <v>4</v>
      </c>
      <c r="E106" t="s">
        <v>533</v>
      </c>
      <c r="F106">
        <v>22</v>
      </c>
      <c r="G106" t="s">
        <v>534</v>
      </c>
      <c r="H106" s="85">
        <v>45084</v>
      </c>
      <c r="I106" s="190">
        <v>0</v>
      </c>
      <c r="Q106" t="s">
        <v>532</v>
      </c>
      <c r="R106">
        <v>4</v>
      </c>
      <c r="S106" t="s">
        <v>533</v>
      </c>
      <c r="T106">
        <v>22</v>
      </c>
      <c r="U106" t="s">
        <v>534</v>
      </c>
      <c r="V106" s="85">
        <v>45084</v>
      </c>
      <c r="W106" s="190">
        <v>0</v>
      </c>
      <c r="AD106" t="s">
        <v>532</v>
      </c>
      <c r="AE106">
        <v>6</v>
      </c>
      <c r="AF106" t="s">
        <v>533</v>
      </c>
      <c r="AG106">
        <v>22</v>
      </c>
      <c r="AH106" t="s">
        <v>534</v>
      </c>
      <c r="AI106" s="85">
        <v>45054</v>
      </c>
      <c r="AJ106" s="190">
        <v>0</v>
      </c>
    </row>
    <row r="107" spans="1:36" customFormat="1">
      <c r="A107" t="s">
        <v>370</v>
      </c>
      <c r="B107" t="s">
        <v>540</v>
      </c>
      <c r="C107" t="s">
        <v>532</v>
      </c>
      <c r="D107">
        <v>5</v>
      </c>
      <c r="E107" t="s">
        <v>533</v>
      </c>
      <c r="F107">
        <v>22</v>
      </c>
      <c r="G107" t="s">
        <v>534</v>
      </c>
      <c r="H107" t="s">
        <v>541</v>
      </c>
      <c r="I107" s="190">
        <v>0</v>
      </c>
      <c r="Q107" t="s">
        <v>532</v>
      </c>
      <c r="R107">
        <v>5</v>
      </c>
      <c r="S107" t="s">
        <v>533</v>
      </c>
      <c r="T107">
        <v>22</v>
      </c>
      <c r="U107" t="s">
        <v>534</v>
      </c>
      <c r="V107" t="s">
        <v>541</v>
      </c>
      <c r="W107" s="190">
        <v>0</v>
      </c>
      <c r="AD107" t="s">
        <v>532</v>
      </c>
      <c r="AE107">
        <v>7</v>
      </c>
      <c r="AF107" t="s">
        <v>533</v>
      </c>
      <c r="AG107">
        <v>22</v>
      </c>
      <c r="AH107" t="s">
        <v>534</v>
      </c>
      <c r="AI107" t="s">
        <v>544</v>
      </c>
      <c r="AJ107" s="190">
        <v>0</v>
      </c>
    </row>
    <row r="108" spans="1:36" customFormat="1">
      <c r="A108" t="s">
        <v>370</v>
      </c>
      <c r="B108" t="s">
        <v>542</v>
      </c>
      <c r="C108" t="s">
        <v>532</v>
      </c>
      <c r="D108">
        <v>6</v>
      </c>
      <c r="E108" t="s">
        <v>533</v>
      </c>
      <c r="F108">
        <v>22</v>
      </c>
      <c r="G108" t="s">
        <v>534</v>
      </c>
      <c r="H108" s="85">
        <v>45054</v>
      </c>
      <c r="I108" s="190">
        <v>0</v>
      </c>
      <c r="Q108" t="s">
        <v>532</v>
      </c>
      <c r="R108">
        <v>6</v>
      </c>
      <c r="S108" t="s">
        <v>533</v>
      </c>
      <c r="T108">
        <v>22</v>
      </c>
      <c r="U108" t="s">
        <v>534</v>
      </c>
      <c r="V108" s="85">
        <v>45054</v>
      </c>
      <c r="W108" s="190">
        <v>0</v>
      </c>
      <c r="AD108" t="s">
        <v>532</v>
      </c>
      <c r="AE108">
        <v>8</v>
      </c>
      <c r="AF108" t="s">
        <v>533</v>
      </c>
      <c r="AG108">
        <v>22</v>
      </c>
      <c r="AH108" t="s">
        <v>534</v>
      </c>
      <c r="AI108" s="85">
        <v>45025</v>
      </c>
      <c r="AJ108" s="190">
        <v>0</v>
      </c>
    </row>
    <row r="109" spans="1:36" customFormat="1">
      <c r="A109" t="s">
        <v>370</v>
      </c>
      <c r="B109" t="s">
        <v>543</v>
      </c>
      <c r="C109" t="s">
        <v>532</v>
      </c>
      <c r="D109">
        <v>7</v>
      </c>
      <c r="E109" t="s">
        <v>533</v>
      </c>
      <c r="F109">
        <v>22</v>
      </c>
      <c r="G109" t="s">
        <v>534</v>
      </c>
      <c r="H109" t="s">
        <v>544</v>
      </c>
      <c r="I109" s="190">
        <v>0</v>
      </c>
      <c r="Q109" t="s">
        <v>532</v>
      </c>
      <c r="R109">
        <v>7</v>
      </c>
      <c r="S109" t="s">
        <v>533</v>
      </c>
      <c r="T109">
        <v>22</v>
      </c>
      <c r="U109" t="s">
        <v>534</v>
      </c>
      <c r="V109" t="s">
        <v>544</v>
      </c>
      <c r="W109" s="190">
        <v>0</v>
      </c>
      <c r="AD109" t="s">
        <v>532</v>
      </c>
      <c r="AE109">
        <v>9</v>
      </c>
      <c r="AF109" t="s">
        <v>533</v>
      </c>
      <c r="AG109">
        <v>22</v>
      </c>
      <c r="AH109" t="s">
        <v>534</v>
      </c>
      <c r="AI109" t="s">
        <v>547</v>
      </c>
      <c r="AJ109" s="190">
        <v>0</v>
      </c>
    </row>
    <row r="110" spans="1:36" customFormat="1">
      <c r="A110" t="s">
        <v>370</v>
      </c>
      <c r="B110" t="s">
        <v>545</v>
      </c>
      <c r="C110" t="s">
        <v>532</v>
      </c>
      <c r="D110">
        <v>8</v>
      </c>
      <c r="E110" t="s">
        <v>533</v>
      </c>
      <c r="F110">
        <v>22</v>
      </c>
      <c r="G110" t="s">
        <v>534</v>
      </c>
      <c r="H110" s="85">
        <v>45025</v>
      </c>
      <c r="I110" s="190">
        <v>0</v>
      </c>
      <c r="Q110" t="s">
        <v>532</v>
      </c>
      <c r="R110">
        <v>8</v>
      </c>
      <c r="S110" t="s">
        <v>533</v>
      </c>
      <c r="T110">
        <v>22</v>
      </c>
      <c r="U110" t="s">
        <v>534</v>
      </c>
      <c r="V110" s="85">
        <v>45025</v>
      </c>
      <c r="W110" s="190">
        <v>0</v>
      </c>
      <c r="AD110" t="s">
        <v>532</v>
      </c>
      <c r="AE110">
        <v>10</v>
      </c>
      <c r="AF110" t="s">
        <v>533</v>
      </c>
      <c r="AG110">
        <v>22</v>
      </c>
      <c r="AH110" t="s">
        <v>534</v>
      </c>
      <c r="AI110" s="85">
        <v>45026</v>
      </c>
      <c r="AJ110" s="190">
        <v>0</v>
      </c>
    </row>
    <row r="111" spans="1:36" customFormat="1">
      <c r="A111" t="s">
        <v>370</v>
      </c>
      <c r="B111" t="s">
        <v>546</v>
      </c>
      <c r="C111" t="s">
        <v>532</v>
      </c>
      <c r="D111">
        <v>9</v>
      </c>
      <c r="E111" t="s">
        <v>533</v>
      </c>
      <c r="F111">
        <v>22</v>
      </c>
      <c r="G111" t="s">
        <v>534</v>
      </c>
      <c r="H111" t="s">
        <v>547</v>
      </c>
      <c r="I111" s="190">
        <v>0</v>
      </c>
      <c r="Q111" t="s">
        <v>532</v>
      </c>
      <c r="R111">
        <v>9</v>
      </c>
      <c r="S111" t="s">
        <v>533</v>
      </c>
      <c r="T111">
        <v>22</v>
      </c>
      <c r="U111" t="s">
        <v>534</v>
      </c>
      <c r="V111" t="s">
        <v>547</v>
      </c>
      <c r="W111" s="190">
        <v>0</v>
      </c>
      <c r="AD111" t="s">
        <v>532</v>
      </c>
      <c r="AE111">
        <v>11</v>
      </c>
      <c r="AF111" t="s">
        <v>533</v>
      </c>
      <c r="AG111">
        <v>22</v>
      </c>
      <c r="AH111" t="s">
        <v>534</v>
      </c>
      <c r="AI111" t="s">
        <v>550</v>
      </c>
      <c r="AJ111" s="190">
        <v>0</v>
      </c>
    </row>
    <row r="112" spans="1:36" customFormat="1">
      <c r="A112" t="s">
        <v>370</v>
      </c>
      <c r="B112" t="s">
        <v>548</v>
      </c>
      <c r="C112" t="s">
        <v>532</v>
      </c>
      <c r="D112">
        <v>10</v>
      </c>
      <c r="E112" t="s">
        <v>533</v>
      </c>
      <c r="F112">
        <v>22</v>
      </c>
      <c r="G112" t="s">
        <v>534</v>
      </c>
      <c r="H112" s="85">
        <v>45026</v>
      </c>
      <c r="I112" s="190">
        <v>0</v>
      </c>
      <c r="Q112" t="s">
        <v>532</v>
      </c>
      <c r="R112">
        <v>10</v>
      </c>
      <c r="S112" t="s">
        <v>533</v>
      </c>
      <c r="T112">
        <v>22</v>
      </c>
      <c r="U112" t="s">
        <v>534</v>
      </c>
      <c r="V112" s="85">
        <v>45026</v>
      </c>
      <c r="W112" s="190">
        <v>0</v>
      </c>
      <c r="AD112" t="s">
        <v>532</v>
      </c>
      <c r="AE112">
        <v>12</v>
      </c>
      <c r="AF112" t="s">
        <v>533</v>
      </c>
      <c r="AG112">
        <v>22</v>
      </c>
      <c r="AH112" t="s">
        <v>534</v>
      </c>
      <c r="AI112" s="85">
        <v>44996</v>
      </c>
      <c r="AJ112" s="190">
        <v>0</v>
      </c>
    </row>
    <row r="113" spans="1:36" customFormat="1">
      <c r="A113" t="s">
        <v>370</v>
      </c>
      <c r="B113" t="s">
        <v>549</v>
      </c>
      <c r="C113" t="s">
        <v>532</v>
      </c>
      <c r="D113">
        <v>11</v>
      </c>
      <c r="E113" t="s">
        <v>533</v>
      </c>
      <c r="F113">
        <v>22</v>
      </c>
      <c r="G113" t="s">
        <v>534</v>
      </c>
      <c r="H113" t="s">
        <v>550</v>
      </c>
      <c r="I113" s="190">
        <v>0</v>
      </c>
      <c r="Q113" t="s">
        <v>532</v>
      </c>
      <c r="R113">
        <v>11</v>
      </c>
      <c r="S113" t="s">
        <v>533</v>
      </c>
      <c r="T113">
        <v>22</v>
      </c>
      <c r="U113" t="s">
        <v>534</v>
      </c>
      <c r="V113" t="s">
        <v>550</v>
      </c>
      <c r="W113" s="190">
        <v>0</v>
      </c>
      <c r="AD113" t="s">
        <v>532</v>
      </c>
      <c r="AE113">
        <v>13</v>
      </c>
      <c r="AF113" t="s">
        <v>533</v>
      </c>
      <c r="AG113">
        <v>22</v>
      </c>
      <c r="AH113" t="s">
        <v>534</v>
      </c>
      <c r="AI113" t="s">
        <v>553</v>
      </c>
      <c r="AJ113" s="190">
        <v>0</v>
      </c>
    </row>
    <row r="114" spans="1:36" customFormat="1">
      <c r="A114" t="s">
        <v>370</v>
      </c>
      <c r="B114" t="s">
        <v>551</v>
      </c>
      <c r="C114" t="s">
        <v>532</v>
      </c>
      <c r="D114">
        <v>12</v>
      </c>
      <c r="E114" t="s">
        <v>533</v>
      </c>
      <c r="F114">
        <v>22</v>
      </c>
      <c r="G114" t="s">
        <v>534</v>
      </c>
      <c r="H114" s="85">
        <v>44996</v>
      </c>
      <c r="I114" s="190">
        <v>0</v>
      </c>
      <c r="Q114" t="s">
        <v>532</v>
      </c>
      <c r="R114">
        <v>12</v>
      </c>
      <c r="S114" t="s">
        <v>533</v>
      </c>
      <c r="T114">
        <v>22</v>
      </c>
      <c r="U114" t="s">
        <v>534</v>
      </c>
      <c r="V114" s="85">
        <v>44996</v>
      </c>
      <c r="W114" s="190">
        <v>0</v>
      </c>
      <c r="AD114" t="s">
        <v>532</v>
      </c>
      <c r="AE114">
        <v>14</v>
      </c>
      <c r="AF114" t="s">
        <v>533</v>
      </c>
      <c r="AG114">
        <v>22</v>
      </c>
      <c r="AH114" t="s">
        <v>534</v>
      </c>
      <c r="AI114" s="85">
        <v>44997</v>
      </c>
      <c r="AJ114" s="190">
        <v>0</v>
      </c>
    </row>
    <row r="115" spans="1:36" customFormat="1">
      <c r="A115" t="s">
        <v>370</v>
      </c>
      <c r="B115" t="s">
        <v>552</v>
      </c>
      <c r="C115" t="s">
        <v>532</v>
      </c>
      <c r="D115">
        <v>13</v>
      </c>
      <c r="E115" t="s">
        <v>533</v>
      </c>
      <c r="F115">
        <v>22</v>
      </c>
      <c r="G115" t="s">
        <v>534</v>
      </c>
      <c r="H115" t="s">
        <v>553</v>
      </c>
      <c r="I115" s="190">
        <v>0</v>
      </c>
      <c r="Q115" t="s">
        <v>532</v>
      </c>
      <c r="R115">
        <v>13</v>
      </c>
      <c r="S115" t="s">
        <v>533</v>
      </c>
      <c r="T115">
        <v>22</v>
      </c>
      <c r="U115" t="s">
        <v>534</v>
      </c>
      <c r="V115" t="s">
        <v>553</v>
      </c>
      <c r="W115" s="190">
        <v>0</v>
      </c>
      <c r="AD115" t="s">
        <v>532</v>
      </c>
      <c r="AE115">
        <v>15</v>
      </c>
      <c r="AF115" t="s">
        <v>533</v>
      </c>
      <c r="AG115">
        <v>22</v>
      </c>
      <c r="AH115" t="s">
        <v>534</v>
      </c>
      <c r="AI115" t="s">
        <v>556</v>
      </c>
      <c r="AJ115" s="190">
        <v>0</v>
      </c>
    </row>
    <row r="116" spans="1:36" customFormat="1">
      <c r="A116" t="s">
        <v>370</v>
      </c>
      <c r="B116" t="s">
        <v>554</v>
      </c>
      <c r="C116" t="s">
        <v>532</v>
      </c>
      <c r="D116">
        <v>14</v>
      </c>
      <c r="E116" t="s">
        <v>533</v>
      </c>
      <c r="F116">
        <v>22</v>
      </c>
      <c r="G116" t="s">
        <v>534</v>
      </c>
      <c r="H116" s="85">
        <v>44997</v>
      </c>
      <c r="I116" s="190">
        <v>0</v>
      </c>
      <c r="Q116" t="s">
        <v>532</v>
      </c>
      <c r="R116">
        <v>14</v>
      </c>
      <c r="S116" t="s">
        <v>533</v>
      </c>
      <c r="T116">
        <v>22</v>
      </c>
      <c r="U116" t="s">
        <v>534</v>
      </c>
      <c r="V116" s="85">
        <v>44997</v>
      </c>
      <c r="W116" s="190">
        <v>0</v>
      </c>
      <c r="AD116" t="s">
        <v>532</v>
      </c>
      <c r="AE116">
        <v>16</v>
      </c>
      <c r="AF116" t="s">
        <v>533</v>
      </c>
      <c r="AG116">
        <v>22</v>
      </c>
      <c r="AH116" t="s">
        <v>534</v>
      </c>
      <c r="AI116" s="85">
        <v>45323</v>
      </c>
      <c r="AJ116" s="190">
        <v>0</v>
      </c>
    </row>
    <row r="117" spans="1:36" customFormat="1">
      <c r="A117" t="s">
        <v>370</v>
      </c>
      <c r="B117" t="s">
        <v>555</v>
      </c>
      <c r="C117" t="s">
        <v>532</v>
      </c>
      <c r="D117">
        <v>15</v>
      </c>
      <c r="E117" t="s">
        <v>533</v>
      </c>
      <c r="F117">
        <v>22</v>
      </c>
      <c r="G117" t="s">
        <v>534</v>
      </c>
      <c r="H117" t="s">
        <v>556</v>
      </c>
      <c r="I117" s="190">
        <v>0</v>
      </c>
      <c r="Q117" t="s">
        <v>532</v>
      </c>
      <c r="R117">
        <v>15</v>
      </c>
      <c r="S117" t="s">
        <v>533</v>
      </c>
      <c r="T117">
        <v>22</v>
      </c>
      <c r="U117" t="s">
        <v>534</v>
      </c>
      <c r="V117" t="s">
        <v>556</v>
      </c>
      <c r="W117" s="190">
        <v>0</v>
      </c>
      <c r="AD117" t="s">
        <v>532</v>
      </c>
      <c r="AE117">
        <v>17</v>
      </c>
      <c r="AF117" t="s">
        <v>533</v>
      </c>
      <c r="AG117">
        <v>22</v>
      </c>
      <c r="AH117" t="s">
        <v>534</v>
      </c>
      <c r="AI117" t="s">
        <v>559</v>
      </c>
      <c r="AJ117" s="190">
        <v>0</v>
      </c>
    </row>
    <row r="118" spans="1:36" customFormat="1">
      <c r="A118" t="s">
        <v>370</v>
      </c>
      <c r="B118" t="s">
        <v>557</v>
      </c>
      <c r="C118" t="s">
        <v>532</v>
      </c>
      <c r="D118">
        <v>16</v>
      </c>
      <c r="E118" t="s">
        <v>533</v>
      </c>
      <c r="F118">
        <v>22</v>
      </c>
      <c r="G118" t="s">
        <v>534</v>
      </c>
      <c r="H118" s="85">
        <v>45323</v>
      </c>
      <c r="I118" s="190">
        <v>0</v>
      </c>
      <c r="Q118" t="s">
        <v>532</v>
      </c>
      <c r="R118">
        <v>16</v>
      </c>
      <c r="S118" t="s">
        <v>533</v>
      </c>
      <c r="T118">
        <v>22</v>
      </c>
      <c r="U118" t="s">
        <v>534</v>
      </c>
      <c r="V118" s="85">
        <v>45323</v>
      </c>
      <c r="W118" s="190">
        <v>0</v>
      </c>
      <c r="AD118" t="s">
        <v>532</v>
      </c>
      <c r="AE118">
        <v>18</v>
      </c>
      <c r="AF118" t="s">
        <v>533</v>
      </c>
      <c r="AG118">
        <v>22</v>
      </c>
      <c r="AH118" t="s">
        <v>534</v>
      </c>
      <c r="AI118" s="85">
        <v>45293</v>
      </c>
      <c r="AJ118" s="190">
        <v>0</v>
      </c>
    </row>
    <row r="119" spans="1:36" customFormat="1">
      <c r="A119" t="s">
        <v>370</v>
      </c>
      <c r="B119" t="s">
        <v>558</v>
      </c>
      <c r="C119" t="s">
        <v>532</v>
      </c>
      <c r="D119">
        <v>17</v>
      </c>
      <c r="E119" t="s">
        <v>533</v>
      </c>
      <c r="F119">
        <v>22</v>
      </c>
      <c r="G119" t="s">
        <v>534</v>
      </c>
      <c r="H119" t="s">
        <v>559</v>
      </c>
      <c r="I119" s="190">
        <v>0</v>
      </c>
      <c r="Q119" t="s">
        <v>532</v>
      </c>
      <c r="R119">
        <v>17</v>
      </c>
      <c r="S119" t="s">
        <v>533</v>
      </c>
      <c r="T119">
        <v>22</v>
      </c>
      <c r="U119" t="s">
        <v>534</v>
      </c>
      <c r="V119" t="s">
        <v>559</v>
      </c>
      <c r="W119" s="190">
        <v>0</v>
      </c>
      <c r="AD119" t="s">
        <v>532</v>
      </c>
      <c r="AE119">
        <v>19</v>
      </c>
      <c r="AF119" t="s">
        <v>533</v>
      </c>
      <c r="AG119">
        <v>22</v>
      </c>
      <c r="AH119" t="s">
        <v>534</v>
      </c>
      <c r="AI119" t="s">
        <v>562</v>
      </c>
      <c r="AJ119" s="190">
        <v>0</v>
      </c>
    </row>
    <row r="120" spans="1:36" customFormat="1">
      <c r="A120" t="s">
        <v>370</v>
      </c>
      <c r="B120" t="s">
        <v>560</v>
      </c>
      <c r="C120" t="s">
        <v>532</v>
      </c>
      <c r="D120">
        <v>18</v>
      </c>
      <c r="E120" t="s">
        <v>533</v>
      </c>
      <c r="F120">
        <v>22</v>
      </c>
      <c r="G120" t="s">
        <v>534</v>
      </c>
      <c r="H120" s="85">
        <v>45293</v>
      </c>
      <c r="I120" s="190">
        <v>0</v>
      </c>
      <c r="Q120" t="s">
        <v>532</v>
      </c>
      <c r="R120">
        <v>18</v>
      </c>
      <c r="S120" t="s">
        <v>533</v>
      </c>
      <c r="T120">
        <v>22</v>
      </c>
      <c r="U120" t="s">
        <v>534</v>
      </c>
      <c r="V120" s="85">
        <v>45293</v>
      </c>
      <c r="W120" s="190">
        <v>0</v>
      </c>
      <c r="AD120" t="s">
        <v>532</v>
      </c>
      <c r="AE120">
        <v>20</v>
      </c>
      <c r="AF120" t="s">
        <v>533</v>
      </c>
      <c r="AG120">
        <v>22</v>
      </c>
      <c r="AH120" t="s">
        <v>534</v>
      </c>
      <c r="AI120" s="85">
        <v>45325</v>
      </c>
      <c r="AJ120" s="190">
        <v>0</v>
      </c>
    </row>
    <row r="121" spans="1:36" customFormat="1">
      <c r="A121" t="s">
        <v>370</v>
      </c>
      <c r="B121" t="s">
        <v>561</v>
      </c>
      <c r="C121" t="s">
        <v>532</v>
      </c>
      <c r="D121">
        <v>19</v>
      </c>
      <c r="E121" t="s">
        <v>533</v>
      </c>
      <c r="F121">
        <v>22</v>
      </c>
      <c r="G121" t="s">
        <v>534</v>
      </c>
      <c r="H121" t="s">
        <v>562</v>
      </c>
      <c r="I121" s="190">
        <v>0</v>
      </c>
      <c r="Q121" t="s">
        <v>532</v>
      </c>
      <c r="R121">
        <v>19</v>
      </c>
      <c r="S121" t="s">
        <v>533</v>
      </c>
      <c r="T121">
        <v>22</v>
      </c>
      <c r="U121" t="s">
        <v>534</v>
      </c>
      <c r="V121" t="s">
        <v>562</v>
      </c>
      <c r="W121" s="190">
        <v>0</v>
      </c>
      <c r="AD121" t="s">
        <v>532</v>
      </c>
      <c r="AE121">
        <v>21</v>
      </c>
      <c r="AF121" t="s">
        <v>533</v>
      </c>
      <c r="AG121">
        <v>22</v>
      </c>
      <c r="AH121" t="s">
        <v>534</v>
      </c>
      <c r="AI121" t="s">
        <v>565</v>
      </c>
      <c r="AJ121" s="190">
        <v>0</v>
      </c>
    </row>
    <row r="122" spans="1:36" customFormat="1">
      <c r="A122" t="s">
        <v>370</v>
      </c>
      <c r="B122" t="s">
        <v>563</v>
      </c>
      <c r="C122" t="s">
        <v>532</v>
      </c>
      <c r="D122">
        <v>20</v>
      </c>
      <c r="E122" t="s">
        <v>533</v>
      </c>
      <c r="F122">
        <v>22</v>
      </c>
      <c r="G122" t="s">
        <v>534</v>
      </c>
      <c r="H122" s="85">
        <v>45325</v>
      </c>
      <c r="I122" s="190">
        <v>0</v>
      </c>
      <c r="Q122" t="s">
        <v>532</v>
      </c>
      <c r="R122">
        <v>20</v>
      </c>
      <c r="S122" t="s">
        <v>533</v>
      </c>
      <c r="T122">
        <v>22</v>
      </c>
      <c r="U122" t="s">
        <v>534</v>
      </c>
      <c r="V122" s="85">
        <v>45325</v>
      </c>
      <c r="W122" s="190">
        <v>0</v>
      </c>
      <c r="AD122" t="s">
        <v>532</v>
      </c>
      <c r="AE122">
        <v>22</v>
      </c>
      <c r="AF122" t="s">
        <v>533</v>
      </c>
      <c r="AG122">
        <v>22</v>
      </c>
      <c r="AH122" t="s">
        <v>534</v>
      </c>
      <c r="AI122" s="85">
        <v>45295</v>
      </c>
      <c r="AJ122" s="190">
        <v>0</v>
      </c>
    </row>
    <row r="123" spans="1:36" customFormat="1">
      <c r="A123" t="s">
        <v>370</v>
      </c>
      <c r="B123" t="s">
        <v>564</v>
      </c>
      <c r="C123" t="s">
        <v>532</v>
      </c>
      <c r="D123">
        <v>21</v>
      </c>
      <c r="E123" t="s">
        <v>533</v>
      </c>
      <c r="F123">
        <v>22</v>
      </c>
      <c r="G123" t="s">
        <v>534</v>
      </c>
      <c r="H123" t="s">
        <v>565</v>
      </c>
      <c r="I123" s="190">
        <v>0</v>
      </c>
      <c r="Q123" t="s">
        <v>532</v>
      </c>
      <c r="R123">
        <v>21</v>
      </c>
      <c r="S123" t="s">
        <v>533</v>
      </c>
      <c r="T123">
        <v>22</v>
      </c>
      <c r="U123" t="s">
        <v>534</v>
      </c>
      <c r="V123" t="s">
        <v>565</v>
      </c>
      <c r="W123" s="190">
        <v>0</v>
      </c>
    </row>
    <row r="124" spans="1:36" customFormat="1">
      <c r="A124" t="s">
        <v>370</v>
      </c>
      <c r="B124" t="s">
        <v>566</v>
      </c>
      <c r="C124" t="s">
        <v>532</v>
      </c>
      <c r="D124">
        <v>22</v>
      </c>
      <c r="E124" t="s">
        <v>533</v>
      </c>
      <c r="F124">
        <v>22</v>
      </c>
      <c r="G124" t="s">
        <v>534</v>
      </c>
      <c r="H124" s="85">
        <v>45295</v>
      </c>
      <c r="I124" s="190">
        <v>0</v>
      </c>
      <c r="Q124" t="s">
        <v>532</v>
      </c>
      <c r="R124">
        <v>22</v>
      </c>
      <c r="S124" t="s">
        <v>533</v>
      </c>
      <c r="T124">
        <v>22</v>
      </c>
      <c r="U124" t="s">
        <v>534</v>
      </c>
      <c r="V124" s="85">
        <v>45295</v>
      </c>
      <c r="W124" s="190">
        <v>0</v>
      </c>
      <c r="AD124" t="s">
        <v>568</v>
      </c>
      <c r="AE124" t="s">
        <v>569</v>
      </c>
    </row>
    <row r="125" spans="1:36" customFormat="1">
      <c r="A125" t="s">
        <v>370</v>
      </c>
      <c r="B125" t="s">
        <v>567</v>
      </c>
      <c r="AD125" t="s">
        <v>571</v>
      </c>
    </row>
    <row r="126" spans="1:36" customFormat="1">
      <c r="A126" t="s">
        <v>370</v>
      </c>
      <c r="B126" t="s">
        <v>567</v>
      </c>
      <c r="C126" t="s">
        <v>568</v>
      </c>
      <c r="D126" t="s">
        <v>569</v>
      </c>
      <c r="Q126" t="s">
        <v>568</v>
      </c>
      <c r="R126" t="s">
        <v>569</v>
      </c>
    </row>
    <row r="127" spans="1:36" customFormat="1">
      <c r="A127" t="s">
        <v>370</v>
      </c>
      <c r="B127" t="s">
        <v>570</v>
      </c>
      <c r="C127" t="s">
        <v>571</v>
      </c>
      <c r="Q127" t="s">
        <v>571</v>
      </c>
    </row>
    <row r="128" spans="1:36" customFormat="1">
      <c r="A128" t="s">
        <v>370</v>
      </c>
      <c r="B128" t="s">
        <v>572</v>
      </c>
      <c r="AD128" t="s">
        <v>532</v>
      </c>
      <c r="AE128">
        <v>1</v>
      </c>
    </row>
    <row r="129" spans="1:34" customFormat="1">
      <c r="A129" t="s">
        <v>370</v>
      </c>
      <c r="B129" t="s">
        <v>572</v>
      </c>
    </row>
    <row r="130" spans="1:34" customFormat="1">
      <c r="A130" t="s">
        <v>370</v>
      </c>
      <c r="B130" t="s">
        <v>572</v>
      </c>
      <c r="C130" t="s">
        <v>532</v>
      </c>
      <c r="D130">
        <v>1</v>
      </c>
      <c r="Q130" t="s">
        <v>532</v>
      </c>
      <c r="R130">
        <v>1</v>
      </c>
      <c r="AD130" t="s">
        <v>575</v>
      </c>
      <c r="AE130" t="s">
        <v>488</v>
      </c>
      <c r="AF130" t="s">
        <v>576</v>
      </c>
      <c r="AG130" t="s">
        <v>535</v>
      </c>
      <c r="AH130" s="190">
        <v>0</v>
      </c>
    </row>
    <row r="131" spans="1:34" customFormat="1">
      <c r="A131" t="s">
        <v>370</v>
      </c>
      <c r="B131" t="s">
        <v>573</v>
      </c>
      <c r="AD131" t="s">
        <v>532</v>
      </c>
      <c r="AE131" t="s">
        <v>488</v>
      </c>
      <c r="AF131" t="s">
        <v>576</v>
      </c>
      <c r="AG131" t="s">
        <v>535</v>
      </c>
      <c r="AH131" s="190">
        <v>0</v>
      </c>
    </row>
    <row r="132" spans="1:34" customFormat="1">
      <c r="A132" t="s">
        <v>370</v>
      </c>
      <c r="B132" t="s">
        <v>574</v>
      </c>
      <c r="C132" t="s">
        <v>575</v>
      </c>
      <c r="D132" t="s">
        <v>488</v>
      </c>
      <c r="E132" t="s">
        <v>576</v>
      </c>
      <c r="F132" t="s">
        <v>535</v>
      </c>
      <c r="G132" s="190">
        <v>0</v>
      </c>
      <c r="Q132" t="s">
        <v>575</v>
      </c>
      <c r="R132" t="s">
        <v>488</v>
      </c>
      <c r="S132" t="s">
        <v>576</v>
      </c>
      <c r="T132" t="s">
        <v>535</v>
      </c>
      <c r="U132" s="190">
        <v>0</v>
      </c>
      <c r="AD132" t="s">
        <v>532</v>
      </c>
      <c r="AE132" t="s">
        <v>518</v>
      </c>
      <c r="AF132" t="s">
        <v>576</v>
      </c>
      <c r="AG132" t="s">
        <v>535</v>
      </c>
      <c r="AH132" s="190">
        <v>2.8935185185185184E-4</v>
      </c>
    </row>
    <row r="133" spans="1:34" customFormat="1">
      <c r="A133" t="s">
        <v>370</v>
      </c>
      <c r="B133" t="s">
        <v>577</v>
      </c>
      <c r="C133" t="s">
        <v>532</v>
      </c>
      <c r="D133" t="s">
        <v>488</v>
      </c>
      <c r="E133" t="s">
        <v>576</v>
      </c>
      <c r="F133" t="s">
        <v>535</v>
      </c>
      <c r="G133" s="190">
        <v>0</v>
      </c>
      <c r="Q133" t="s">
        <v>532</v>
      </c>
      <c r="R133" t="s">
        <v>488</v>
      </c>
      <c r="S133" t="s">
        <v>576</v>
      </c>
      <c r="T133" t="s">
        <v>535</v>
      </c>
      <c r="U133" s="190">
        <v>0</v>
      </c>
    </row>
    <row r="134" spans="1:34" customFormat="1">
      <c r="A134" t="s">
        <v>370</v>
      </c>
      <c r="B134" t="s">
        <v>578</v>
      </c>
      <c r="C134" t="s">
        <v>532</v>
      </c>
      <c r="D134" t="s">
        <v>518</v>
      </c>
      <c r="E134" t="s">
        <v>576</v>
      </c>
      <c r="F134" t="s">
        <v>535</v>
      </c>
      <c r="G134" s="190">
        <v>3.1250000000000001E-4</v>
      </c>
      <c r="Q134" t="s">
        <v>532</v>
      </c>
      <c r="R134" t="s">
        <v>518</v>
      </c>
      <c r="S134" t="s">
        <v>576</v>
      </c>
      <c r="T134" t="s">
        <v>535</v>
      </c>
      <c r="U134" s="190">
        <v>3.1250000000000001E-4</v>
      </c>
      <c r="AD134" t="s">
        <v>581</v>
      </c>
      <c r="AE134" t="s">
        <v>582</v>
      </c>
      <c r="AF134" t="s">
        <v>583</v>
      </c>
    </row>
    <row r="135" spans="1:34" customFormat="1">
      <c r="A135" t="s">
        <v>370</v>
      </c>
      <c r="B135" t="s">
        <v>579</v>
      </c>
      <c r="AD135" t="s">
        <v>586</v>
      </c>
      <c r="AE135" t="s">
        <v>587</v>
      </c>
      <c r="AF135">
        <v>19.899999999999999</v>
      </c>
      <c r="AG135">
        <v>1</v>
      </c>
      <c r="AH135" t="s">
        <v>1657</v>
      </c>
    </row>
    <row r="136" spans="1:34" customFormat="1">
      <c r="A136" t="s">
        <v>370</v>
      </c>
      <c r="B136" t="s">
        <v>580</v>
      </c>
      <c r="C136" t="s">
        <v>581</v>
      </c>
      <c r="D136" t="s">
        <v>582</v>
      </c>
      <c r="E136" t="s">
        <v>583</v>
      </c>
      <c r="F136" t="s">
        <v>397</v>
      </c>
      <c r="G136" t="s">
        <v>584</v>
      </c>
      <c r="Q136" t="s">
        <v>581</v>
      </c>
      <c r="R136" t="s">
        <v>582</v>
      </c>
      <c r="S136" t="s">
        <v>583</v>
      </c>
      <c r="T136" t="s">
        <v>397</v>
      </c>
      <c r="U136" t="s">
        <v>584</v>
      </c>
      <c r="AD136" t="s">
        <v>592</v>
      </c>
      <c r="AE136" t="s">
        <v>587</v>
      </c>
      <c r="AF136">
        <v>19.600000000000001</v>
      </c>
      <c r="AG136">
        <v>1</v>
      </c>
      <c r="AH136" t="s">
        <v>1657</v>
      </c>
    </row>
    <row r="137" spans="1:34" customFormat="1">
      <c r="A137" t="s">
        <v>370</v>
      </c>
      <c r="B137" t="s">
        <v>585</v>
      </c>
      <c r="C137" t="s">
        <v>586</v>
      </c>
      <c r="D137" t="s">
        <v>587</v>
      </c>
      <c r="E137">
        <v>19.8</v>
      </c>
      <c r="F137" t="s">
        <v>588</v>
      </c>
      <c r="G137" t="s">
        <v>589</v>
      </c>
      <c r="H137" t="s">
        <v>590</v>
      </c>
      <c r="Q137" t="s">
        <v>586</v>
      </c>
      <c r="R137" t="s">
        <v>587</v>
      </c>
      <c r="S137">
        <v>20.100000000000001</v>
      </c>
      <c r="T137" t="s">
        <v>1529</v>
      </c>
      <c r="U137" t="s">
        <v>614</v>
      </c>
      <c r="V137" t="s">
        <v>1530</v>
      </c>
    </row>
    <row r="138" spans="1:34" customFormat="1">
      <c r="A138" t="s">
        <v>370</v>
      </c>
      <c r="B138" t="s">
        <v>591</v>
      </c>
      <c r="C138" t="s">
        <v>592</v>
      </c>
      <c r="D138" t="s">
        <v>587</v>
      </c>
      <c r="E138">
        <v>19.5</v>
      </c>
      <c r="F138" t="s">
        <v>588</v>
      </c>
      <c r="G138" t="s">
        <v>589</v>
      </c>
      <c r="H138" t="s">
        <v>590</v>
      </c>
      <c r="Q138" t="s">
        <v>592</v>
      </c>
      <c r="R138" t="s">
        <v>587</v>
      </c>
      <c r="S138">
        <v>19.8</v>
      </c>
      <c r="T138" t="s">
        <v>1529</v>
      </c>
      <c r="U138" t="s">
        <v>614</v>
      </c>
      <c r="V138" t="s">
        <v>1531</v>
      </c>
      <c r="AD138" t="s">
        <v>532</v>
      </c>
      <c r="AE138">
        <v>2</v>
      </c>
    </row>
    <row r="139" spans="1:34" customFormat="1">
      <c r="A139" t="s">
        <v>370</v>
      </c>
      <c r="B139" t="s">
        <v>593</v>
      </c>
      <c r="Q139" t="s">
        <v>532</v>
      </c>
      <c r="R139">
        <v>2</v>
      </c>
    </row>
    <row r="140" spans="1:34" customFormat="1">
      <c r="A140" t="s">
        <v>370</v>
      </c>
      <c r="B140" t="s">
        <v>593</v>
      </c>
      <c r="C140" t="s">
        <v>532</v>
      </c>
      <c r="D140">
        <v>2</v>
      </c>
      <c r="AD140" t="s">
        <v>575</v>
      </c>
      <c r="AE140" t="s">
        <v>488</v>
      </c>
      <c r="AF140" t="s">
        <v>576</v>
      </c>
      <c r="AG140" s="85">
        <v>45083</v>
      </c>
      <c r="AH140" s="190">
        <v>0</v>
      </c>
    </row>
    <row r="141" spans="1:34" customFormat="1">
      <c r="A141" t="s">
        <v>370</v>
      </c>
      <c r="B141" t="s">
        <v>594</v>
      </c>
      <c r="Q141" t="s">
        <v>575</v>
      </c>
      <c r="R141" t="s">
        <v>488</v>
      </c>
      <c r="S141" t="s">
        <v>576</v>
      </c>
      <c r="T141" s="85">
        <v>45083</v>
      </c>
      <c r="U141" s="190">
        <v>0</v>
      </c>
      <c r="AD141" t="s">
        <v>532</v>
      </c>
      <c r="AE141" t="s">
        <v>488</v>
      </c>
      <c r="AF141" t="s">
        <v>576</v>
      </c>
      <c r="AG141" s="85">
        <v>45083</v>
      </c>
      <c r="AH141" s="190">
        <v>0</v>
      </c>
    </row>
    <row r="142" spans="1:34" customFormat="1">
      <c r="A142" t="s">
        <v>370</v>
      </c>
      <c r="B142" t="s">
        <v>595</v>
      </c>
      <c r="C142" t="s">
        <v>575</v>
      </c>
      <c r="D142" t="s">
        <v>488</v>
      </c>
      <c r="E142" t="s">
        <v>576</v>
      </c>
      <c r="F142" s="85">
        <v>45083</v>
      </c>
      <c r="G142" s="190">
        <v>0</v>
      </c>
      <c r="Q142" t="s">
        <v>532</v>
      </c>
      <c r="R142" t="s">
        <v>488</v>
      </c>
      <c r="S142" t="s">
        <v>576</v>
      </c>
      <c r="T142" s="85">
        <v>45083</v>
      </c>
      <c r="U142" s="190">
        <v>0</v>
      </c>
      <c r="AD142" t="s">
        <v>532</v>
      </c>
      <c r="AE142" t="s">
        <v>518</v>
      </c>
      <c r="AF142" t="s">
        <v>576</v>
      </c>
      <c r="AG142" s="85">
        <v>45083</v>
      </c>
      <c r="AH142" s="190">
        <v>2.8935185185185184E-4</v>
      </c>
    </row>
    <row r="143" spans="1:34" customFormat="1">
      <c r="A143" t="s">
        <v>370</v>
      </c>
      <c r="B143" t="s">
        <v>596</v>
      </c>
      <c r="C143" t="s">
        <v>532</v>
      </c>
      <c r="D143" t="s">
        <v>488</v>
      </c>
      <c r="E143" t="s">
        <v>576</v>
      </c>
      <c r="F143" s="85">
        <v>45083</v>
      </c>
      <c r="G143" s="190">
        <v>0</v>
      </c>
      <c r="Q143" t="s">
        <v>532</v>
      </c>
      <c r="R143" t="s">
        <v>518</v>
      </c>
      <c r="S143" t="s">
        <v>576</v>
      </c>
      <c r="T143" s="85">
        <v>45083</v>
      </c>
      <c r="U143" s="190">
        <v>3.1250000000000001E-4</v>
      </c>
    </row>
    <row r="144" spans="1:34" customFormat="1">
      <c r="A144" t="s">
        <v>370</v>
      </c>
      <c r="B144" t="s">
        <v>597</v>
      </c>
      <c r="C144" t="s">
        <v>532</v>
      </c>
      <c r="D144" t="s">
        <v>518</v>
      </c>
      <c r="E144" t="s">
        <v>576</v>
      </c>
      <c r="F144" s="85">
        <v>45083</v>
      </c>
      <c r="G144" s="190">
        <v>3.1250000000000001E-4</v>
      </c>
      <c r="AD144" t="s">
        <v>581</v>
      </c>
      <c r="AE144" t="s">
        <v>582</v>
      </c>
      <c r="AF144" t="s">
        <v>583</v>
      </c>
    </row>
    <row r="145" spans="1:34" customFormat="1">
      <c r="A145" t="s">
        <v>370</v>
      </c>
      <c r="B145" t="s">
        <v>598</v>
      </c>
      <c r="Q145" t="s">
        <v>581</v>
      </c>
      <c r="R145" t="s">
        <v>582</v>
      </c>
      <c r="S145" t="s">
        <v>583</v>
      </c>
      <c r="T145" t="s">
        <v>397</v>
      </c>
      <c r="U145" t="s">
        <v>584</v>
      </c>
      <c r="AD145" t="s">
        <v>586</v>
      </c>
      <c r="AE145" t="s">
        <v>587</v>
      </c>
      <c r="AF145">
        <v>19.5</v>
      </c>
      <c r="AG145">
        <v>1</v>
      </c>
      <c r="AH145" t="s">
        <v>1657</v>
      </c>
    </row>
    <row r="146" spans="1:34" customFormat="1">
      <c r="A146" t="s">
        <v>370</v>
      </c>
      <c r="B146" t="s">
        <v>599</v>
      </c>
      <c r="C146" t="s">
        <v>581</v>
      </c>
      <c r="D146" t="s">
        <v>582</v>
      </c>
      <c r="E146" t="s">
        <v>583</v>
      </c>
      <c r="F146" t="s">
        <v>397</v>
      </c>
      <c r="G146" t="s">
        <v>584</v>
      </c>
      <c r="Q146" t="s">
        <v>586</v>
      </c>
      <c r="R146" t="s">
        <v>587</v>
      </c>
      <c r="S146">
        <v>19.8</v>
      </c>
      <c r="T146" t="s">
        <v>1529</v>
      </c>
      <c r="U146" t="s">
        <v>614</v>
      </c>
      <c r="V146" t="s">
        <v>1532</v>
      </c>
      <c r="AD146" t="s">
        <v>592</v>
      </c>
      <c r="AE146" t="s">
        <v>587</v>
      </c>
      <c r="AF146">
        <v>19.2</v>
      </c>
      <c r="AG146">
        <v>1</v>
      </c>
      <c r="AH146" t="s">
        <v>1657</v>
      </c>
    </row>
    <row r="147" spans="1:34" customFormat="1">
      <c r="A147" t="s">
        <v>370</v>
      </c>
      <c r="B147" t="s">
        <v>600</v>
      </c>
      <c r="C147" t="s">
        <v>586</v>
      </c>
      <c r="D147" t="s">
        <v>587</v>
      </c>
      <c r="E147">
        <v>19.399999999999999</v>
      </c>
      <c r="F147" t="s">
        <v>588</v>
      </c>
      <c r="G147" t="s">
        <v>589</v>
      </c>
      <c r="H147" t="s">
        <v>601</v>
      </c>
      <c r="Q147" t="s">
        <v>592</v>
      </c>
      <c r="R147" t="s">
        <v>587</v>
      </c>
      <c r="S147">
        <v>19.399999999999999</v>
      </c>
      <c r="T147" t="s">
        <v>1529</v>
      </c>
      <c r="U147" t="s">
        <v>614</v>
      </c>
      <c r="V147" t="s">
        <v>1533</v>
      </c>
    </row>
    <row r="148" spans="1:34" customFormat="1">
      <c r="A148" t="s">
        <v>370</v>
      </c>
      <c r="B148" t="s">
        <v>602</v>
      </c>
      <c r="C148" t="s">
        <v>592</v>
      </c>
      <c r="D148" t="s">
        <v>587</v>
      </c>
      <c r="E148">
        <v>19.100000000000001</v>
      </c>
      <c r="F148" t="s">
        <v>588</v>
      </c>
      <c r="G148" t="s">
        <v>589</v>
      </c>
      <c r="H148" t="s">
        <v>601</v>
      </c>
      <c r="Q148" t="s">
        <v>532</v>
      </c>
      <c r="R148">
        <v>3</v>
      </c>
      <c r="AD148" t="s">
        <v>532</v>
      </c>
      <c r="AE148">
        <v>3</v>
      </c>
    </row>
    <row r="149" spans="1:34" customFormat="1">
      <c r="A149" t="s">
        <v>370</v>
      </c>
      <c r="B149" t="s">
        <v>603</v>
      </c>
    </row>
    <row r="150" spans="1:34" customFormat="1">
      <c r="A150" t="s">
        <v>370</v>
      </c>
      <c r="B150" t="s">
        <v>604</v>
      </c>
      <c r="C150" t="s">
        <v>532</v>
      </c>
      <c r="D150">
        <v>3</v>
      </c>
      <c r="Q150" t="s">
        <v>575</v>
      </c>
      <c r="R150" t="s">
        <v>488</v>
      </c>
      <c r="S150" t="s">
        <v>576</v>
      </c>
      <c r="T150" t="s">
        <v>538</v>
      </c>
      <c r="U150" s="190">
        <v>0</v>
      </c>
      <c r="AD150" t="s">
        <v>575</v>
      </c>
      <c r="AE150" t="s">
        <v>488</v>
      </c>
      <c r="AF150" t="s">
        <v>576</v>
      </c>
      <c r="AG150" t="s">
        <v>538</v>
      </c>
      <c r="AH150" s="190">
        <v>0</v>
      </c>
    </row>
    <row r="151" spans="1:34" customFormat="1">
      <c r="A151" t="s">
        <v>370</v>
      </c>
      <c r="B151" t="s">
        <v>605</v>
      </c>
      <c r="Q151" t="s">
        <v>532</v>
      </c>
      <c r="R151" t="s">
        <v>488</v>
      </c>
      <c r="S151" t="s">
        <v>576</v>
      </c>
      <c r="T151" t="s">
        <v>538</v>
      </c>
      <c r="U151" s="190">
        <v>0</v>
      </c>
      <c r="AD151" t="s">
        <v>532</v>
      </c>
      <c r="AE151" t="s">
        <v>488</v>
      </c>
      <c r="AF151" t="s">
        <v>576</v>
      </c>
      <c r="AG151" t="s">
        <v>538</v>
      </c>
      <c r="AH151" s="190">
        <v>0</v>
      </c>
    </row>
    <row r="152" spans="1:34" customFormat="1">
      <c r="A152" t="s">
        <v>370</v>
      </c>
      <c r="B152" t="s">
        <v>606</v>
      </c>
      <c r="C152" t="s">
        <v>575</v>
      </c>
      <c r="D152" t="s">
        <v>488</v>
      </c>
      <c r="E152" t="s">
        <v>576</v>
      </c>
      <c r="F152" t="s">
        <v>538</v>
      </c>
      <c r="G152" s="190">
        <v>0</v>
      </c>
      <c r="Q152" t="s">
        <v>532</v>
      </c>
      <c r="R152" t="s">
        <v>518</v>
      </c>
      <c r="S152" t="s">
        <v>576</v>
      </c>
      <c r="T152" t="s">
        <v>538</v>
      </c>
      <c r="U152" s="190">
        <v>3.1250000000000001E-4</v>
      </c>
      <c r="AD152" t="s">
        <v>532</v>
      </c>
      <c r="AE152" t="s">
        <v>518</v>
      </c>
      <c r="AF152" t="s">
        <v>576</v>
      </c>
      <c r="AG152" t="s">
        <v>538</v>
      </c>
      <c r="AH152" s="190">
        <v>2.8935185185185184E-4</v>
      </c>
    </row>
    <row r="153" spans="1:34" customFormat="1">
      <c r="A153" t="s">
        <v>370</v>
      </c>
      <c r="B153" t="s">
        <v>607</v>
      </c>
      <c r="C153" t="s">
        <v>532</v>
      </c>
      <c r="D153" t="s">
        <v>488</v>
      </c>
      <c r="E153" t="s">
        <v>576</v>
      </c>
      <c r="F153" t="s">
        <v>538</v>
      </c>
      <c r="G153" s="190">
        <v>0</v>
      </c>
    </row>
    <row r="154" spans="1:34" customFormat="1">
      <c r="A154" t="s">
        <v>370</v>
      </c>
      <c r="B154" t="s">
        <v>608</v>
      </c>
      <c r="C154" t="s">
        <v>532</v>
      </c>
      <c r="D154" t="s">
        <v>518</v>
      </c>
      <c r="E154" t="s">
        <v>576</v>
      </c>
      <c r="F154" t="s">
        <v>538</v>
      </c>
      <c r="G154" s="190">
        <v>3.1250000000000001E-4</v>
      </c>
      <c r="Q154" t="s">
        <v>581</v>
      </c>
      <c r="R154" t="s">
        <v>582</v>
      </c>
      <c r="S154" t="s">
        <v>583</v>
      </c>
      <c r="T154" t="s">
        <v>397</v>
      </c>
      <c r="U154" t="s">
        <v>584</v>
      </c>
      <c r="AD154" t="s">
        <v>581</v>
      </c>
      <c r="AE154" t="s">
        <v>582</v>
      </c>
      <c r="AF154" t="s">
        <v>583</v>
      </c>
    </row>
    <row r="155" spans="1:34" customFormat="1">
      <c r="A155" t="s">
        <v>370</v>
      </c>
      <c r="B155" t="s">
        <v>609</v>
      </c>
      <c r="Q155" t="s">
        <v>586</v>
      </c>
      <c r="R155" t="s">
        <v>587</v>
      </c>
      <c r="S155">
        <v>19.399999999999999</v>
      </c>
      <c r="T155" t="s">
        <v>1529</v>
      </c>
      <c r="U155" t="s">
        <v>589</v>
      </c>
      <c r="V155" t="s">
        <v>1534</v>
      </c>
      <c r="AD155" t="s">
        <v>586</v>
      </c>
      <c r="AE155" t="s">
        <v>587</v>
      </c>
      <c r="AF155">
        <v>19.2</v>
      </c>
      <c r="AG155">
        <v>1</v>
      </c>
      <c r="AH155" t="s">
        <v>1657</v>
      </c>
    </row>
    <row r="156" spans="1:34" customFormat="1">
      <c r="A156" t="s">
        <v>370</v>
      </c>
      <c r="B156" t="s">
        <v>610</v>
      </c>
      <c r="C156" t="s">
        <v>581</v>
      </c>
      <c r="D156" t="s">
        <v>582</v>
      </c>
      <c r="E156" t="s">
        <v>583</v>
      </c>
      <c r="F156" t="s">
        <v>397</v>
      </c>
      <c r="G156" t="s">
        <v>584</v>
      </c>
      <c r="Q156" t="s">
        <v>592</v>
      </c>
      <c r="R156" t="s">
        <v>587</v>
      </c>
      <c r="S156">
        <v>19.100000000000001</v>
      </c>
      <c r="T156" t="s">
        <v>1529</v>
      </c>
      <c r="U156" t="s">
        <v>614</v>
      </c>
      <c r="V156" t="s">
        <v>1535</v>
      </c>
      <c r="AD156" t="s">
        <v>592</v>
      </c>
      <c r="AE156" t="s">
        <v>587</v>
      </c>
      <c r="AF156">
        <v>18.899999999999999</v>
      </c>
      <c r="AG156">
        <v>1</v>
      </c>
      <c r="AH156" t="s">
        <v>1657</v>
      </c>
    </row>
    <row r="157" spans="1:34" customFormat="1">
      <c r="A157" t="s">
        <v>370</v>
      </c>
      <c r="B157" t="s">
        <v>611</v>
      </c>
      <c r="C157" t="s">
        <v>586</v>
      </c>
      <c r="D157" t="s">
        <v>587</v>
      </c>
      <c r="E157">
        <v>19</v>
      </c>
      <c r="F157" t="s">
        <v>588</v>
      </c>
      <c r="G157" t="s">
        <v>589</v>
      </c>
      <c r="H157" t="s">
        <v>612</v>
      </c>
      <c r="Q157" t="s">
        <v>532</v>
      </c>
      <c r="R157">
        <v>4</v>
      </c>
    </row>
    <row r="158" spans="1:34" customFormat="1">
      <c r="A158" t="s">
        <v>370</v>
      </c>
      <c r="B158" t="s">
        <v>613</v>
      </c>
      <c r="C158" t="s">
        <v>592</v>
      </c>
      <c r="D158" t="s">
        <v>587</v>
      </c>
      <c r="E158">
        <v>18.7</v>
      </c>
      <c r="F158" t="s">
        <v>588</v>
      </c>
      <c r="G158" t="s">
        <v>614</v>
      </c>
      <c r="H158" t="s">
        <v>615</v>
      </c>
      <c r="AD158" t="s">
        <v>532</v>
      </c>
      <c r="AE158">
        <v>4</v>
      </c>
    </row>
    <row r="159" spans="1:34" customFormat="1">
      <c r="A159" t="s">
        <v>370</v>
      </c>
      <c r="B159" t="s">
        <v>616</v>
      </c>
      <c r="Q159" t="s">
        <v>575</v>
      </c>
      <c r="R159" t="s">
        <v>488</v>
      </c>
      <c r="S159" t="s">
        <v>576</v>
      </c>
      <c r="T159" s="85">
        <v>45084</v>
      </c>
      <c r="U159" s="190">
        <v>0</v>
      </c>
    </row>
    <row r="160" spans="1:34" customFormat="1">
      <c r="A160" t="s">
        <v>370</v>
      </c>
      <c r="B160" t="s">
        <v>617</v>
      </c>
      <c r="C160" t="s">
        <v>532</v>
      </c>
      <c r="D160">
        <v>4</v>
      </c>
      <c r="Q160" t="s">
        <v>532</v>
      </c>
      <c r="R160" t="s">
        <v>488</v>
      </c>
      <c r="S160" t="s">
        <v>576</v>
      </c>
      <c r="T160" s="85">
        <v>45084</v>
      </c>
      <c r="U160" s="190">
        <v>0</v>
      </c>
      <c r="AD160" t="s">
        <v>575</v>
      </c>
      <c r="AE160" t="s">
        <v>488</v>
      </c>
      <c r="AF160" t="s">
        <v>576</v>
      </c>
      <c r="AG160" s="85">
        <v>45084</v>
      </c>
      <c r="AH160" s="190">
        <v>0</v>
      </c>
    </row>
    <row r="161" spans="1:34" customFormat="1">
      <c r="A161" t="s">
        <v>370</v>
      </c>
      <c r="B161" t="s">
        <v>618</v>
      </c>
      <c r="Q161" t="s">
        <v>532</v>
      </c>
      <c r="R161" t="s">
        <v>518</v>
      </c>
      <c r="S161" t="s">
        <v>576</v>
      </c>
      <c r="T161" s="85">
        <v>45084</v>
      </c>
      <c r="U161" s="190">
        <v>3.1250000000000001E-4</v>
      </c>
      <c r="AD161" t="s">
        <v>532</v>
      </c>
      <c r="AE161" t="s">
        <v>488</v>
      </c>
      <c r="AF161" t="s">
        <v>576</v>
      </c>
      <c r="AG161" s="85">
        <v>45084</v>
      </c>
      <c r="AH161" s="190">
        <v>0</v>
      </c>
    </row>
    <row r="162" spans="1:34" customFormat="1">
      <c r="A162" t="s">
        <v>370</v>
      </c>
      <c r="B162" t="s">
        <v>619</v>
      </c>
      <c r="C162" t="s">
        <v>575</v>
      </c>
      <c r="D162" t="s">
        <v>488</v>
      </c>
      <c r="E162" t="s">
        <v>576</v>
      </c>
      <c r="F162" s="85">
        <v>45084</v>
      </c>
      <c r="G162" s="190">
        <v>0</v>
      </c>
      <c r="AD162" t="s">
        <v>532</v>
      </c>
      <c r="AE162" t="s">
        <v>518</v>
      </c>
      <c r="AF162" t="s">
        <v>576</v>
      </c>
      <c r="AG162" s="85">
        <v>45084</v>
      </c>
      <c r="AH162" s="190">
        <v>2.8935185185185184E-4</v>
      </c>
    </row>
    <row r="163" spans="1:34" customFormat="1">
      <c r="A163" t="s">
        <v>370</v>
      </c>
      <c r="B163" t="s">
        <v>620</v>
      </c>
      <c r="C163" t="s">
        <v>532</v>
      </c>
      <c r="D163" t="s">
        <v>488</v>
      </c>
      <c r="E163" t="s">
        <v>576</v>
      </c>
      <c r="F163" s="85">
        <v>45084</v>
      </c>
      <c r="G163" s="190">
        <v>0</v>
      </c>
      <c r="Q163" t="s">
        <v>581</v>
      </c>
      <c r="R163" t="s">
        <v>582</v>
      </c>
      <c r="S163" t="s">
        <v>583</v>
      </c>
      <c r="T163" t="s">
        <v>397</v>
      </c>
      <c r="U163" t="s">
        <v>584</v>
      </c>
    </row>
    <row r="164" spans="1:34" customFormat="1">
      <c r="A164" t="s">
        <v>370</v>
      </c>
      <c r="B164" t="s">
        <v>621</v>
      </c>
      <c r="C164" t="s">
        <v>532</v>
      </c>
      <c r="D164" t="s">
        <v>518</v>
      </c>
      <c r="E164" t="s">
        <v>576</v>
      </c>
      <c r="F164" s="85">
        <v>45084</v>
      </c>
      <c r="G164" s="190">
        <v>3.1250000000000001E-4</v>
      </c>
      <c r="Q164" t="s">
        <v>586</v>
      </c>
      <c r="R164" t="s">
        <v>587</v>
      </c>
      <c r="S164">
        <v>19.100000000000001</v>
      </c>
      <c r="T164" t="s">
        <v>1529</v>
      </c>
      <c r="U164" t="s">
        <v>589</v>
      </c>
      <c r="V164" t="s">
        <v>1530</v>
      </c>
      <c r="AD164" t="s">
        <v>581</v>
      </c>
      <c r="AE164" t="s">
        <v>582</v>
      </c>
      <c r="AF164" t="s">
        <v>583</v>
      </c>
    </row>
    <row r="165" spans="1:34" customFormat="1">
      <c r="A165" t="s">
        <v>370</v>
      </c>
      <c r="B165" t="s">
        <v>622</v>
      </c>
      <c r="Q165" t="s">
        <v>592</v>
      </c>
      <c r="R165" t="s">
        <v>587</v>
      </c>
      <c r="S165">
        <v>18.7</v>
      </c>
      <c r="T165" t="s">
        <v>1529</v>
      </c>
      <c r="U165" t="s">
        <v>614</v>
      </c>
      <c r="V165" t="s">
        <v>1536</v>
      </c>
      <c r="AD165" t="s">
        <v>586</v>
      </c>
      <c r="AE165" t="s">
        <v>587</v>
      </c>
      <c r="AF165">
        <v>18.8</v>
      </c>
      <c r="AG165">
        <v>1</v>
      </c>
      <c r="AH165" t="s">
        <v>1657</v>
      </c>
    </row>
    <row r="166" spans="1:34" customFormat="1">
      <c r="A166" t="s">
        <v>370</v>
      </c>
      <c r="B166" t="s">
        <v>623</v>
      </c>
      <c r="C166" t="s">
        <v>581</v>
      </c>
      <c r="D166" t="s">
        <v>582</v>
      </c>
      <c r="E166" t="s">
        <v>583</v>
      </c>
      <c r="F166" t="s">
        <v>397</v>
      </c>
      <c r="G166" t="s">
        <v>584</v>
      </c>
      <c r="Q166" t="s">
        <v>532</v>
      </c>
      <c r="R166">
        <v>5</v>
      </c>
      <c r="AD166" t="s">
        <v>592</v>
      </c>
      <c r="AE166" t="s">
        <v>587</v>
      </c>
      <c r="AF166">
        <v>18.399999999999999</v>
      </c>
      <c r="AG166">
        <v>1</v>
      </c>
      <c r="AH166" t="s">
        <v>1657</v>
      </c>
    </row>
    <row r="167" spans="1:34" customFormat="1">
      <c r="A167" t="s">
        <v>370</v>
      </c>
      <c r="B167" t="s">
        <v>624</v>
      </c>
      <c r="C167" t="s">
        <v>586</v>
      </c>
      <c r="D167" t="s">
        <v>587</v>
      </c>
      <c r="E167">
        <v>18.7</v>
      </c>
      <c r="F167" t="s">
        <v>588</v>
      </c>
      <c r="G167" t="s">
        <v>589</v>
      </c>
      <c r="H167" t="s">
        <v>625</v>
      </c>
    </row>
    <row r="168" spans="1:34" customFormat="1">
      <c r="A168" t="s">
        <v>370</v>
      </c>
      <c r="B168" t="s">
        <v>626</v>
      </c>
      <c r="C168" t="s">
        <v>592</v>
      </c>
      <c r="D168" t="s">
        <v>587</v>
      </c>
      <c r="E168">
        <v>18.399999999999999</v>
      </c>
      <c r="F168" t="s">
        <v>588</v>
      </c>
      <c r="G168" t="s">
        <v>589</v>
      </c>
      <c r="H168" t="s">
        <v>627</v>
      </c>
      <c r="Q168" t="s">
        <v>575</v>
      </c>
      <c r="R168" t="s">
        <v>488</v>
      </c>
      <c r="S168" t="s">
        <v>576</v>
      </c>
      <c r="T168" t="s">
        <v>541</v>
      </c>
      <c r="U168" s="190">
        <v>0</v>
      </c>
      <c r="AD168" t="s">
        <v>532</v>
      </c>
      <c r="AE168">
        <v>5</v>
      </c>
    </row>
    <row r="169" spans="1:34" customFormat="1">
      <c r="A169" t="s">
        <v>370</v>
      </c>
      <c r="B169" t="s">
        <v>628</v>
      </c>
      <c r="Q169" t="s">
        <v>532</v>
      </c>
      <c r="R169" t="s">
        <v>488</v>
      </c>
      <c r="S169" t="s">
        <v>576</v>
      </c>
      <c r="T169" t="s">
        <v>541</v>
      </c>
      <c r="U169" s="190">
        <v>0</v>
      </c>
    </row>
    <row r="170" spans="1:34" customFormat="1">
      <c r="A170" t="s">
        <v>370</v>
      </c>
      <c r="B170" t="s">
        <v>629</v>
      </c>
      <c r="C170" t="s">
        <v>532</v>
      </c>
      <c r="D170">
        <v>5</v>
      </c>
      <c r="Q170" t="s">
        <v>532</v>
      </c>
      <c r="R170" t="s">
        <v>518</v>
      </c>
      <c r="S170" t="s">
        <v>576</v>
      </c>
      <c r="T170" t="s">
        <v>541</v>
      </c>
      <c r="U170" s="190">
        <v>3.1250000000000001E-4</v>
      </c>
      <c r="AD170" t="s">
        <v>575</v>
      </c>
      <c r="AE170" t="s">
        <v>488</v>
      </c>
      <c r="AF170" t="s">
        <v>576</v>
      </c>
      <c r="AG170" t="s">
        <v>541</v>
      </c>
      <c r="AH170" s="190">
        <v>0</v>
      </c>
    </row>
    <row r="171" spans="1:34" customFormat="1">
      <c r="A171" t="s">
        <v>370</v>
      </c>
      <c r="B171" t="s">
        <v>630</v>
      </c>
      <c r="AD171" t="s">
        <v>532</v>
      </c>
      <c r="AE171" t="s">
        <v>488</v>
      </c>
      <c r="AF171" t="s">
        <v>576</v>
      </c>
      <c r="AG171" t="s">
        <v>541</v>
      </c>
      <c r="AH171" s="190">
        <v>0</v>
      </c>
    </row>
    <row r="172" spans="1:34" customFormat="1">
      <c r="A172" t="s">
        <v>370</v>
      </c>
      <c r="B172" t="s">
        <v>631</v>
      </c>
      <c r="C172" t="s">
        <v>575</v>
      </c>
      <c r="D172" t="s">
        <v>488</v>
      </c>
      <c r="E172" t="s">
        <v>576</v>
      </c>
      <c r="F172" t="s">
        <v>541</v>
      </c>
      <c r="G172" s="190">
        <v>0</v>
      </c>
      <c r="Q172" t="s">
        <v>581</v>
      </c>
      <c r="R172" t="s">
        <v>582</v>
      </c>
      <c r="S172" t="s">
        <v>583</v>
      </c>
      <c r="T172" t="s">
        <v>397</v>
      </c>
      <c r="U172" t="s">
        <v>584</v>
      </c>
      <c r="AD172" t="s">
        <v>532</v>
      </c>
      <c r="AE172" t="s">
        <v>518</v>
      </c>
      <c r="AF172" t="s">
        <v>576</v>
      </c>
      <c r="AG172" t="s">
        <v>541</v>
      </c>
      <c r="AH172" s="190">
        <v>2.8935185185185184E-4</v>
      </c>
    </row>
    <row r="173" spans="1:34" customFormat="1">
      <c r="A173" t="s">
        <v>370</v>
      </c>
      <c r="B173" t="s">
        <v>632</v>
      </c>
      <c r="C173" t="s">
        <v>532</v>
      </c>
      <c r="D173" t="s">
        <v>488</v>
      </c>
      <c r="E173" t="s">
        <v>576</v>
      </c>
      <c r="F173" t="s">
        <v>541</v>
      </c>
      <c r="G173" s="190">
        <v>0</v>
      </c>
      <c r="Q173" t="s">
        <v>586</v>
      </c>
      <c r="R173" t="s">
        <v>587</v>
      </c>
      <c r="S173">
        <v>18.8</v>
      </c>
      <c r="T173" t="s">
        <v>1529</v>
      </c>
      <c r="U173" t="s">
        <v>614</v>
      </c>
      <c r="V173" t="s">
        <v>1537</v>
      </c>
    </row>
    <row r="174" spans="1:34" customFormat="1">
      <c r="A174" t="s">
        <v>370</v>
      </c>
      <c r="B174" t="s">
        <v>633</v>
      </c>
      <c r="C174" t="s">
        <v>532</v>
      </c>
      <c r="D174" t="s">
        <v>518</v>
      </c>
      <c r="E174" t="s">
        <v>576</v>
      </c>
      <c r="F174" t="s">
        <v>541</v>
      </c>
      <c r="G174" s="190">
        <v>3.1250000000000001E-4</v>
      </c>
      <c r="Q174" t="s">
        <v>592</v>
      </c>
      <c r="R174" t="s">
        <v>587</v>
      </c>
      <c r="S174">
        <v>18.399999999999999</v>
      </c>
      <c r="T174" t="s">
        <v>1529</v>
      </c>
      <c r="U174" t="s">
        <v>614</v>
      </c>
      <c r="V174" t="s">
        <v>1538</v>
      </c>
      <c r="AD174" t="s">
        <v>581</v>
      </c>
      <c r="AE174" t="s">
        <v>582</v>
      </c>
      <c r="AF174" t="s">
        <v>583</v>
      </c>
    </row>
    <row r="175" spans="1:34" customFormat="1">
      <c r="A175" t="s">
        <v>370</v>
      </c>
      <c r="B175" t="s">
        <v>634</v>
      </c>
      <c r="Q175" t="s">
        <v>532</v>
      </c>
      <c r="R175">
        <v>6</v>
      </c>
      <c r="AD175" t="s">
        <v>586</v>
      </c>
      <c r="AE175" t="s">
        <v>587</v>
      </c>
      <c r="AF175">
        <v>18.5</v>
      </c>
      <c r="AG175">
        <v>1</v>
      </c>
      <c r="AH175" t="s">
        <v>1657</v>
      </c>
    </row>
    <row r="176" spans="1:34" customFormat="1">
      <c r="A176" t="s">
        <v>370</v>
      </c>
      <c r="B176" t="s">
        <v>635</v>
      </c>
      <c r="C176" t="s">
        <v>581</v>
      </c>
      <c r="D176" t="s">
        <v>582</v>
      </c>
      <c r="E176" t="s">
        <v>583</v>
      </c>
      <c r="F176" t="s">
        <v>397</v>
      </c>
      <c r="G176" t="s">
        <v>584</v>
      </c>
      <c r="AD176" t="s">
        <v>592</v>
      </c>
      <c r="AE176" t="s">
        <v>587</v>
      </c>
      <c r="AF176">
        <v>18.100000000000001</v>
      </c>
      <c r="AG176">
        <v>1</v>
      </c>
      <c r="AH176" t="s">
        <v>1657</v>
      </c>
    </row>
    <row r="177" spans="1:34" customFormat="1">
      <c r="A177" t="s">
        <v>370</v>
      </c>
      <c r="B177" t="s">
        <v>636</v>
      </c>
      <c r="C177" t="s">
        <v>586</v>
      </c>
      <c r="D177" t="s">
        <v>587</v>
      </c>
      <c r="E177">
        <v>18.399999999999999</v>
      </c>
      <c r="F177" t="s">
        <v>588</v>
      </c>
      <c r="G177" t="s">
        <v>614</v>
      </c>
      <c r="H177" t="s">
        <v>637</v>
      </c>
      <c r="Q177" t="s">
        <v>575</v>
      </c>
      <c r="R177" t="s">
        <v>488</v>
      </c>
      <c r="S177" t="s">
        <v>576</v>
      </c>
      <c r="T177" s="85">
        <v>45054</v>
      </c>
      <c r="U177" s="190">
        <v>0</v>
      </c>
    </row>
    <row r="178" spans="1:34" customFormat="1">
      <c r="A178" t="s">
        <v>370</v>
      </c>
      <c r="B178" t="s">
        <v>638</v>
      </c>
      <c r="C178" t="s">
        <v>592</v>
      </c>
      <c r="D178" t="s">
        <v>587</v>
      </c>
      <c r="E178">
        <v>18.100000000000001</v>
      </c>
      <c r="F178" t="s">
        <v>588</v>
      </c>
      <c r="G178" t="s">
        <v>614</v>
      </c>
      <c r="H178" t="s">
        <v>639</v>
      </c>
      <c r="Q178" t="s">
        <v>532</v>
      </c>
      <c r="R178" t="s">
        <v>488</v>
      </c>
      <c r="S178" t="s">
        <v>576</v>
      </c>
      <c r="T178" s="85">
        <v>45054</v>
      </c>
      <c r="U178" s="190">
        <v>0</v>
      </c>
      <c r="AD178" t="s">
        <v>532</v>
      </c>
      <c r="AE178">
        <v>6</v>
      </c>
    </row>
    <row r="179" spans="1:34" customFormat="1">
      <c r="A179" t="s">
        <v>370</v>
      </c>
      <c r="B179" t="s">
        <v>640</v>
      </c>
      <c r="Q179" t="s">
        <v>532</v>
      </c>
      <c r="R179" t="s">
        <v>518</v>
      </c>
      <c r="S179" t="s">
        <v>576</v>
      </c>
      <c r="T179" s="85">
        <v>45054</v>
      </c>
      <c r="U179" s="190">
        <v>3.1250000000000001E-4</v>
      </c>
    </row>
    <row r="180" spans="1:34" customFormat="1">
      <c r="A180" t="s">
        <v>370</v>
      </c>
      <c r="B180" t="s">
        <v>640</v>
      </c>
      <c r="C180" t="s">
        <v>532</v>
      </c>
      <c r="D180">
        <v>6</v>
      </c>
      <c r="AD180" t="s">
        <v>575</v>
      </c>
      <c r="AE180" t="s">
        <v>488</v>
      </c>
      <c r="AF180" t="s">
        <v>576</v>
      </c>
      <c r="AG180" s="85">
        <v>45054</v>
      </c>
      <c r="AH180" s="190">
        <v>0</v>
      </c>
    </row>
    <row r="181" spans="1:34" customFormat="1">
      <c r="A181" t="s">
        <v>370</v>
      </c>
      <c r="B181" t="s">
        <v>641</v>
      </c>
      <c r="Q181" t="s">
        <v>581</v>
      </c>
      <c r="R181" t="s">
        <v>582</v>
      </c>
      <c r="S181" t="s">
        <v>583</v>
      </c>
      <c r="T181" t="s">
        <v>397</v>
      </c>
      <c r="U181" t="s">
        <v>584</v>
      </c>
      <c r="AD181" t="s">
        <v>532</v>
      </c>
      <c r="AE181" t="s">
        <v>488</v>
      </c>
      <c r="AF181" t="s">
        <v>576</v>
      </c>
      <c r="AG181" s="85">
        <v>45054</v>
      </c>
      <c r="AH181" s="190">
        <v>0</v>
      </c>
    </row>
    <row r="182" spans="1:34" customFormat="1">
      <c r="A182" t="s">
        <v>370</v>
      </c>
      <c r="B182" t="s">
        <v>642</v>
      </c>
      <c r="C182" t="s">
        <v>575</v>
      </c>
      <c r="D182" t="s">
        <v>488</v>
      </c>
      <c r="E182" t="s">
        <v>576</v>
      </c>
      <c r="F182" s="85">
        <v>45054</v>
      </c>
      <c r="G182" s="190">
        <v>0</v>
      </c>
      <c r="Q182" t="s">
        <v>586</v>
      </c>
      <c r="R182" t="s">
        <v>587</v>
      </c>
      <c r="S182">
        <v>18.5</v>
      </c>
      <c r="T182" t="s">
        <v>1529</v>
      </c>
      <c r="U182" t="s">
        <v>614</v>
      </c>
      <c r="V182" t="s">
        <v>1537</v>
      </c>
      <c r="AD182" t="s">
        <v>532</v>
      </c>
      <c r="AE182" t="s">
        <v>518</v>
      </c>
      <c r="AF182" t="s">
        <v>576</v>
      </c>
      <c r="AG182" s="85">
        <v>45054</v>
      </c>
      <c r="AH182" s="190">
        <v>2.8935185185185184E-4</v>
      </c>
    </row>
    <row r="183" spans="1:34" customFormat="1">
      <c r="A183" t="s">
        <v>370</v>
      </c>
      <c r="B183" t="s">
        <v>643</v>
      </c>
      <c r="C183" t="s">
        <v>532</v>
      </c>
      <c r="D183" t="s">
        <v>488</v>
      </c>
      <c r="E183" t="s">
        <v>576</v>
      </c>
      <c r="F183" s="85">
        <v>45054</v>
      </c>
      <c r="G183" s="190">
        <v>0</v>
      </c>
      <c r="Q183" t="s">
        <v>592</v>
      </c>
      <c r="R183" t="s">
        <v>587</v>
      </c>
      <c r="S183">
        <v>18.2</v>
      </c>
      <c r="T183" t="s">
        <v>1529</v>
      </c>
      <c r="U183" t="s">
        <v>614</v>
      </c>
      <c r="V183" t="s">
        <v>601</v>
      </c>
    </row>
    <row r="184" spans="1:34" customFormat="1">
      <c r="A184" t="s">
        <v>370</v>
      </c>
      <c r="B184" t="s">
        <v>644</v>
      </c>
      <c r="C184" t="s">
        <v>532</v>
      </c>
      <c r="D184" t="s">
        <v>518</v>
      </c>
      <c r="E184" t="s">
        <v>576</v>
      </c>
      <c r="F184" s="85">
        <v>45054</v>
      </c>
      <c r="G184" s="190">
        <v>3.1250000000000001E-4</v>
      </c>
      <c r="Q184" t="s">
        <v>532</v>
      </c>
      <c r="R184">
        <v>7</v>
      </c>
      <c r="AD184" t="s">
        <v>581</v>
      </c>
      <c r="AE184" t="s">
        <v>582</v>
      </c>
      <c r="AF184" t="s">
        <v>583</v>
      </c>
    </row>
    <row r="185" spans="1:34" customFormat="1">
      <c r="A185" t="s">
        <v>370</v>
      </c>
      <c r="B185" t="s">
        <v>645</v>
      </c>
      <c r="AD185" t="s">
        <v>586</v>
      </c>
      <c r="AE185" t="s">
        <v>587</v>
      </c>
      <c r="AF185">
        <v>18.3</v>
      </c>
      <c r="AG185">
        <v>1</v>
      </c>
      <c r="AH185" t="s">
        <v>1657</v>
      </c>
    </row>
    <row r="186" spans="1:34" customFormat="1">
      <c r="A186" t="s">
        <v>370</v>
      </c>
      <c r="B186" t="s">
        <v>646</v>
      </c>
      <c r="C186" t="s">
        <v>581</v>
      </c>
      <c r="D186" t="s">
        <v>582</v>
      </c>
      <c r="E186" t="s">
        <v>583</v>
      </c>
      <c r="F186" t="s">
        <v>397</v>
      </c>
      <c r="G186" t="s">
        <v>584</v>
      </c>
      <c r="Q186" t="s">
        <v>575</v>
      </c>
      <c r="R186" t="s">
        <v>488</v>
      </c>
      <c r="S186" t="s">
        <v>576</v>
      </c>
      <c r="T186" t="s">
        <v>544</v>
      </c>
      <c r="U186" s="190">
        <v>0</v>
      </c>
      <c r="AD186" t="s">
        <v>592</v>
      </c>
      <c r="AE186" t="s">
        <v>587</v>
      </c>
      <c r="AF186">
        <v>18</v>
      </c>
      <c r="AG186">
        <v>1</v>
      </c>
      <c r="AH186" t="s">
        <v>1657</v>
      </c>
    </row>
    <row r="187" spans="1:34" customFormat="1">
      <c r="A187" t="s">
        <v>370</v>
      </c>
      <c r="B187" t="s">
        <v>647</v>
      </c>
      <c r="C187" t="s">
        <v>586</v>
      </c>
      <c r="D187" t="s">
        <v>587</v>
      </c>
      <c r="E187">
        <v>17.5</v>
      </c>
      <c r="F187" t="s">
        <v>588</v>
      </c>
      <c r="G187" t="s">
        <v>589</v>
      </c>
      <c r="H187" t="s">
        <v>648</v>
      </c>
      <c r="Q187" t="s">
        <v>532</v>
      </c>
      <c r="R187" t="s">
        <v>488</v>
      </c>
      <c r="S187" t="s">
        <v>576</v>
      </c>
      <c r="T187" t="s">
        <v>544</v>
      </c>
      <c r="U187" s="190">
        <v>0</v>
      </c>
    </row>
    <row r="188" spans="1:34" customFormat="1">
      <c r="A188" t="s">
        <v>370</v>
      </c>
      <c r="B188" t="s">
        <v>649</v>
      </c>
      <c r="C188" t="s">
        <v>592</v>
      </c>
      <c r="D188" t="s">
        <v>587</v>
      </c>
      <c r="E188">
        <v>17.2</v>
      </c>
      <c r="F188" t="s">
        <v>588</v>
      </c>
      <c r="G188" t="s">
        <v>614</v>
      </c>
      <c r="H188" t="s">
        <v>637</v>
      </c>
      <c r="Q188" t="s">
        <v>532</v>
      </c>
      <c r="R188" t="s">
        <v>518</v>
      </c>
      <c r="S188" t="s">
        <v>576</v>
      </c>
      <c r="T188" t="s">
        <v>544</v>
      </c>
      <c r="U188" s="190">
        <v>3.1250000000000001E-4</v>
      </c>
      <c r="AD188" t="s">
        <v>532</v>
      </c>
      <c r="AE188">
        <v>7</v>
      </c>
    </row>
    <row r="189" spans="1:34" customFormat="1">
      <c r="A189" t="s">
        <v>370</v>
      </c>
      <c r="B189" t="s">
        <v>650</v>
      </c>
    </row>
    <row r="190" spans="1:34" customFormat="1">
      <c r="A190" t="s">
        <v>370</v>
      </c>
      <c r="B190" t="s">
        <v>651</v>
      </c>
      <c r="C190" t="s">
        <v>532</v>
      </c>
      <c r="D190">
        <v>7</v>
      </c>
      <c r="Q190" t="s">
        <v>581</v>
      </c>
      <c r="R190" t="s">
        <v>582</v>
      </c>
      <c r="S190" t="s">
        <v>583</v>
      </c>
      <c r="T190" t="s">
        <v>397</v>
      </c>
      <c r="U190" t="s">
        <v>584</v>
      </c>
      <c r="AD190" t="s">
        <v>575</v>
      </c>
      <c r="AE190" t="s">
        <v>488</v>
      </c>
      <c r="AF190" t="s">
        <v>576</v>
      </c>
      <c r="AG190" t="s">
        <v>544</v>
      </c>
      <c r="AH190" s="190">
        <v>0</v>
      </c>
    </row>
    <row r="191" spans="1:34" customFormat="1">
      <c r="A191" t="s">
        <v>370</v>
      </c>
      <c r="B191" t="s">
        <v>651</v>
      </c>
      <c r="Q191" t="s">
        <v>586</v>
      </c>
      <c r="R191" t="s">
        <v>587</v>
      </c>
      <c r="S191">
        <v>18.3</v>
      </c>
      <c r="T191" t="s">
        <v>1529</v>
      </c>
      <c r="U191" t="s">
        <v>614</v>
      </c>
      <c r="V191" t="s">
        <v>1539</v>
      </c>
      <c r="AD191" t="s">
        <v>532</v>
      </c>
      <c r="AE191" t="s">
        <v>488</v>
      </c>
      <c r="AF191" t="s">
        <v>576</v>
      </c>
      <c r="AG191" t="s">
        <v>544</v>
      </c>
      <c r="AH191" s="190">
        <v>0</v>
      </c>
    </row>
    <row r="192" spans="1:34" customFormat="1">
      <c r="A192" t="s">
        <v>370</v>
      </c>
      <c r="B192" t="s">
        <v>652</v>
      </c>
      <c r="C192" t="s">
        <v>575</v>
      </c>
      <c r="D192" t="s">
        <v>488</v>
      </c>
      <c r="E192" t="s">
        <v>576</v>
      </c>
      <c r="F192" t="s">
        <v>544</v>
      </c>
      <c r="G192" s="190">
        <v>0</v>
      </c>
      <c r="Q192" t="s">
        <v>592</v>
      </c>
      <c r="R192" t="s">
        <v>587</v>
      </c>
      <c r="S192">
        <v>18</v>
      </c>
      <c r="T192" t="s">
        <v>1529</v>
      </c>
      <c r="U192" t="s">
        <v>614</v>
      </c>
      <c r="V192" t="s">
        <v>1540</v>
      </c>
      <c r="AD192" t="s">
        <v>532</v>
      </c>
      <c r="AE192" t="s">
        <v>518</v>
      </c>
      <c r="AF192" t="s">
        <v>576</v>
      </c>
      <c r="AG192" t="s">
        <v>544</v>
      </c>
      <c r="AH192" s="190">
        <v>2.8935185185185184E-4</v>
      </c>
    </row>
    <row r="193" spans="1:34" customFormat="1">
      <c r="A193" t="s">
        <v>370</v>
      </c>
      <c r="B193" t="s">
        <v>653</v>
      </c>
      <c r="C193" t="s">
        <v>532</v>
      </c>
      <c r="D193" t="s">
        <v>488</v>
      </c>
      <c r="E193" t="s">
        <v>576</v>
      </c>
      <c r="F193" t="s">
        <v>544</v>
      </c>
      <c r="G193" s="190">
        <v>0</v>
      </c>
      <c r="Q193" t="s">
        <v>532</v>
      </c>
      <c r="R193">
        <v>8</v>
      </c>
    </row>
    <row r="194" spans="1:34" customFormat="1">
      <c r="A194" t="s">
        <v>370</v>
      </c>
      <c r="B194" t="s">
        <v>654</v>
      </c>
      <c r="C194" t="s">
        <v>532</v>
      </c>
      <c r="D194" t="s">
        <v>518</v>
      </c>
      <c r="E194" t="s">
        <v>576</v>
      </c>
      <c r="F194" t="s">
        <v>544</v>
      </c>
      <c r="G194" s="190">
        <v>3.1250000000000001E-4</v>
      </c>
      <c r="AD194" t="s">
        <v>581</v>
      </c>
      <c r="AE194" t="s">
        <v>582</v>
      </c>
      <c r="AF194" t="s">
        <v>583</v>
      </c>
    </row>
    <row r="195" spans="1:34" customFormat="1">
      <c r="A195" t="s">
        <v>370</v>
      </c>
      <c r="B195" t="s">
        <v>655</v>
      </c>
      <c r="Q195" t="s">
        <v>575</v>
      </c>
      <c r="R195" t="s">
        <v>488</v>
      </c>
      <c r="S195" t="s">
        <v>576</v>
      </c>
      <c r="T195" s="85">
        <v>45025</v>
      </c>
      <c r="U195" s="190">
        <v>0</v>
      </c>
      <c r="AD195" t="s">
        <v>586</v>
      </c>
      <c r="AE195" t="s">
        <v>587</v>
      </c>
      <c r="AF195">
        <v>17.100000000000001</v>
      </c>
      <c r="AG195">
        <v>1</v>
      </c>
      <c r="AH195" t="s">
        <v>1657</v>
      </c>
    </row>
    <row r="196" spans="1:34" customFormat="1">
      <c r="A196" t="s">
        <v>370</v>
      </c>
      <c r="B196" t="s">
        <v>656</v>
      </c>
      <c r="C196" t="s">
        <v>581</v>
      </c>
      <c r="D196" t="s">
        <v>582</v>
      </c>
      <c r="E196" t="s">
        <v>583</v>
      </c>
      <c r="F196" t="s">
        <v>397</v>
      </c>
      <c r="G196" t="s">
        <v>584</v>
      </c>
      <c r="Q196" t="s">
        <v>532</v>
      </c>
      <c r="R196" t="s">
        <v>488</v>
      </c>
      <c r="S196" t="s">
        <v>576</v>
      </c>
      <c r="T196" s="85">
        <v>45025</v>
      </c>
      <c r="U196" s="190">
        <v>0</v>
      </c>
      <c r="AD196" t="s">
        <v>592</v>
      </c>
      <c r="AE196" t="s">
        <v>587</v>
      </c>
      <c r="AF196">
        <v>16.5</v>
      </c>
      <c r="AG196">
        <v>1</v>
      </c>
      <c r="AH196" t="s">
        <v>1657</v>
      </c>
    </row>
    <row r="197" spans="1:34" customFormat="1">
      <c r="A197" t="s">
        <v>370</v>
      </c>
      <c r="B197" t="s">
        <v>657</v>
      </c>
      <c r="C197" t="s">
        <v>586</v>
      </c>
      <c r="D197" t="s">
        <v>587</v>
      </c>
      <c r="E197">
        <v>16.5</v>
      </c>
      <c r="F197" t="s">
        <v>588</v>
      </c>
      <c r="G197" t="s">
        <v>589</v>
      </c>
      <c r="H197" t="s">
        <v>658</v>
      </c>
      <c r="Q197" t="s">
        <v>532</v>
      </c>
      <c r="R197" t="s">
        <v>518</v>
      </c>
      <c r="S197" t="s">
        <v>576</v>
      </c>
      <c r="T197" s="85">
        <v>45025</v>
      </c>
      <c r="U197" s="190">
        <v>3.1250000000000001E-4</v>
      </c>
    </row>
    <row r="198" spans="1:34" customFormat="1">
      <c r="A198" t="s">
        <v>370</v>
      </c>
      <c r="B198" t="s">
        <v>659</v>
      </c>
      <c r="C198" t="s">
        <v>592</v>
      </c>
      <c r="D198" t="s">
        <v>587</v>
      </c>
      <c r="E198">
        <v>15.9</v>
      </c>
      <c r="F198" t="s">
        <v>588</v>
      </c>
      <c r="G198" t="s">
        <v>589</v>
      </c>
      <c r="H198" t="s">
        <v>660</v>
      </c>
      <c r="AD198" t="s">
        <v>532</v>
      </c>
      <c r="AE198">
        <v>8</v>
      </c>
    </row>
    <row r="199" spans="1:34" customFormat="1">
      <c r="A199" t="s">
        <v>370</v>
      </c>
      <c r="B199" t="s">
        <v>661</v>
      </c>
      <c r="Q199" t="s">
        <v>581</v>
      </c>
      <c r="R199" t="s">
        <v>582</v>
      </c>
      <c r="S199" t="s">
        <v>583</v>
      </c>
      <c r="T199" t="s">
        <v>397</v>
      </c>
      <c r="U199" t="s">
        <v>584</v>
      </c>
    </row>
    <row r="200" spans="1:34" customFormat="1">
      <c r="A200" t="s">
        <v>370</v>
      </c>
      <c r="B200" t="s">
        <v>662</v>
      </c>
      <c r="C200" t="s">
        <v>532</v>
      </c>
      <c r="D200">
        <v>8</v>
      </c>
      <c r="Q200" t="s">
        <v>586</v>
      </c>
      <c r="R200" t="s">
        <v>587</v>
      </c>
      <c r="S200">
        <v>17.100000000000001</v>
      </c>
      <c r="T200" t="s">
        <v>1529</v>
      </c>
      <c r="U200" t="s">
        <v>614</v>
      </c>
      <c r="V200" t="s">
        <v>1541</v>
      </c>
      <c r="AD200" t="s">
        <v>575</v>
      </c>
      <c r="AE200" t="s">
        <v>488</v>
      </c>
      <c r="AF200" t="s">
        <v>576</v>
      </c>
      <c r="AG200" s="85">
        <v>45025</v>
      </c>
      <c r="AH200" s="190">
        <v>0</v>
      </c>
    </row>
    <row r="201" spans="1:34" customFormat="1">
      <c r="A201" t="s">
        <v>370</v>
      </c>
      <c r="B201" t="s">
        <v>663</v>
      </c>
      <c r="Q201" t="s">
        <v>592</v>
      </c>
      <c r="R201" t="s">
        <v>587</v>
      </c>
      <c r="S201">
        <v>16.8</v>
      </c>
      <c r="T201" t="s">
        <v>1529</v>
      </c>
      <c r="U201" t="s">
        <v>614</v>
      </c>
      <c r="V201" t="s">
        <v>1542</v>
      </c>
      <c r="AD201" t="s">
        <v>532</v>
      </c>
      <c r="AE201" t="s">
        <v>488</v>
      </c>
      <c r="AF201" t="s">
        <v>576</v>
      </c>
      <c r="AG201" s="85">
        <v>45025</v>
      </c>
      <c r="AH201" s="190">
        <v>0</v>
      </c>
    </row>
    <row r="202" spans="1:34" customFormat="1">
      <c r="A202" t="s">
        <v>370</v>
      </c>
      <c r="B202" t="s">
        <v>664</v>
      </c>
      <c r="C202" t="s">
        <v>575</v>
      </c>
      <c r="D202" t="s">
        <v>488</v>
      </c>
      <c r="E202" t="s">
        <v>576</v>
      </c>
      <c r="F202" s="85">
        <v>45025</v>
      </c>
      <c r="G202" s="190">
        <v>0</v>
      </c>
      <c r="Q202" t="s">
        <v>532</v>
      </c>
      <c r="R202">
        <v>9</v>
      </c>
      <c r="AD202" t="s">
        <v>532</v>
      </c>
      <c r="AE202" t="s">
        <v>518</v>
      </c>
      <c r="AF202" t="s">
        <v>576</v>
      </c>
      <c r="AG202" s="85">
        <v>45025</v>
      </c>
      <c r="AH202" s="190">
        <v>2.8935185185185184E-4</v>
      </c>
    </row>
    <row r="203" spans="1:34" customFormat="1">
      <c r="A203" t="s">
        <v>370</v>
      </c>
      <c r="B203" t="s">
        <v>665</v>
      </c>
      <c r="C203" t="s">
        <v>532</v>
      </c>
      <c r="D203" t="s">
        <v>488</v>
      </c>
      <c r="E203" t="s">
        <v>576</v>
      </c>
      <c r="F203" s="85">
        <v>45025</v>
      </c>
      <c r="G203" s="190">
        <v>0</v>
      </c>
    </row>
    <row r="204" spans="1:34" customFormat="1">
      <c r="A204" t="s">
        <v>370</v>
      </c>
      <c r="B204" t="s">
        <v>666</v>
      </c>
      <c r="C204" t="s">
        <v>532</v>
      </c>
      <c r="D204" t="s">
        <v>518</v>
      </c>
      <c r="E204" t="s">
        <v>576</v>
      </c>
      <c r="F204" s="85">
        <v>45025</v>
      </c>
      <c r="G204" s="190">
        <v>3.1250000000000001E-4</v>
      </c>
      <c r="Q204" t="s">
        <v>575</v>
      </c>
      <c r="R204" t="s">
        <v>488</v>
      </c>
      <c r="S204" t="s">
        <v>576</v>
      </c>
      <c r="T204" t="s">
        <v>547</v>
      </c>
      <c r="U204" s="190">
        <v>0</v>
      </c>
      <c r="AD204" t="s">
        <v>581</v>
      </c>
      <c r="AE204" t="s">
        <v>582</v>
      </c>
      <c r="AF204" t="s">
        <v>583</v>
      </c>
    </row>
    <row r="205" spans="1:34" customFormat="1">
      <c r="A205" t="s">
        <v>370</v>
      </c>
      <c r="B205" t="s">
        <v>667</v>
      </c>
      <c r="Q205" t="s">
        <v>532</v>
      </c>
      <c r="R205" t="s">
        <v>488</v>
      </c>
      <c r="S205" t="s">
        <v>576</v>
      </c>
      <c r="T205" t="s">
        <v>547</v>
      </c>
      <c r="U205" s="190">
        <v>0</v>
      </c>
      <c r="AD205" t="s">
        <v>586</v>
      </c>
      <c r="AE205" t="s">
        <v>587</v>
      </c>
      <c r="AF205">
        <v>16.7</v>
      </c>
      <c r="AG205">
        <v>1</v>
      </c>
      <c r="AH205" t="s">
        <v>1657</v>
      </c>
    </row>
    <row r="206" spans="1:34" customFormat="1">
      <c r="A206" t="s">
        <v>370</v>
      </c>
      <c r="B206" t="s">
        <v>668</v>
      </c>
      <c r="C206" t="s">
        <v>581</v>
      </c>
      <c r="D206" t="s">
        <v>582</v>
      </c>
      <c r="E206" t="s">
        <v>583</v>
      </c>
      <c r="F206" t="s">
        <v>397</v>
      </c>
      <c r="G206" t="s">
        <v>584</v>
      </c>
      <c r="Q206" t="s">
        <v>532</v>
      </c>
      <c r="R206" t="s">
        <v>518</v>
      </c>
      <c r="S206" t="s">
        <v>576</v>
      </c>
      <c r="T206" t="s">
        <v>547</v>
      </c>
      <c r="U206" s="190">
        <v>3.1250000000000001E-4</v>
      </c>
      <c r="AD206" t="s">
        <v>592</v>
      </c>
      <c r="AE206" t="s">
        <v>587</v>
      </c>
      <c r="AF206">
        <v>16.3</v>
      </c>
      <c r="AG206">
        <v>1</v>
      </c>
      <c r="AH206" t="s">
        <v>1657</v>
      </c>
    </row>
    <row r="207" spans="1:34" customFormat="1">
      <c r="A207" t="s">
        <v>370</v>
      </c>
      <c r="B207" t="s">
        <v>669</v>
      </c>
      <c r="C207" t="s">
        <v>586</v>
      </c>
      <c r="D207" t="s">
        <v>587</v>
      </c>
      <c r="E207">
        <v>17.2</v>
      </c>
      <c r="F207" t="s">
        <v>588</v>
      </c>
      <c r="G207" t="s">
        <v>589</v>
      </c>
      <c r="H207" t="s">
        <v>670</v>
      </c>
    </row>
    <row r="208" spans="1:34" customFormat="1">
      <c r="A208" t="s">
        <v>370</v>
      </c>
      <c r="B208" t="s">
        <v>671</v>
      </c>
      <c r="C208" t="s">
        <v>592</v>
      </c>
      <c r="D208" t="s">
        <v>587</v>
      </c>
      <c r="E208">
        <v>16.8</v>
      </c>
      <c r="F208" t="s">
        <v>588</v>
      </c>
      <c r="G208" t="s">
        <v>589</v>
      </c>
      <c r="H208" t="s">
        <v>672</v>
      </c>
      <c r="Q208" t="s">
        <v>581</v>
      </c>
      <c r="R208" t="s">
        <v>582</v>
      </c>
      <c r="S208" t="s">
        <v>583</v>
      </c>
      <c r="T208" t="s">
        <v>397</v>
      </c>
      <c r="U208" t="s">
        <v>584</v>
      </c>
      <c r="AD208" t="s">
        <v>532</v>
      </c>
      <c r="AE208">
        <v>9</v>
      </c>
    </row>
    <row r="209" spans="1:34" customFormat="1">
      <c r="A209" t="s">
        <v>370</v>
      </c>
      <c r="B209" t="s">
        <v>673</v>
      </c>
      <c r="Q209" t="s">
        <v>586</v>
      </c>
      <c r="R209" t="s">
        <v>587</v>
      </c>
      <c r="S209">
        <v>16.7</v>
      </c>
      <c r="T209" t="s">
        <v>1529</v>
      </c>
      <c r="U209" t="s">
        <v>614</v>
      </c>
      <c r="V209" t="s">
        <v>672</v>
      </c>
    </row>
    <row r="210" spans="1:34" customFormat="1">
      <c r="A210" t="s">
        <v>370</v>
      </c>
      <c r="B210" t="s">
        <v>674</v>
      </c>
      <c r="C210" t="s">
        <v>532</v>
      </c>
      <c r="D210">
        <v>9</v>
      </c>
      <c r="Q210" t="s">
        <v>592</v>
      </c>
      <c r="R210" t="s">
        <v>587</v>
      </c>
      <c r="S210">
        <v>16</v>
      </c>
      <c r="T210" t="s">
        <v>1529</v>
      </c>
      <c r="U210" t="s">
        <v>614</v>
      </c>
      <c r="V210" t="s">
        <v>614</v>
      </c>
      <c r="AD210" t="s">
        <v>575</v>
      </c>
      <c r="AE210" t="s">
        <v>488</v>
      </c>
      <c r="AF210" t="s">
        <v>576</v>
      </c>
      <c r="AG210" t="s">
        <v>547</v>
      </c>
      <c r="AH210" s="190">
        <v>0</v>
      </c>
    </row>
    <row r="211" spans="1:34" customFormat="1">
      <c r="A211" t="s">
        <v>370</v>
      </c>
      <c r="B211" t="s">
        <v>675</v>
      </c>
      <c r="Q211" t="s">
        <v>532</v>
      </c>
      <c r="R211">
        <v>10</v>
      </c>
      <c r="AD211" t="s">
        <v>532</v>
      </c>
      <c r="AE211" t="s">
        <v>488</v>
      </c>
      <c r="AF211" t="s">
        <v>576</v>
      </c>
      <c r="AG211" t="s">
        <v>547</v>
      </c>
      <c r="AH211" s="190">
        <v>0</v>
      </c>
    </row>
    <row r="212" spans="1:34" customFormat="1">
      <c r="A212" t="s">
        <v>370</v>
      </c>
      <c r="B212" t="s">
        <v>676</v>
      </c>
      <c r="C212" t="s">
        <v>575</v>
      </c>
      <c r="D212" t="s">
        <v>488</v>
      </c>
      <c r="E212" t="s">
        <v>576</v>
      </c>
      <c r="F212" t="s">
        <v>547</v>
      </c>
      <c r="G212" s="190">
        <v>0</v>
      </c>
      <c r="AD212" t="s">
        <v>532</v>
      </c>
      <c r="AE212" t="s">
        <v>518</v>
      </c>
      <c r="AF212" t="s">
        <v>576</v>
      </c>
      <c r="AG212" t="s">
        <v>547</v>
      </c>
      <c r="AH212" s="190">
        <v>2.8935185185185184E-4</v>
      </c>
    </row>
    <row r="213" spans="1:34" customFormat="1">
      <c r="A213" t="s">
        <v>370</v>
      </c>
      <c r="B213" t="s">
        <v>677</v>
      </c>
      <c r="C213" t="s">
        <v>532</v>
      </c>
      <c r="D213" t="s">
        <v>488</v>
      </c>
      <c r="E213" t="s">
        <v>576</v>
      </c>
      <c r="F213" t="s">
        <v>547</v>
      </c>
      <c r="G213" s="190">
        <v>0</v>
      </c>
      <c r="Q213" t="s">
        <v>575</v>
      </c>
      <c r="R213" t="s">
        <v>488</v>
      </c>
      <c r="S213" t="s">
        <v>576</v>
      </c>
      <c r="T213" s="85">
        <v>45026</v>
      </c>
      <c r="U213" s="190">
        <v>0</v>
      </c>
    </row>
    <row r="214" spans="1:34" customFormat="1">
      <c r="A214" t="s">
        <v>370</v>
      </c>
      <c r="B214" t="s">
        <v>678</v>
      </c>
      <c r="C214" t="s">
        <v>532</v>
      </c>
      <c r="D214" t="s">
        <v>518</v>
      </c>
      <c r="E214" t="s">
        <v>576</v>
      </c>
      <c r="F214" t="s">
        <v>547</v>
      </c>
      <c r="G214" s="190">
        <v>3.1250000000000001E-4</v>
      </c>
      <c r="Q214" t="s">
        <v>532</v>
      </c>
      <c r="R214" t="s">
        <v>488</v>
      </c>
      <c r="S214" t="s">
        <v>576</v>
      </c>
      <c r="T214" s="85">
        <v>45026</v>
      </c>
      <c r="U214" s="190">
        <v>0</v>
      </c>
      <c r="AD214" t="s">
        <v>581</v>
      </c>
      <c r="AE214" t="s">
        <v>582</v>
      </c>
      <c r="AF214" t="s">
        <v>583</v>
      </c>
    </row>
    <row r="215" spans="1:34" customFormat="1">
      <c r="A215" t="s">
        <v>370</v>
      </c>
      <c r="B215" t="s">
        <v>679</v>
      </c>
      <c r="Q215" t="s">
        <v>532</v>
      </c>
      <c r="R215" t="s">
        <v>518</v>
      </c>
      <c r="S215" t="s">
        <v>576</v>
      </c>
      <c r="T215" s="85">
        <v>45026</v>
      </c>
      <c r="U215" s="190">
        <v>3.1250000000000001E-4</v>
      </c>
      <c r="AD215" t="s">
        <v>586</v>
      </c>
      <c r="AE215" t="s">
        <v>587</v>
      </c>
      <c r="AF215">
        <v>17.3</v>
      </c>
      <c r="AG215">
        <v>1</v>
      </c>
      <c r="AH215" t="s">
        <v>1657</v>
      </c>
    </row>
    <row r="216" spans="1:34" customFormat="1">
      <c r="A216" t="s">
        <v>370</v>
      </c>
      <c r="B216" t="s">
        <v>680</v>
      </c>
      <c r="C216" t="s">
        <v>581</v>
      </c>
      <c r="D216" t="s">
        <v>582</v>
      </c>
      <c r="E216" t="s">
        <v>583</v>
      </c>
      <c r="F216" t="s">
        <v>397</v>
      </c>
      <c r="G216" t="s">
        <v>584</v>
      </c>
      <c r="AD216" t="s">
        <v>592</v>
      </c>
      <c r="AE216" t="s">
        <v>587</v>
      </c>
      <c r="AF216">
        <v>16.899999999999999</v>
      </c>
      <c r="AG216">
        <v>1</v>
      </c>
      <c r="AH216" t="s">
        <v>1657</v>
      </c>
    </row>
    <row r="217" spans="1:34" customFormat="1">
      <c r="A217" t="s">
        <v>370</v>
      </c>
      <c r="B217" t="s">
        <v>681</v>
      </c>
      <c r="C217" t="s">
        <v>586</v>
      </c>
      <c r="D217" t="s">
        <v>587</v>
      </c>
      <c r="E217">
        <v>17.399999999999999</v>
      </c>
      <c r="F217" t="s">
        <v>588</v>
      </c>
      <c r="G217" t="s">
        <v>589</v>
      </c>
      <c r="H217" t="s">
        <v>682</v>
      </c>
      <c r="Q217" t="s">
        <v>581</v>
      </c>
      <c r="R217" t="s">
        <v>582</v>
      </c>
      <c r="S217" t="s">
        <v>583</v>
      </c>
      <c r="T217" t="s">
        <v>397</v>
      </c>
      <c r="U217" t="s">
        <v>584</v>
      </c>
    </row>
    <row r="218" spans="1:34" customFormat="1">
      <c r="A218" t="s">
        <v>370</v>
      </c>
      <c r="B218" t="s">
        <v>683</v>
      </c>
      <c r="C218" t="s">
        <v>592</v>
      </c>
      <c r="D218" t="s">
        <v>587</v>
      </c>
      <c r="E218">
        <v>17.100000000000001</v>
      </c>
      <c r="F218" t="s">
        <v>588</v>
      </c>
      <c r="G218" t="s">
        <v>589</v>
      </c>
      <c r="H218" t="s">
        <v>684</v>
      </c>
      <c r="Q218" t="s">
        <v>586</v>
      </c>
      <c r="R218" t="s">
        <v>587</v>
      </c>
      <c r="S218">
        <v>17.2</v>
      </c>
      <c r="T218" t="s">
        <v>1529</v>
      </c>
      <c r="U218" t="s">
        <v>614</v>
      </c>
      <c r="V218" t="s">
        <v>1543</v>
      </c>
      <c r="AD218" t="s">
        <v>532</v>
      </c>
      <c r="AE218">
        <v>10</v>
      </c>
    </row>
    <row r="219" spans="1:34" customFormat="1">
      <c r="A219" t="s">
        <v>370</v>
      </c>
      <c r="B219" t="s">
        <v>685</v>
      </c>
      <c r="Q219" t="s">
        <v>592</v>
      </c>
      <c r="R219" t="s">
        <v>587</v>
      </c>
      <c r="S219">
        <v>16.7</v>
      </c>
      <c r="T219" t="s">
        <v>1529</v>
      </c>
      <c r="U219" t="s">
        <v>614</v>
      </c>
      <c r="V219" t="s">
        <v>1544</v>
      </c>
    </row>
    <row r="220" spans="1:34" customFormat="1">
      <c r="A220" t="s">
        <v>370</v>
      </c>
      <c r="B220" t="s">
        <v>685</v>
      </c>
      <c r="C220" t="s">
        <v>532</v>
      </c>
      <c r="D220">
        <v>10</v>
      </c>
      <c r="Q220" t="s">
        <v>532</v>
      </c>
      <c r="R220">
        <v>11</v>
      </c>
      <c r="AD220" t="s">
        <v>575</v>
      </c>
      <c r="AE220" t="s">
        <v>488</v>
      </c>
      <c r="AF220" t="s">
        <v>576</v>
      </c>
      <c r="AG220" s="85">
        <v>45026</v>
      </c>
      <c r="AH220" s="190">
        <v>0</v>
      </c>
    </row>
    <row r="221" spans="1:34" customFormat="1">
      <c r="A221" t="s">
        <v>370</v>
      </c>
      <c r="B221" t="s">
        <v>686</v>
      </c>
      <c r="AD221" t="s">
        <v>532</v>
      </c>
      <c r="AE221" t="s">
        <v>488</v>
      </c>
      <c r="AF221" t="s">
        <v>576</v>
      </c>
      <c r="AG221" s="85">
        <v>45026</v>
      </c>
      <c r="AH221" s="190">
        <v>0</v>
      </c>
    </row>
    <row r="222" spans="1:34" customFormat="1">
      <c r="A222" t="s">
        <v>370</v>
      </c>
      <c r="B222" t="s">
        <v>687</v>
      </c>
      <c r="C222" t="s">
        <v>575</v>
      </c>
      <c r="D222" t="s">
        <v>488</v>
      </c>
      <c r="E222" t="s">
        <v>576</v>
      </c>
      <c r="F222" s="85">
        <v>45026</v>
      </c>
      <c r="G222" s="190">
        <v>0</v>
      </c>
      <c r="Q222" t="s">
        <v>575</v>
      </c>
      <c r="R222" t="s">
        <v>488</v>
      </c>
      <c r="S222" t="s">
        <v>576</v>
      </c>
      <c r="T222" t="s">
        <v>550</v>
      </c>
      <c r="U222" s="190">
        <v>0</v>
      </c>
      <c r="AD222" t="s">
        <v>532</v>
      </c>
      <c r="AE222" t="s">
        <v>518</v>
      </c>
      <c r="AF222" t="s">
        <v>576</v>
      </c>
      <c r="AG222" s="85">
        <v>45026</v>
      </c>
      <c r="AH222" s="190">
        <v>2.8935185185185184E-4</v>
      </c>
    </row>
    <row r="223" spans="1:34" customFormat="1">
      <c r="A223" t="s">
        <v>370</v>
      </c>
      <c r="B223" t="s">
        <v>688</v>
      </c>
      <c r="C223" t="s">
        <v>532</v>
      </c>
      <c r="D223" t="s">
        <v>488</v>
      </c>
      <c r="E223" t="s">
        <v>576</v>
      </c>
      <c r="F223" s="85">
        <v>45026</v>
      </c>
      <c r="G223" s="190">
        <v>0</v>
      </c>
      <c r="Q223" t="s">
        <v>532</v>
      </c>
      <c r="R223" t="s">
        <v>488</v>
      </c>
      <c r="S223" t="s">
        <v>576</v>
      </c>
      <c r="T223" t="s">
        <v>550</v>
      </c>
      <c r="U223" s="190">
        <v>0</v>
      </c>
    </row>
    <row r="224" spans="1:34" customFormat="1">
      <c r="A224" t="s">
        <v>370</v>
      </c>
      <c r="B224" t="s">
        <v>689</v>
      </c>
      <c r="C224" t="s">
        <v>532</v>
      </c>
      <c r="D224" t="s">
        <v>518</v>
      </c>
      <c r="E224" t="s">
        <v>576</v>
      </c>
      <c r="F224" s="85">
        <v>45026</v>
      </c>
      <c r="G224" s="190">
        <v>3.1250000000000001E-4</v>
      </c>
      <c r="Q224" t="s">
        <v>532</v>
      </c>
      <c r="R224" t="s">
        <v>518</v>
      </c>
      <c r="S224" t="s">
        <v>576</v>
      </c>
      <c r="T224" t="s">
        <v>550</v>
      </c>
      <c r="U224" s="190">
        <v>3.1250000000000001E-4</v>
      </c>
      <c r="AD224" t="s">
        <v>581</v>
      </c>
      <c r="AE224" t="s">
        <v>582</v>
      </c>
      <c r="AF224" t="s">
        <v>583</v>
      </c>
    </row>
    <row r="225" spans="1:34" customFormat="1">
      <c r="A225" t="s">
        <v>370</v>
      </c>
      <c r="B225" t="s">
        <v>690</v>
      </c>
      <c r="AD225" t="s">
        <v>586</v>
      </c>
      <c r="AE225" t="s">
        <v>587</v>
      </c>
      <c r="AF225">
        <v>17.399999999999999</v>
      </c>
      <c r="AG225">
        <v>1</v>
      </c>
      <c r="AH225" t="s">
        <v>1657</v>
      </c>
    </row>
    <row r="226" spans="1:34" customFormat="1">
      <c r="A226" t="s">
        <v>370</v>
      </c>
      <c r="B226" t="s">
        <v>691</v>
      </c>
      <c r="C226" t="s">
        <v>581</v>
      </c>
      <c r="D226" t="s">
        <v>582</v>
      </c>
      <c r="E226" t="s">
        <v>583</v>
      </c>
      <c r="F226" t="s">
        <v>397</v>
      </c>
      <c r="G226" t="s">
        <v>584</v>
      </c>
      <c r="Q226" t="s">
        <v>581</v>
      </c>
      <c r="R226" t="s">
        <v>582</v>
      </c>
      <c r="S226" t="s">
        <v>583</v>
      </c>
      <c r="T226" t="s">
        <v>397</v>
      </c>
      <c r="U226" t="s">
        <v>584</v>
      </c>
      <c r="AD226" t="s">
        <v>592</v>
      </c>
      <c r="AE226" t="s">
        <v>587</v>
      </c>
      <c r="AF226">
        <v>16.8</v>
      </c>
      <c r="AG226">
        <v>1</v>
      </c>
      <c r="AH226" t="s">
        <v>1657</v>
      </c>
    </row>
    <row r="227" spans="1:34" customFormat="1">
      <c r="A227" t="s">
        <v>370</v>
      </c>
      <c r="B227" t="s">
        <v>692</v>
      </c>
      <c r="C227" t="s">
        <v>586</v>
      </c>
      <c r="D227" t="s">
        <v>587</v>
      </c>
      <c r="E227">
        <v>17.399999999999999</v>
      </c>
      <c r="F227" t="s">
        <v>588</v>
      </c>
      <c r="G227" t="s">
        <v>589</v>
      </c>
      <c r="H227" t="s">
        <v>693</v>
      </c>
      <c r="Q227" t="s">
        <v>586</v>
      </c>
      <c r="R227" t="s">
        <v>587</v>
      </c>
      <c r="S227">
        <v>17.3</v>
      </c>
      <c r="T227" t="s">
        <v>1529</v>
      </c>
      <c r="U227" t="s">
        <v>589</v>
      </c>
      <c r="V227" t="s">
        <v>1545</v>
      </c>
    </row>
    <row r="228" spans="1:34" customFormat="1">
      <c r="A228" t="s">
        <v>370</v>
      </c>
      <c r="B228" t="s">
        <v>694</v>
      </c>
      <c r="C228" t="s">
        <v>592</v>
      </c>
      <c r="D228" t="s">
        <v>587</v>
      </c>
      <c r="E228">
        <v>17.100000000000001</v>
      </c>
      <c r="F228" t="s">
        <v>695</v>
      </c>
      <c r="G228" t="s">
        <v>589</v>
      </c>
      <c r="H228" t="s">
        <v>696</v>
      </c>
      <c r="Q228" t="s">
        <v>592</v>
      </c>
      <c r="R228" t="s">
        <v>587</v>
      </c>
      <c r="S228">
        <v>17</v>
      </c>
      <c r="T228" t="s">
        <v>1529</v>
      </c>
      <c r="U228" t="s">
        <v>589</v>
      </c>
      <c r="V228" t="s">
        <v>1545</v>
      </c>
      <c r="AD228" t="s">
        <v>532</v>
      </c>
      <c r="AE228">
        <v>11</v>
      </c>
    </row>
    <row r="229" spans="1:34" customFormat="1">
      <c r="A229" t="s">
        <v>370</v>
      </c>
      <c r="B229" t="s">
        <v>697</v>
      </c>
      <c r="Q229" t="s">
        <v>532</v>
      </c>
      <c r="R229">
        <v>12</v>
      </c>
    </row>
    <row r="230" spans="1:34" customFormat="1">
      <c r="A230" t="s">
        <v>370</v>
      </c>
      <c r="B230" t="s">
        <v>698</v>
      </c>
      <c r="C230" t="s">
        <v>532</v>
      </c>
      <c r="D230">
        <v>11</v>
      </c>
      <c r="AD230" t="s">
        <v>575</v>
      </c>
      <c r="AE230" t="s">
        <v>488</v>
      </c>
      <c r="AF230" t="s">
        <v>576</v>
      </c>
      <c r="AG230" t="s">
        <v>550</v>
      </c>
      <c r="AH230" s="190">
        <v>0</v>
      </c>
    </row>
    <row r="231" spans="1:34" customFormat="1">
      <c r="A231" t="s">
        <v>370</v>
      </c>
      <c r="B231" t="s">
        <v>699</v>
      </c>
      <c r="Q231" t="s">
        <v>575</v>
      </c>
      <c r="R231" t="s">
        <v>488</v>
      </c>
      <c r="S231" t="s">
        <v>576</v>
      </c>
      <c r="T231" s="85">
        <v>44996</v>
      </c>
      <c r="U231" s="190">
        <v>0</v>
      </c>
      <c r="AD231" t="s">
        <v>532</v>
      </c>
      <c r="AE231" t="s">
        <v>488</v>
      </c>
      <c r="AF231" t="s">
        <v>576</v>
      </c>
      <c r="AG231" t="s">
        <v>550</v>
      </c>
      <c r="AH231" s="190">
        <v>0</v>
      </c>
    </row>
    <row r="232" spans="1:34" customFormat="1">
      <c r="A232" t="s">
        <v>370</v>
      </c>
      <c r="B232" t="s">
        <v>700</v>
      </c>
      <c r="C232" t="s">
        <v>575</v>
      </c>
      <c r="D232" t="s">
        <v>488</v>
      </c>
      <c r="E232" t="s">
        <v>576</v>
      </c>
      <c r="F232" t="s">
        <v>550</v>
      </c>
      <c r="G232" s="190">
        <v>0</v>
      </c>
      <c r="Q232" t="s">
        <v>532</v>
      </c>
      <c r="R232" t="s">
        <v>488</v>
      </c>
      <c r="S232" t="s">
        <v>576</v>
      </c>
      <c r="T232" s="85">
        <v>44996</v>
      </c>
      <c r="U232" s="190">
        <v>0</v>
      </c>
      <c r="AD232" t="s">
        <v>532</v>
      </c>
      <c r="AE232" t="s">
        <v>518</v>
      </c>
      <c r="AF232" t="s">
        <v>576</v>
      </c>
      <c r="AG232" t="s">
        <v>550</v>
      </c>
      <c r="AH232" s="190">
        <v>2.8935185185185184E-4</v>
      </c>
    </row>
    <row r="233" spans="1:34" customFormat="1">
      <c r="A233" t="s">
        <v>370</v>
      </c>
      <c r="B233" t="s">
        <v>701</v>
      </c>
      <c r="C233" t="s">
        <v>532</v>
      </c>
      <c r="D233" t="s">
        <v>488</v>
      </c>
      <c r="E233" t="s">
        <v>576</v>
      </c>
      <c r="F233" t="s">
        <v>550</v>
      </c>
      <c r="G233" s="190">
        <v>0</v>
      </c>
      <c r="Q233" t="s">
        <v>532</v>
      </c>
      <c r="R233" t="s">
        <v>518</v>
      </c>
      <c r="S233" t="s">
        <v>576</v>
      </c>
      <c r="T233" s="85">
        <v>44996</v>
      </c>
      <c r="U233" s="190">
        <v>3.1250000000000001E-4</v>
      </c>
    </row>
    <row r="234" spans="1:34" customFormat="1">
      <c r="A234" t="s">
        <v>370</v>
      </c>
      <c r="B234" t="s">
        <v>702</v>
      </c>
      <c r="C234" t="s">
        <v>532</v>
      </c>
      <c r="D234" t="s">
        <v>518</v>
      </c>
      <c r="E234" t="s">
        <v>576</v>
      </c>
      <c r="F234" t="s">
        <v>550</v>
      </c>
      <c r="G234" s="190">
        <v>3.1250000000000001E-4</v>
      </c>
      <c r="AD234" t="s">
        <v>581</v>
      </c>
      <c r="AE234" t="s">
        <v>582</v>
      </c>
      <c r="AF234" t="s">
        <v>583</v>
      </c>
    </row>
    <row r="235" spans="1:34" customFormat="1">
      <c r="A235" t="s">
        <v>370</v>
      </c>
      <c r="B235" t="s">
        <v>703</v>
      </c>
      <c r="Q235" t="s">
        <v>581</v>
      </c>
      <c r="R235" t="s">
        <v>582</v>
      </c>
      <c r="S235" t="s">
        <v>583</v>
      </c>
      <c r="T235" t="s">
        <v>397</v>
      </c>
      <c r="U235" t="s">
        <v>584</v>
      </c>
      <c r="AD235" t="s">
        <v>586</v>
      </c>
      <c r="AE235" t="s">
        <v>587</v>
      </c>
      <c r="AF235">
        <v>17.3</v>
      </c>
      <c r="AG235">
        <v>1</v>
      </c>
      <c r="AH235" t="s">
        <v>1657</v>
      </c>
    </row>
    <row r="236" spans="1:34" customFormat="1">
      <c r="A236" t="s">
        <v>370</v>
      </c>
      <c r="B236" t="s">
        <v>704</v>
      </c>
      <c r="C236" t="s">
        <v>581</v>
      </c>
      <c r="D236" t="s">
        <v>582</v>
      </c>
      <c r="E236" t="s">
        <v>583</v>
      </c>
      <c r="F236" t="s">
        <v>397</v>
      </c>
      <c r="G236" t="s">
        <v>584</v>
      </c>
      <c r="Q236" t="s">
        <v>586</v>
      </c>
      <c r="R236" t="s">
        <v>587</v>
      </c>
      <c r="S236">
        <v>17.399999999999999</v>
      </c>
      <c r="T236" t="s">
        <v>1529</v>
      </c>
      <c r="U236" t="s">
        <v>614</v>
      </c>
      <c r="V236" t="s">
        <v>1542</v>
      </c>
      <c r="AD236" t="s">
        <v>592</v>
      </c>
      <c r="AE236" t="s">
        <v>587</v>
      </c>
      <c r="AF236">
        <v>16.899999999999999</v>
      </c>
      <c r="AG236">
        <v>1</v>
      </c>
      <c r="AH236" t="s">
        <v>1657</v>
      </c>
    </row>
    <row r="237" spans="1:34" customFormat="1">
      <c r="A237" t="s">
        <v>370</v>
      </c>
      <c r="B237" t="s">
        <v>705</v>
      </c>
      <c r="C237" t="s">
        <v>586</v>
      </c>
      <c r="D237" t="s">
        <v>587</v>
      </c>
      <c r="E237">
        <v>17.3</v>
      </c>
      <c r="F237" t="s">
        <v>588</v>
      </c>
      <c r="G237" t="s">
        <v>614</v>
      </c>
      <c r="H237" t="s">
        <v>706</v>
      </c>
      <c r="Q237" t="s">
        <v>592</v>
      </c>
      <c r="R237" t="s">
        <v>587</v>
      </c>
      <c r="S237">
        <v>17</v>
      </c>
      <c r="T237" t="s">
        <v>1529</v>
      </c>
      <c r="U237" t="s">
        <v>614</v>
      </c>
      <c r="V237" t="s">
        <v>1546</v>
      </c>
    </row>
    <row r="238" spans="1:34" customFormat="1">
      <c r="A238" t="s">
        <v>370</v>
      </c>
      <c r="B238" t="s">
        <v>707</v>
      </c>
      <c r="C238" t="s">
        <v>592</v>
      </c>
      <c r="D238" t="s">
        <v>587</v>
      </c>
      <c r="E238">
        <v>17</v>
      </c>
      <c r="F238" t="s">
        <v>588</v>
      </c>
      <c r="G238" t="s">
        <v>589</v>
      </c>
      <c r="H238" t="s">
        <v>708</v>
      </c>
      <c r="Q238" t="s">
        <v>532</v>
      </c>
      <c r="R238">
        <v>13</v>
      </c>
      <c r="AD238" t="s">
        <v>532</v>
      </c>
      <c r="AE238">
        <v>12</v>
      </c>
    </row>
    <row r="239" spans="1:34" customFormat="1">
      <c r="A239" t="s">
        <v>370</v>
      </c>
      <c r="B239" t="s">
        <v>709</v>
      </c>
    </row>
    <row r="240" spans="1:34" customFormat="1">
      <c r="A240" t="s">
        <v>370</v>
      </c>
      <c r="B240" t="s">
        <v>710</v>
      </c>
      <c r="C240" t="s">
        <v>532</v>
      </c>
      <c r="D240">
        <v>12</v>
      </c>
      <c r="Q240" t="s">
        <v>575</v>
      </c>
      <c r="R240" t="s">
        <v>488</v>
      </c>
      <c r="S240" t="s">
        <v>576</v>
      </c>
      <c r="T240" t="s">
        <v>553</v>
      </c>
      <c r="U240" s="190">
        <v>0</v>
      </c>
      <c r="AD240" t="s">
        <v>575</v>
      </c>
      <c r="AE240" t="s">
        <v>488</v>
      </c>
      <c r="AF240" t="s">
        <v>576</v>
      </c>
      <c r="AG240" s="85">
        <v>44996</v>
      </c>
      <c r="AH240" s="190">
        <v>0</v>
      </c>
    </row>
    <row r="241" spans="1:34" customFormat="1">
      <c r="A241" t="s">
        <v>370</v>
      </c>
      <c r="B241" t="s">
        <v>711</v>
      </c>
      <c r="Q241" t="s">
        <v>532</v>
      </c>
      <c r="R241" t="s">
        <v>488</v>
      </c>
      <c r="S241" t="s">
        <v>576</v>
      </c>
      <c r="T241" t="s">
        <v>553</v>
      </c>
      <c r="U241" s="190">
        <v>0</v>
      </c>
      <c r="AD241" t="s">
        <v>532</v>
      </c>
      <c r="AE241" t="s">
        <v>488</v>
      </c>
      <c r="AF241" t="s">
        <v>576</v>
      </c>
      <c r="AG241" s="85">
        <v>44996</v>
      </c>
      <c r="AH241" s="190">
        <v>0</v>
      </c>
    </row>
    <row r="242" spans="1:34" customFormat="1">
      <c r="A242" t="s">
        <v>370</v>
      </c>
      <c r="B242" t="s">
        <v>712</v>
      </c>
      <c r="C242" t="s">
        <v>575</v>
      </c>
      <c r="D242" t="s">
        <v>488</v>
      </c>
      <c r="E242" t="s">
        <v>576</v>
      </c>
      <c r="F242" s="85">
        <v>44996</v>
      </c>
      <c r="G242" s="190">
        <v>0</v>
      </c>
      <c r="Q242" t="s">
        <v>532</v>
      </c>
      <c r="R242" t="s">
        <v>518</v>
      </c>
      <c r="S242" t="s">
        <v>576</v>
      </c>
      <c r="T242" t="s">
        <v>553</v>
      </c>
      <c r="U242" s="190">
        <v>3.1250000000000001E-4</v>
      </c>
      <c r="AD242" t="s">
        <v>532</v>
      </c>
      <c r="AE242" t="s">
        <v>518</v>
      </c>
      <c r="AF242" t="s">
        <v>576</v>
      </c>
      <c r="AG242" s="85">
        <v>44996</v>
      </c>
      <c r="AH242" s="190">
        <v>2.8935185185185184E-4</v>
      </c>
    </row>
    <row r="243" spans="1:34" customFormat="1">
      <c r="A243" t="s">
        <v>370</v>
      </c>
      <c r="B243" t="s">
        <v>713</v>
      </c>
      <c r="C243" t="s">
        <v>532</v>
      </c>
      <c r="D243" t="s">
        <v>488</v>
      </c>
      <c r="E243" t="s">
        <v>576</v>
      </c>
      <c r="F243" s="85">
        <v>44996</v>
      </c>
      <c r="G243" s="190">
        <v>0</v>
      </c>
    </row>
    <row r="244" spans="1:34" customFormat="1">
      <c r="A244" t="s">
        <v>370</v>
      </c>
      <c r="B244" t="s">
        <v>714</v>
      </c>
      <c r="C244" t="s">
        <v>532</v>
      </c>
      <c r="D244" t="s">
        <v>518</v>
      </c>
      <c r="E244" t="s">
        <v>576</v>
      </c>
      <c r="F244" s="85">
        <v>44996</v>
      </c>
      <c r="G244" s="190">
        <v>3.1250000000000001E-4</v>
      </c>
      <c r="Q244" t="s">
        <v>581</v>
      </c>
      <c r="R244" t="s">
        <v>582</v>
      </c>
      <c r="S244" t="s">
        <v>583</v>
      </c>
      <c r="T244" t="s">
        <v>397</v>
      </c>
      <c r="U244" t="s">
        <v>584</v>
      </c>
      <c r="AD244" t="s">
        <v>581</v>
      </c>
      <c r="AE244" t="s">
        <v>582</v>
      </c>
      <c r="AF244" t="s">
        <v>583</v>
      </c>
    </row>
    <row r="245" spans="1:34" customFormat="1">
      <c r="A245" t="s">
        <v>370</v>
      </c>
      <c r="B245" t="s">
        <v>715</v>
      </c>
      <c r="Q245" t="s">
        <v>586</v>
      </c>
      <c r="R245" t="s">
        <v>587</v>
      </c>
      <c r="S245">
        <v>17.3</v>
      </c>
      <c r="T245" t="s">
        <v>1529</v>
      </c>
      <c r="U245" t="s">
        <v>614</v>
      </c>
      <c r="V245" t="s">
        <v>1547</v>
      </c>
      <c r="AD245" t="s">
        <v>586</v>
      </c>
      <c r="AE245" t="s">
        <v>587</v>
      </c>
      <c r="AF245">
        <v>17.2</v>
      </c>
      <c r="AG245">
        <v>1</v>
      </c>
      <c r="AH245" t="s">
        <v>1657</v>
      </c>
    </row>
    <row r="246" spans="1:34" customFormat="1">
      <c r="A246" t="s">
        <v>370</v>
      </c>
      <c r="B246" t="s">
        <v>716</v>
      </c>
      <c r="C246" t="s">
        <v>581</v>
      </c>
      <c r="D246" t="s">
        <v>582</v>
      </c>
      <c r="E246" t="s">
        <v>583</v>
      </c>
      <c r="F246" t="s">
        <v>397</v>
      </c>
      <c r="G246" t="s">
        <v>584</v>
      </c>
      <c r="Q246" t="s">
        <v>592</v>
      </c>
      <c r="R246" t="s">
        <v>587</v>
      </c>
      <c r="S246">
        <v>17</v>
      </c>
      <c r="T246" t="s">
        <v>1529</v>
      </c>
      <c r="U246" t="s">
        <v>614</v>
      </c>
      <c r="V246" t="s">
        <v>1548</v>
      </c>
      <c r="AD246" t="s">
        <v>592</v>
      </c>
      <c r="AE246" t="s">
        <v>587</v>
      </c>
      <c r="AF246">
        <v>16.8</v>
      </c>
      <c r="AG246">
        <v>1</v>
      </c>
      <c r="AH246" t="s">
        <v>1657</v>
      </c>
    </row>
    <row r="247" spans="1:34" customFormat="1">
      <c r="A247" t="s">
        <v>370</v>
      </c>
      <c r="B247" t="s">
        <v>717</v>
      </c>
      <c r="C247" t="s">
        <v>586</v>
      </c>
      <c r="D247" t="s">
        <v>587</v>
      </c>
      <c r="E247">
        <v>17.100000000000001</v>
      </c>
      <c r="F247" t="s">
        <v>588</v>
      </c>
      <c r="G247" t="s">
        <v>589</v>
      </c>
      <c r="H247" t="s">
        <v>718</v>
      </c>
      <c r="Q247" t="s">
        <v>532</v>
      </c>
      <c r="R247">
        <v>14</v>
      </c>
    </row>
    <row r="248" spans="1:34" customFormat="1">
      <c r="A248" t="s">
        <v>370</v>
      </c>
      <c r="B248" t="s">
        <v>719</v>
      </c>
      <c r="C248" t="s">
        <v>592</v>
      </c>
      <c r="D248" t="s">
        <v>587</v>
      </c>
      <c r="E248">
        <v>16.8</v>
      </c>
      <c r="F248" t="s">
        <v>588</v>
      </c>
      <c r="G248" t="s">
        <v>589</v>
      </c>
      <c r="H248" t="s">
        <v>720</v>
      </c>
      <c r="AD248" t="s">
        <v>532</v>
      </c>
      <c r="AE248">
        <v>13</v>
      </c>
    </row>
    <row r="249" spans="1:34" customFormat="1">
      <c r="A249" t="s">
        <v>370</v>
      </c>
      <c r="B249" t="s">
        <v>721</v>
      </c>
      <c r="Q249" t="s">
        <v>575</v>
      </c>
      <c r="R249" t="s">
        <v>488</v>
      </c>
      <c r="S249" t="s">
        <v>576</v>
      </c>
      <c r="T249" s="85">
        <v>44997</v>
      </c>
      <c r="U249" s="190">
        <v>0</v>
      </c>
    </row>
    <row r="250" spans="1:34" customFormat="1">
      <c r="A250" t="s">
        <v>370</v>
      </c>
      <c r="B250" t="s">
        <v>721</v>
      </c>
      <c r="C250" t="s">
        <v>532</v>
      </c>
      <c r="D250">
        <v>13</v>
      </c>
      <c r="Q250" t="s">
        <v>532</v>
      </c>
      <c r="R250" t="s">
        <v>488</v>
      </c>
      <c r="S250" t="s">
        <v>576</v>
      </c>
      <c r="T250" s="85">
        <v>44997</v>
      </c>
      <c r="U250" s="190">
        <v>0</v>
      </c>
      <c r="AD250" t="s">
        <v>575</v>
      </c>
      <c r="AE250" t="s">
        <v>488</v>
      </c>
      <c r="AF250" t="s">
        <v>576</v>
      </c>
      <c r="AG250" t="s">
        <v>553</v>
      </c>
      <c r="AH250" s="190">
        <v>0</v>
      </c>
    </row>
    <row r="251" spans="1:34" customFormat="1">
      <c r="A251" t="s">
        <v>370</v>
      </c>
      <c r="B251" t="s">
        <v>722</v>
      </c>
      <c r="Q251" t="s">
        <v>532</v>
      </c>
      <c r="R251" t="s">
        <v>518</v>
      </c>
      <c r="S251" t="s">
        <v>576</v>
      </c>
      <c r="T251" s="85">
        <v>44997</v>
      </c>
      <c r="U251" s="190">
        <v>3.1250000000000001E-4</v>
      </c>
      <c r="AD251" t="s">
        <v>532</v>
      </c>
      <c r="AE251" t="s">
        <v>488</v>
      </c>
      <c r="AF251" t="s">
        <v>576</v>
      </c>
      <c r="AG251" t="s">
        <v>553</v>
      </c>
      <c r="AH251" s="190">
        <v>0</v>
      </c>
    </row>
    <row r="252" spans="1:34" customFormat="1">
      <c r="A252" t="s">
        <v>370</v>
      </c>
      <c r="B252" t="s">
        <v>723</v>
      </c>
      <c r="C252" t="s">
        <v>575</v>
      </c>
      <c r="D252" t="s">
        <v>488</v>
      </c>
      <c r="E252" t="s">
        <v>576</v>
      </c>
      <c r="F252" t="s">
        <v>553</v>
      </c>
      <c r="G252" s="190">
        <v>0</v>
      </c>
      <c r="AD252" t="s">
        <v>532</v>
      </c>
      <c r="AE252" t="s">
        <v>518</v>
      </c>
      <c r="AF252" t="s">
        <v>576</v>
      </c>
      <c r="AG252" t="s">
        <v>553</v>
      </c>
      <c r="AH252" s="190">
        <v>2.8935185185185184E-4</v>
      </c>
    </row>
    <row r="253" spans="1:34" customFormat="1">
      <c r="A253" t="s">
        <v>370</v>
      </c>
      <c r="B253" t="s">
        <v>724</v>
      </c>
      <c r="C253" t="s">
        <v>532</v>
      </c>
      <c r="D253" t="s">
        <v>488</v>
      </c>
      <c r="E253" t="s">
        <v>576</v>
      </c>
      <c r="F253" t="s">
        <v>553</v>
      </c>
      <c r="G253" s="190">
        <v>0</v>
      </c>
      <c r="Q253" t="s">
        <v>581</v>
      </c>
      <c r="R253" t="s">
        <v>582</v>
      </c>
      <c r="S253" t="s">
        <v>583</v>
      </c>
      <c r="T253" t="s">
        <v>397</v>
      </c>
      <c r="U253" t="s">
        <v>584</v>
      </c>
    </row>
    <row r="254" spans="1:34" customFormat="1">
      <c r="A254" t="s">
        <v>370</v>
      </c>
      <c r="B254" t="s">
        <v>725</v>
      </c>
      <c r="C254" t="s">
        <v>532</v>
      </c>
      <c r="D254" t="s">
        <v>518</v>
      </c>
      <c r="E254" t="s">
        <v>576</v>
      </c>
      <c r="F254" t="s">
        <v>553</v>
      </c>
      <c r="G254" s="190">
        <v>3.1250000000000001E-4</v>
      </c>
      <c r="Q254" t="s">
        <v>586</v>
      </c>
      <c r="R254" t="s">
        <v>587</v>
      </c>
      <c r="S254">
        <v>17.2</v>
      </c>
      <c r="T254" t="s">
        <v>1529</v>
      </c>
      <c r="U254" t="s">
        <v>614</v>
      </c>
      <c r="V254" t="s">
        <v>1549</v>
      </c>
      <c r="AD254" t="s">
        <v>581</v>
      </c>
      <c r="AE254" t="s">
        <v>582</v>
      </c>
      <c r="AF254" t="s">
        <v>583</v>
      </c>
    </row>
    <row r="255" spans="1:34" customFormat="1">
      <c r="A255" t="s">
        <v>370</v>
      </c>
      <c r="B255" t="s">
        <v>726</v>
      </c>
      <c r="Q255" t="s">
        <v>592</v>
      </c>
      <c r="R255" t="s">
        <v>587</v>
      </c>
      <c r="S255">
        <v>16.8</v>
      </c>
      <c r="T255" t="s">
        <v>1529</v>
      </c>
      <c r="U255" t="s">
        <v>614</v>
      </c>
      <c r="V255" t="s">
        <v>1550</v>
      </c>
      <c r="AD255" t="s">
        <v>586</v>
      </c>
      <c r="AE255" t="s">
        <v>587</v>
      </c>
      <c r="AF255">
        <v>17.100000000000001</v>
      </c>
      <c r="AG255">
        <v>1</v>
      </c>
      <c r="AH255" t="s">
        <v>1657</v>
      </c>
    </row>
    <row r="256" spans="1:34" customFormat="1">
      <c r="A256" t="s">
        <v>370</v>
      </c>
      <c r="B256" t="s">
        <v>727</v>
      </c>
      <c r="C256" t="s">
        <v>581</v>
      </c>
      <c r="D256" t="s">
        <v>582</v>
      </c>
      <c r="E256" t="s">
        <v>583</v>
      </c>
      <c r="F256" t="s">
        <v>397</v>
      </c>
      <c r="G256" t="s">
        <v>584</v>
      </c>
      <c r="Q256" t="s">
        <v>532</v>
      </c>
      <c r="R256">
        <v>15</v>
      </c>
      <c r="AD256" t="s">
        <v>592</v>
      </c>
      <c r="AE256" t="s">
        <v>587</v>
      </c>
      <c r="AF256">
        <v>16.7</v>
      </c>
      <c r="AG256">
        <v>1</v>
      </c>
      <c r="AH256" t="s">
        <v>1657</v>
      </c>
    </row>
    <row r="257" spans="1:34" customFormat="1">
      <c r="A257" t="s">
        <v>370</v>
      </c>
      <c r="B257" t="s">
        <v>728</v>
      </c>
      <c r="C257" t="s">
        <v>586</v>
      </c>
      <c r="D257" t="s">
        <v>587</v>
      </c>
      <c r="E257">
        <v>17</v>
      </c>
      <c r="F257" t="s">
        <v>588</v>
      </c>
      <c r="G257" t="s">
        <v>589</v>
      </c>
      <c r="H257" t="s">
        <v>729</v>
      </c>
    </row>
    <row r="258" spans="1:34" customFormat="1">
      <c r="A258" t="s">
        <v>370</v>
      </c>
      <c r="B258" t="s">
        <v>730</v>
      </c>
      <c r="C258" t="s">
        <v>592</v>
      </c>
      <c r="D258" t="s">
        <v>587</v>
      </c>
      <c r="E258">
        <v>16.7</v>
      </c>
      <c r="F258" t="s">
        <v>588</v>
      </c>
      <c r="G258" t="s">
        <v>589</v>
      </c>
      <c r="H258" t="s">
        <v>731</v>
      </c>
      <c r="Q258" t="s">
        <v>575</v>
      </c>
      <c r="R258" t="s">
        <v>488</v>
      </c>
      <c r="S258" t="s">
        <v>576</v>
      </c>
      <c r="T258" t="s">
        <v>556</v>
      </c>
      <c r="U258" s="190">
        <v>0</v>
      </c>
      <c r="AD258" t="s">
        <v>532</v>
      </c>
      <c r="AE258">
        <v>14</v>
      </c>
    </row>
    <row r="259" spans="1:34" customFormat="1">
      <c r="A259" t="s">
        <v>370</v>
      </c>
      <c r="B259" t="s">
        <v>732</v>
      </c>
      <c r="Q259" t="s">
        <v>532</v>
      </c>
      <c r="R259" t="s">
        <v>488</v>
      </c>
      <c r="S259" t="s">
        <v>576</v>
      </c>
      <c r="T259" t="s">
        <v>556</v>
      </c>
      <c r="U259" s="190">
        <v>0</v>
      </c>
    </row>
    <row r="260" spans="1:34" customFormat="1">
      <c r="A260" t="s">
        <v>370</v>
      </c>
      <c r="B260" t="s">
        <v>733</v>
      </c>
      <c r="C260" t="s">
        <v>532</v>
      </c>
      <c r="D260">
        <v>14</v>
      </c>
      <c r="Q260" t="s">
        <v>532</v>
      </c>
      <c r="R260" t="s">
        <v>518</v>
      </c>
      <c r="S260" t="s">
        <v>576</v>
      </c>
      <c r="T260" t="s">
        <v>556</v>
      </c>
      <c r="U260" s="190">
        <v>3.1250000000000001E-4</v>
      </c>
      <c r="AD260" t="s">
        <v>575</v>
      </c>
      <c r="AE260" t="s">
        <v>488</v>
      </c>
      <c r="AF260" t="s">
        <v>576</v>
      </c>
      <c r="AG260" s="85">
        <v>44997</v>
      </c>
      <c r="AH260" s="190">
        <v>0</v>
      </c>
    </row>
    <row r="261" spans="1:34" customFormat="1">
      <c r="A261" t="s">
        <v>370</v>
      </c>
      <c r="B261" t="s">
        <v>734</v>
      </c>
      <c r="AD261" t="s">
        <v>532</v>
      </c>
      <c r="AE261" t="s">
        <v>488</v>
      </c>
      <c r="AF261" t="s">
        <v>576</v>
      </c>
      <c r="AG261" s="85">
        <v>44997</v>
      </c>
      <c r="AH261" s="190">
        <v>0</v>
      </c>
    </row>
    <row r="262" spans="1:34" customFormat="1">
      <c r="A262" t="s">
        <v>370</v>
      </c>
      <c r="B262" t="s">
        <v>735</v>
      </c>
      <c r="C262" t="s">
        <v>575</v>
      </c>
      <c r="D262" t="s">
        <v>488</v>
      </c>
      <c r="E262" t="s">
        <v>576</v>
      </c>
      <c r="F262" s="85">
        <v>44997</v>
      </c>
      <c r="G262" s="190">
        <v>0</v>
      </c>
      <c r="Q262" t="s">
        <v>581</v>
      </c>
      <c r="R262" t="s">
        <v>582</v>
      </c>
      <c r="S262" t="s">
        <v>583</v>
      </c>
      <c r="T262" t="s">
        <v>397</v>
      </c>
      <c r="U262" t="s">
        <v>584</v>
      </c>
      <c r="AD262" t="s">
        <v>532</v>
      </c>
      <c r="AE262" t="s">
        <v>518</v>
      </c>
      <c r="AF262" t="s">
        <v>576</v>
      </c>
      <c r="AG262" s="85">
        <v>44997</v>
      </c>
      <c r="AH262" s="190">
        <v>2.8935185185185184E-4</v>
      </c>
    </row>
    <row r="263" spans="1:34" customFormat="1">
      <c r="A263" t="s">
        <v>370</v>
      </c>
      <c r="B263" t="s">
        <v>736</v>
      </c>
      <c r="C263" t="s">
        <v>532</v>
      </c>
      <c r="D263" t="s">
        <v>488</v>
      </c>
      <c r="E263" t="s">
        <v>576</v>
      </c>
      <c r="F263" s="85">
        <v>44997</v>
      </c>
      <c r="G263" s="190">
        <v>0</v>
      </c>
      <c r="Q263" t="s">
        <v>586</v>
      </c>
      <c r="R263" t="s">
        <v>587</v>
      </c>
      <c r="S263">
        <v>17.100000000000001</v>
      </c>
      <c r="T263" t="s">
        <v>1529</v>
      </c>
      <c r="U263" t="s">
        <v>614</v>
      </c>
      <c r="V263" t="s">
        <v>1551</v>
      </c>
    </row>
    <row r="264" spans="1:34" customFormat="1">
      <c r="A264" t="s">
        <v>370</v>
      </c>
      <c r="B264" t="s">
        <v>737</v>
      </c>
      <c r="C264" t="s">
        <v>532</v>
      </c>
      <c r="D264" t="s">
        <v>518</v>
      </c>
      <c r="E264" t="s">
        <v>576</v>
      </c>
      <c r="F264" s="85">
        <v>44997</v>
      </c>
      <c r="G264" s="190">
        <v>3.1250000000000001E-4</v>
      </c>
      <c r="Q264" t="s">
        <v>592</v>
      </c>
      <c r="R264" t="s">
        <v>587</v>
      </c>
      <c r="S264">
        <v>16.7</v>
      </c>
      <c r="T264" t="s">
        <v>1529</v>
      </c>
      <c r="U264" t="s">
        <v>614</v>
      </c>
      <c r="V264" t="s">
        <v>1552</v>
      </c>
      <c r="AD264" t="s">
        <v>581</v>
      </c>
      <c r="AE264" t="s">
        <v>582</v>
      </c>
      <c r="AF264" t="s">
        <v>583</v>
      </c>
    </row>
    <row r="265" spans="1:34" customFormat="1">
      <c r="A265" t="s">
        <v>370</v>
      </c>
      <c r="B265" t="s">
        <v>738</v>
      </c>
      <c r="Q265" t="s">
        <v>532</v>
      </c>
      <c r="R265">
        <v>16</v>
      </c>
      <c r="AD265" t="s">
        <v>586</v>
      </c>
      <c r="AE265" t="s">
        <v>587</v>
      </c>
      <c r="AF265">
        <v>16.899999999999999</v>
      </c>
      <c r="AG265">
        <v>1</v>
      </c>
      <c r="AH265" t="s">
        <v>1657</v>
      </c>
    </row>
    <row r="266" spans="1:34" customFormat="1">
      <c r="A266" t="s">
        <v>370</v>
      </c>
      <c r="B266" t="s">
        <v>739</v>
      </c>
      <c r="C266" t="s">
        <v>581</v>
      </c>
      <c r="D266" t="s">
        <v>582</v>
      </c>
      <c r="E266" t="s">
        <v>583</v>
      </c>
      <c r="F266" t="s">
        <v>397</v>
      </c>
      <c r="G266" t="s">
        <v>584</v>
      </c>
      <c r="AD266" t="s">
        <v>592</v>
      </c>
      <c r="AE266" t="s">
        <v>587</v>
      </c>
      <c r="AF266">
        <v>16.600000000000001</v>
      </c>
      <c r="AG266">
        <v>1</v>
      </c>
      <c r="AH266" t="s">
        <v>1657</v>
      </c>
    </row>
    <row r="267" spans="1:34" customFormat="1">
      <c r="A267" t="s">
        <v>370</v>
      </c>
      <c r="B267" t="s">
        <v>740</v>
      </c>
      <c r="C267" t="s">
        <v>586</v>
      </c>
      <c r="D267" t="s">
        <v>587</v>
      </c>
      <c r="E267">
        <v>16.899999999999999</v>
      </c>
      <c r="F267" t="s">
        <v>588</v>
      </c>
      <c r="G267" t="s">
        <v>614</v>
      </c>
      <c r="H267" t="s">
        <v>741</v>
      </c>
      <c r="Q267" t="s">
        <v>575</v>
      </c>
      <c r="R267" t="s">
        <v>488</v>
      </c>
      <c r="S267" t="s">
        <v>576</v>
      </c>
      <c r="T267" s="85">
        <v>45323</v>
      </c>
      <c r="U267" s="190">
        <v>0</v>
      </c>
    </row>
    <row r="268" spans="1:34" customFormat="1">
      <c r="A268" t="s">
        <v>370</v>
      </c>
      <c r="B268" t="s">
        <v>742</v>
      </c>
      <c r="C268" t="s">
        <v>592</v>
      </c>
      <c r="D268" t="s">
        <v>587</v>
      </c>
      <c r="E268">
        <v>16.600000000000001</v>
      </c>
      <c r="F268" t="s">
        <v>588</v>
      </c>
      <c r="G268" t="s">
        <v>589</v>
      </c>
      <c r="H268" t="s">
        <v>743</v>
      </c>
      <c r="Q268" t="s">
        <v>532</v>
      </c>
      <c r="R268" t="s">
        <v>488</v>
      </c>
      <c r="S268" t="s">
        <v>576</v>
      </c>
      <c r="T268" s="85">
        <v>45323</v>
      </c>
      <c r="U268" s="190">
        <v>0</v>
      </c>
      <c r="AD268" t="s">
        <v>532</v>
      </c>
      <c r="AE268">
        <v>15</v>
      </c>
    </row>
    <row r="269" spans="1:34" customFormat="1">
      <c r="A269" t="s">
        <v>370</v>
      </c>
      <c r="B269" t="s">
        <v>744</v>
      </c>
      <c r="Q269" t="s">
        <v>532</v>
      </c>
      <c r="R269" t="s">
        <v>518</v>
      </c>
      <c r="S269" t="s">
        <v>576</v>
      </c>
      <c r="T269" s="85">
        <v>45323</v>
      </c>
      <c r="U269" s="190">
        <v>3.1250000000000001E-4</v>
      </c>
    </row>
    <row r="270" spans="1:34" customFormat="1">
      <c r="A270" t="s">
        <v>370</v>
      </c>
      <c r="B270" t="s">
        <v>744</v>
      </c>
      <c r="C270" t="s">
        <v>532</v>
      </c>
      <c r="D270">
        <v>15</v>
      </c>
      <c r="AD270" t="s">
        <v>575</v>
      </c>
      <c r="AE270" t="s">
        <v>488</v>
      </c>
      <c r="AF270" t="s">
        <v>576</v>
      </c>
      <c r="AG270" t="s">
        <v>556</v>
      </c>
      <c r="AH270" s="190">
        <v>0</v>
      </c>
    </row>
    <row r="271" spans="1:34" customFormat="1">
      <c r="A271" t="s">
        <v>370</v>
      </c>
      <c r="B271" t="s">
        <v>745</v>
      </c>
      <c r="Q271" t="s">
        <v>581</v>
      </c>
      <c r="R271" t="s">
        <v>582</v>
      </c>
      <c r="S271" t="s">
        <v>583</v>
      </c>
      <c r="T271" t="s">
        <v>397</v>
      </c>
      <c r="U271" t="s">
        <v>584</v>
      </c>
      <c r="AD271" t="s">
        <v>532</v>
      </c>
      <c r="AE271" t="s">
        <v>488</v>
      </c>
      <c r="AF271" t="s">
        <v>576</v>
      </c>
      <c r="AG271" t="s">
        <v>556</v>
      </c>
      <c r="AH271" s="190">
        <v>0</v>
      </c>
    </row>
    <row r="272" spans="1:34" customFormat="1">
      <c r="A272" t="s">
        <v>370</v>
      </c>
      <c r="B272" t="s">
        <v>746</v>
      </c>
      <c r="C272" t="s">
        <v>575</v>
      </c>
      <c r="D272" t="s">
        <v>488</v>
      </c>
      <c r="E272" t="s">
        <v>576</v>
      </c>
      <c r="F272" t="s">
        <v>556</v>
      </c>
      <c r="G272" s="190">
        <v>0</v>
      </c>
      <c r="Q272" t="s">
        <v>586</v>
      </c>
      <c r="R272" t="s">
        <v>587</v>
      </c>
      <c r="S272">
        <v>16.899999999999999</v>
      </c>
      <c r="T272" t="s">
        <v>1529</v>
      </c>
      <c r="U272" t="s">
        <v>614</v>
      </c>
      <c r="V272" t="s">
        <v>1553</v>
      </c>
      <c r="AD272" t="s">
        <v>532</v>
      </c>
      <c r="AE272" t="s">
        <v>518</v>
      </c>
      <c r="AF272" t="s">
        <v>576</v>
      </c>
      <c r="AG272" t="s">
        <v>556</v>
      </c>
      <c r="AH272" s="190">
        <v>2.8935185185185184E-4</v>
      </c>
    </row>
    <row r="273" spans="1:34" customFormat="1">
      <c r="A273" t="s">
        <v>370</v>
      </c>
      <c r="B273" t="s">
        <v>747</v>
      </c>
      <c r="C273" t="s">
        <v>532</v>
      </c>
      <c r="D273" t="s">
        <v>488</v>
      </c>
      <c r="E273" t="s">
        <v>576</v>
      </c>
      <c r="F273" t="s">
        <v>556</v>
      </c>
      <c r="G273" s="190">
        <v>0</v>
      </c>
      <c r="Q273" t="s">
        <v>592</v>
      </c>
      <c r="R273" t="s">
        <v>587</v>
      </c>
      <c r="S273">
        <v>16.600000000000001</v>
      </c>
      <c r="T273" t="s">
        <v>1529</v>
      </c>
      <c r="U273" t="s">
        <v>614</v>
      </c>
      <c r="V273" t="s">
        <v>1554</v>
      </c>
    </row>
    <row r="274" spans="1:34" customFormat="1">
      <c r="A274" t="s">
        <v>370</v>
      </c>
      <c r="B274" t="s">
        <v>748</v>
      </c>
      <c r="C274" t="s">
        <v>532</v>
      </c>
      <c r="D274" t="s">
        <v>518</v>
      </c>
      <c r="E274" t="s">
        <v>576</v>
      </c>
      <c r="F274" t="s">
        <v>556</v>
      </c>
      <c r="G274" s="190">
        <v>3.1250000000000001E-4</v>
      </c>
      <c r="Q274" t="s">
        <v>532</v>
      </c>
      <c r="R274">
        <v>17</v>
      </c>
      <c r="AD274" t="s">
        <v>581</v>
      </c>
      <c r="AE274" t="s">
        <v>582</v>
      </c>
      <c r="AF274" t="s">
        <v>583</v>
      </c>
    </row>
    <row r="275" spans="1:34" customFormat="1">
      <c r="A275" t="s">
        <v>370</v>
      </c>
      <c r="B275" t="s">
        <v>749</v>
      </c>
      <c r="AD275" t="s">
        <v>586</v>
      </c>
      <c r="AE275" t="s">
        <v>587</v>
      </c>
      <c r="AF275">
        <v>16.899999999999999</v>
      </c>
      <c r="AG275">
        <v>1</v>
      </c>
      <c r="AH275" t="s">
        <v>1657</v>
      </c>
    </row>
    <row r="276" spans="1:34" customFormat="1">
      <c r="A276" t="s">
        <v>370</v>
      </c>
      <c r="B276" t="s">
        <v>750</v>
      </c>
      <c r="C276" t="s">
        <v>581</v>
      </c>
      <c r="D276" t="s">
        <v>582</v>
      </c>
      <c r="E276" t="s">
        <v>583</v>
      </c>
      <c r="F276" t="s">
        <v>397</v>
      </c>
      <c r="G276" t="s">
        <v>584</v>
      </c>
      <c r="Q276" t="s">
        <v>575</v>
      </c>
      <c r="R276" t="s">
        <v>488</v>
      </c>
      <c r="S276" t="s">
        <v>576</v>
      </c>
      <c r="T276" t="s">
        <v>559</v>
      </c>
      <c r="U276" s="190">
        <v>0</v>
      </c>
      <c r="AD276" t="s">
        <v>592</v>
      </c>
      <c r="AE276" t="s">
        <v>587</v>
      </c>
      <c r="AF276">
        <v>16.3</v>
      </c>
      <c r="AG276">
        <v>1</v>
      </c>
      <c r="AH276" t="s">
        <v>1657</v>
      </c>
    </row>
    <row r="277" spans="1:34" customFormat="1">
      <c r="A277" t="s">
        <v>370</v>
      </c>
      <c r="B277" t="s">
        <v>751</v>
      </c>
      <c r="C277" t="s">
        <v>586</v>
      </c>
      <c r="D277" t="s">
        <v>587</v>
      </c>
      <c r="E277">
        <v>16.7</v>
      </c>
      <c r="F277" t="s">
        <v>588</v>
      </c>
      <c r="G277" t="s">
        <v>614</v>
      </c>
      <c r="H277" t="s">
        <v>752</v>
      </c>
      <c r="Q277" t="s">
        <v>532</v>
      </c>
      <c r="R277" t="s">
        <v>488</v>
      </c>
      <c r="S277" t="s">
        <v>576</v>
      </c>
      <c r="T277" t="s">
        <v>559</v>
      </c>
      <c r="U277" s="190">
        <v>0</v>
      </c>
    </row>
    <row r="278" spans="1:34" customFormat="1">
      <c r="A278" t="s">
        <v>370</v>
      </c>
      <c r="B278" t="s">
        <v>753</v>
      </c>
      <c r="C278" t="s">
        <v>592</v>
      </c>
      <c r="D278" t="s">
        <v>587</v>
      </c>
      <c r="E278">
        <v>16.399999999999999</v>
      </c>
      <c r="F278" t="s">
        <v>588</v>
      </c>
      <c r="G278" t="s">
        <v>589</v>
      </c>
      <c r="H278" t="s">
        <v>754</v>
      </c>
      <c r="Q278" t="s">
        <v>532</v>
      </c>
      <c r="R278" t="s">
        <v>518</v>
      </c>
      <c r="S278" t="s">
        <v>576</v>
      </c>
      <c r="T278" t="s">
        <v>559</v>
      </c>
      <c r="U278" s="190">
        <v>3.1250000000000001E-4</v>
      </c>
      <c r="AD278" t="s">
        <v>532</v>
      </c>
      <c r="AE278">
        <v>16</v>
      </c>
    </row>
    <row r="279" spans="1:34" customFormat="1">
      <c r="A279" t="s">
        <v>370</v>
      </c>
      <c r="B279" t="s">
        <v>755</v>
      </c>
    </row>
    <row r="280" spans="1:34" customFormat="1">
      <c r="A280" t="s">
        <v>370</v>
      </c>
      <c r="B280" t="s">
        <v>756</v>
      </c>
      <c r="C280" t="s">
        <v>532</v>
      </c>
      <c r="D280">
        <v>16</v>
      </c>
      <c r="Q280" t="s">
        <v>581</v>
      </c>
      <c r="R280" t="s">
        <v>582</v>
      </c>
      <c r="S280" t="s">
        <v>583</v>
      </c>
      <c r="T280" t="s">
        <v>397</v>
      </c>
      <c r="U280" t="s">
        <v>584</v>
      </c>
      <c r="AD280" t="s">
        <v>575</v>
      </c>
      <c r="AE280" t="s">
        <v>488</v>
      </c>
      <c r="AF280" t="s">
        <v>576</v>
      </c>
      <c r="AG280" s="85">
        <v>45323</v>
      </c>
      <c r="AH280" s="190">
        <v>0</v>
      </c>
    </row>
    <row r="281" spans="1:34" customFormat="1">
      <c r="A281" t="s">
        <v>370</v>
      </c>
      <c r="B281" t="s">
        <v>756</v>
      </c>
      <c r="Q281" t="s">
        <v>586</v>
      </c>
      <c r="R281" t="s">
        <v>587</v>
      </c>
      <c r="S281">
        <v>16.899999999999999</v>
      </c>
      <c r="T281" t="s">
        <v>1529</v>
      </c>
      <c r="U281" t="s">
        <v>614</v>
      </c>
      <c r="V281" t="s">
        <v>1555</v>
      </c>
      <c r="AD281" t="s">
        <v>532</v>
      </c>
      <c r="AE281" t="s">
        <v>488</v>
      </c>
      <c r="AF281" t="s">
        <v>576</v>
      </c>
      <c r="AG281" s="85">
        <v>45323</v>
      </c>
      <c r="AH281" s="190">
        <v>0</v>
      </c>
    </row>
    <row r="282" spans="1:34" customFormat="1">
      <c r="A282" t="s">
        <v>370</v>
      </c>
      <c r="B282" t="s">
        <v>757</v>
      </c>
      <c r="C282" t="s">
        <v>575</v>
      </c>
      <c r="D282" t="s">
        <v>488</v>
      </c>
      <c r="E282" t="s">
        <v>576</v>
      </c>
      <c r="F282" s="85">
        <v>45323</v>
      </c>
      <c r="G282" s="190">
        <v>0</v>
      </c>
      <c r="Q282" t="s">
        <v>592</v>
      </c>
      <c r="R282" t="s">
        <v>587</v>
      </c>
      <c r="S282">
        <v>16.5</v>
      </c>
      <c r="T282" t="s">
        <v>1529</v>
      </c>
      <c r="U282" t="s">
        <v>614</v>
      </c>
      <c r="V282" t="s">
        <v>1556</v>
      </c>
      <c r="AD282" t="s">
        <v>532</v>
      </c>
      <c r="AE282" t="s">
        <v>518</v>
      </c>
      <c r="AF282" t="s">
        <v>576</v>
      </c>
      <c r="AG282" s="85">
        <v>45323</v>
      </c>
      <c r="AH282" s="190">
        <v>2.8935185185185184E-4</v>
      </c>
    </row>
    <row r="283" spans="1:34" customFormat="1">
      <c r="A283" t="s">
        <v>370</v>
      </c>
      <c r="B283" t="s">
        <v>758</v>
      </c>
      <c r="C283" t="s">
        <v>532</v>
      </c>
      <c r="D283" t="s">
        <v>488</v>
      </c>
      <c r="E283" t="s">
        <v>576</v>
      </c>
      <c r="F283" s="85">
        <v>45323</v>
      </c>
      <c r="G283" s="190">
        <v>0</v>
      </c>
      <c r="Q283" t="s">
        <v>532</v>
      </c>
      <c r="R283">
        <v>18</v>
      </c>
    </row>
    <row r="284" spans="1:34" customFormat="1">
      <c r="A284" t="s">
        <v>370</v>
      </c>
      <c r="B284" t="s">
        <v>759</v>
      </c>
      <c r="C284" t="s">
        <v>532</v>
      </c>
      <c r="D284" t="s">
        <v>518</v>
      </c>
      <c r="E284" t="s">
        <v>576</v>
      </c>
      <c r="F284" s="85">
        <v>45323</v>
      </c>
      <c r="G284" s="190">
        <v>3.1250000000000001E-4</v>
      </c>
      <c r="AD284" t="s">
        <v>581</v>
      </c>
      <c r="AE284" t="s">
        <v>582</v>
      </c>
      <c r="AF284" t="s">
        <v>583</v>
      </c>
    </row>
    <row r="285" spans="1:34" customFormat="1">
      <c r="A285" t="s">
        <v>370</v>
      </c>
      <c r="B285" t="s">
        <v>760</v>
      </c>
      <c r="Q285" t="s">
        <v>575</v>
      </c>
      <c r="R285" t="s">
        <v>488</v>
      </c>
      <c r="S285" t="s">
        <v>576</v>
      </c>
      <c r="T285" s="85">
        <v>45293</v>
      </c>
      <c r="U285" s="190">
        <v>0</v>
      </c>
      <c r="AD285" t="s">
        <v>586</v>
      </c>
      <c r="AE285" t="s">
        <v>587</v>
      </c>
      <c r="AF285">
        <v>16.5</v>
      </c>
      <c r="AG285">
        <v>1</v>
      </c>
      <c r="AH285" t="s">
        <v>1657</v>
      </c>
    </row>
    <row r="286" spans="1:34" customFormat="1">
      <c r="A286" t="s">
        <v>370</v>
      </c>
      <c r="B286" t="s">
        <v>761</v>
      </c>
      <c r="C286" t="s">
        <v>581</v>
      </c>
      <c r="D286" t="s">
        <v>582</v>
      </c>
      <c r="E286" t="s">
        <v>583</v>
      </c>
      <c r="F286" t="s">
        <v>397</v>
      </c>
      <c r="G286" t="s">
        <v>584</v>
      </c>
      <c r="Q286" t="s">
        <v>532</v>
      </c>
      <c r="R286" t="s">
        <v>488</v>
      </c>
      <c r="S286" t="s">
        <v>576</v>
      </c>
      <c r="T286" s="85">
        <v>45293</v>
      </c>
      <c r="U286" s="190">
        <v>0</v>
      </c>
      <c r="AD286" t="s">
        <v>592</v>
      </c>
      <c r="AE286" t="s">
        <v>587</v>
      </c>
      <c r="AF286">
        <v>16.2</v>
      </c>
      <c r="AG286">
        <v>2</v>
      </c>
      <c r="AH286" t="s">
        <v>1657</v>
      </c>
    </row>
    <row r="287" spans="1:34" customFormat="1">
      <c r="A287" t="s">
        <v>370</v>
      </c>
      <c r="B287" t="s">
        <v>762</v>
      </c>
      <c r="C287" t="s">
        <v>586</v>
      </c>
      <c r="D287" t="s">
        <v>587</v>
      </c>
      <c r="E287">
        <v>16.5</v>
      </c>
      <c r="F287" t="s">
        <v>588</v>
      </c>
      <c r="G287" t="s">
        <v>589</v>
      </c>
      <c r="H287" t="s">
        <v>763</v>
      </c>
      <c r="Q287" t="s">
        <v>532</v>
      </c>
      <c r="R287" t="s">
        <v>518</v>
      </c>
      <c r="S287" t="s">
        <v>576</v>
      </c>
      <c r="T287" s="85">
        <v>45293</v>
      </c>
      <c r="U287" s="190">
        <v>3.1250000000000001E-4</v>
      </c>
    </row>
    <row r="288" spans="1:34" customFormat="1">
      <c r="A288" t="s">
        <v>370</v>
      </c>
      <c r="B288" t="s">
        <v>764</v>
      </c>
      <c r="C288" t="s">
        <v>592</v>
      </c>
      <c r="D288" t="s">
        <v>587</v>
      </c>
      <c r="E288">
        <v>16.2</v>
      </c>
      <c r="F288" t="s">
        <v>588</v>
      </c>
      <c r="G288" t="s">
        <v>614</v>
      </c>
      <c r="H288" t="s">
        <v>763</v>
      </c>
      <c r="AD288" t="s">
        <v>532</v>
      </c>
      <c r="AE288">
        <v>17</v>
      </c>
    </row>
    <row r="289" spans="1:34" customFormat="1">
      <c r="A289" t="s">
        <v>370</v>
      </c>
      <c r="B289" t="s">
        <v>765</v>
      </c>
      <c r="Q289" t="s">
        <v>581</v>
      </c>
      <c r="R289" t="s">
        <v>582</v>
      </c>
      <c r="S289" t="s">
        <v>583</v>
      </c>
      <c r="T289" t="s">
        <v>397</v>
      </c>
      <c r="U289" t="s">
        <v>584</v>
      </c>
    </row>
    <row r="290" spans="1:34" customFormat="1">
      <c r="A290" t="s">
        <v>370</v>
      </c>
      <c r="B290" t="s">
        <v>766</v>
      </c>
      <c r="C290" t="s">
        <v>532</v>
      </c>
      <c r="D290">
        <v>17</v>
      </c>
      <c r="Q290" t="s">
        <v>586</v>
      </c>
      <c r="R290" t="s">
        <v>587</v>
      </c>
      <c r="S290">
        <v>16.7</v>
      </c>
      <c r="T290" t="s">
        <v>1529</v>
      </c>
      <c r="U290" t="s">
        <v>614</v>
      </c>
      <c r="V290" t="s">
        <v>1557</v>
      </c>
      <c r="AD290" t="s">
        <v>575</v>
      </c>
      <c r="AE290" t="s">
        <v>488</v>
      </c>
      <c r="AF290" t="s">
        <v>576</v>
      </c>
      <c r="AG290" t="s">
        <v>559</v>
      </c>
      <c r="AH290" s="190">
        <v>0</v>
      </c>
    </row>
    <row r="291" spans="1:34" customFormat="1">
      <c r="A291" t="s">
        <v>370</v>
      </c>
      <c r="B291" t="s">
        <v>766</v>
      </c>
      <c r="Q291" t="s">
        <v>592</v>
      </c>
      <c r="R291" t="s">
        <v>587</v>
      </c>
      <c r="S291">
        <v>16.3</v>
      </c>
      <c r="T291" t="s">
        <v>1529</v>
      </c>
      <c r="U291" t="s">
        <v>614</v>
      </c>
      <c r="V291" t="s">
        <v>1557</v>
      </c>
      <c r="AD291" t="s">
        <v>532</v>
      </c>
      <c r="AE291" t="s">
        <v>488</v>
      </c>
      <c r="AF291" t="s">
        <v>576</v>
      </c>
      <c r="AG291" t="s">
        <v>559</v>
      </c>
      <c r="AH291" s="190">
        <v>0</v>
      </c>
    </row>
    <row r="292" spans="1:34" customFormat="1">
      <c r="A292" t="s">
        <v>370</v>
      </c>
      <c r="B292" t="s">
        <v>767</v>
      </c>
      <c r="C292" t="s">
        <v>575</v>
      </c>
      <c r="D292" t="s">
        <v>488</v>
      </c>
      <c r="E292" t="s">
        <v>576</v>
      </c>
      <c r="F292" t="s">
        <v>559</v>
      </c>
      <c r="G292" s="190">
        <v>0</v>
      </c>
      <c r="Q292" t="s">
        <v>532</v>
      </c>
      <c r="R292">
        <v>19</v>
      </c>
      <c r="AD292" t="s">
        <v>532</v>
      </c>
      <c r="AE292" t="s">
        <v>518</v>
      </c>
      <c r="AF292" t="s">
        <v>576</v>
      </c>
      <c r="AG292" t="s">
        <v>559</v>
      </c>
      <c r="AH292" s="190">
        <v>2.8935185185185184E-4</v>
      </c>
    </row>
    <row r="293" spans="1:34" customFormat="1">
      <c r="A293" t="s">
        <v>370</v>
      </c>
      <c r="B293" t="s">
        <v>768</v>
      </c>
      <c r="C293" t="s">
        <v>532</v>
      </c>
      <c r="D293" t="s">
        <v>488</v>
      </c>
      <c r="E293" t="s">
        <v>576</v>
      </c>
      <c r="F293" t="s">
        <v>559</v>
      </c>
      <c r="G293" s="190">
        <v>0</v>
      </c>
    </row>
    <row r="294" spans="1:34" customFormat="1">
      <c r="A294" t="s">
        <v>370</v>
      </c>
      <c r="B294" t="s">
        <v>769</v>
      </c>
      <c r="C294" t="s">
        <v>532</v>
      </c>
      <c r="D294" t="s">
        <v>518</v>
      </c>
      <c r="E294" t="s">
        <v>576</v>
      </c>
      <c r="F294" t="s">
        <v>559</v>
      </c>
      <c r="G294" s="190">
        <v>3.1250000000000001E-4</v>
      </c>
      <c r="Q294" t="s">
        <v>575</v>
      </c>
      <c r="R294" t="s">
        <v>488</v>
      </c>
      <c r="S294" t="s">
        <v>576</v>
      </c>
      <c r="T294" t="s">
        <v>562</v>
      </c>
      <c r="U294" s="190">
        <v>0</v>
      </c>
      <c r="AD294" t="s">
        <v>581</v>
      </c>
      <c r="AE294" t="s">
        <v>582</v>
      </c>
      <c r="AF294" t="s">
        <v>583</v>
      </c>
    </row>
    <row r="295" spans="1:34" customFormat="1">
      <c r="A295" t="s">
        <v>370</v>
      </c>
      <c r="B295" t="s">
        <v>770</v>
      </c>
      <c r="Q295" t="s">
        <v>532</v>
      </c>
      <c r="R295" t="s">
        <v>488</v>
      </c>
      <c r="S295" t="s">
        <v>576</v>
      </c>
      <c r="T295" t="s">
        <v>562</v>
      </c>
      <c r="U295" s="190">
        <v>0</v>
      </c>
      <c r="AD295" t="s">
        <v>586</v>
      </c>
      <c r="AE295" t="s">
        <v>587</v>
      </c>
      <c r="AF295">
        <v>16.5</v>
      </c>
      <c r="AG295">
        <v>1</v>
      </c>
      <c r="AH295" t="s">
        <v>1657</v>
      </c>
    </row>
    <row r="296" spans="1:34" customFormat="1">
      <c r="A296" t="s">
        <v>370</v>
      </c>
      <c r="B296" t="s">
        <v>771</v>
      </c>
      <c r="C296" t="s">
        <v>581</v>
      </c>
      <c r="D296" t="s">
        <v>582</v>
      </c>
      <c r="E296" t="s">
        <v>583</v>
      </c>
      <c r="F296" t="s">
        <v>397</v>
      </c>
      <c r="G296" t="s">
        <v>584</v>
      </c>
      <c r="Q296" t="s">
        <v>532</v>
      </c>
      <c r="R296" t="s">
        <v>518</v>
      </c>
      <c r="S296" t="s">
        <v>576</v>
      </c>
      <c r="T296" t="s">
        <v>562</v>
      </c>
      <c r="U296" s="190">
        <v>3.1250000000000001E-4</v>
      </c>
      <c r="AD296" t="s">
        <v>592</v>
      </c>
      <c r="AE296" t="s">
        <v>587</v>
      </c>
      <c r="AF296">
        <v>16.100000000000001</v>
      </c>
      <c r="AG296">
        <v>2</v>
      </c>
      <c r="AH296" t="s">
        <v>1657</v>
      </c>
    </row>
    <row r="297" spans="1:34" customFormat="1">
      <c r="A297" t="s">
        <v>370</v>
      </c>
      <c r="B297" t="s">
        <v>772</v>
      </c>
      <c r="C297" t="s">
        <v>586</v>
      </c>
      <c r="D297" t="s">
        <v>587</v>
      </c>
      <c r="E297">
        <v>16.399999999999999</v>
      </c>
      <c r="F297" t="s">
        <v>695</v>
      </c>
      <c r="G297" t="s">
        <v>589</v>
      </c>
      <c r="H297" t="s">
        <v>773</v>
      </c>
    </row>
    <row r="298" spans="1:34" customFormat="1">
      <c r="A298" t="s">
        <v>370</v>
      </c>
      <c r="B298" t="s">
        <v>774</v>
      </c>
      <c r="C298" t="s">
        <v>592</v>
      </c>
      <c r="D298" t="s">
        <v>587</v>
      </c>
      <c r="E298">
        <v>16.100000000000001</v>
      </c>
      <c r="F298" t="s">
        <v>695</v>
      </c>
      <c r="G298" t="s">
        <v>589</v>
      </c>
      <c r="H298" t="s">
        <v>773</v>
      </c>
      <c r="Q298" t="s">
        <v>581</v>
      </c>
      <c r="R298" t="s">
        <v>582</v>
      </c>
      <c r="S298" t="s">
        <v>583</v>
      </c>
      <c r="T298" t="s">
        <v>397</v>
      </c>
      <c r="U298" t="s">
        <v>584</v>
      </c>
      <c r="AD298" t="s">
        <v>532</v>
      </c>
      <c r="AE298">
        <v>18</v>
      </c>
    </row>
    <row r="299" spans="1:34" customFormat="1">
      <c r="A299" t="s">
        <v>370</v>
      </c>
      <c r="B299" t="s">
        <v>775</v>
      </c>
      <c r="Q299" t="s">
        <v>586</v>
      </c>
      <c r="R299" t="s">
        <v>587</v>
      </c>
      <c r="S299">
        <v>16.5</v>
      </c>
      <c r="T299" t="s">
        <v>1529</v>
      </c>
      <c r="U299" t="s">
        <v>614</v>
      </c>
      <c r="V299" t="s">
        <v>1553</v>
      </c>
    </row>
    <row r="300" spans="1:34" customFormat="1">
      <c r="A300" t="s">
        <v>370</v>
      </c>
      <c r="B300" t="s">
        <v>776</v>
      </c>
      <c r="C300" t="s">
        <v>532</v>
      </c>
      <c r="D300">
        <v>18</v>
      </c>
      <c r="Q300" t="s">
        <v>592</v>
      </c>
      <c r="R300" t="s">
        <v>587</v>
      </c>
      <c r="S300">
        <v>16.2</v>
      </c>
      <c r="T300" t="s">
        <v>1529</v>
      </c>
      <c r="U300" t="s">
        <v>614</v>
      </c>
      <c r="V300" t="s">
        <v>1558</v>
      </c>
      <c r="AD300" t="s">
        <v>575</v>
      </c>
      <c r="AE300" t="s">
        <v>488</v>
      </c>
      <c r="AF300" t="s">
        <v>576</v>
      </c>
      <c r="AG300" s="85">
        <v>45293</v>
      </c>
      <c r="AH300" s="190">
        <v>0</v>
      </c>
    </row>
    <row r="301" spans="1:34" customFormat="1">
      <c r="A301" t="s">
        <v>370</v>
      </c>
      <c r="B301" t="s">
        <v>777</v>
      </c>
      <c r="Q301" t="s">
        <v>532</v>
      </c>
      <c r="R301">
        <v>20</v>
      </c>
      <c r="AD301" t="s">
        <v>532</v>
      </c>
      <c r="AE301" t="s">
        <v>488</v>
      </c>
      <c r="AF301" t="s">
        <v>576</v>
      </c>
      <c r="AG301" s="85">
        <v>45293</v>
      </c>
      <c r="AH301" s="190">
        <v>0</v>
      </c>
    </row>
    <row r="302" spans="1:34" customFormat="1">
      <c r="A302" t="s">
        <v>370</v>
      </c>
      <c r="B302" t="s">
        <v>778</v>
      </c>
      <c r="C302" t="s">
        <v>575</v>
      </c>
      <c r="D302" t="s">
        <v>488</v>
      </c>
      <c r="E302" t="s">
        <v>576</v>
      </c>
      <c r="F302" s="85">
        <v>45293</v>
      </c>
      <c r="G302" s="190">
        <v>0</v>
      </c>
      <c r="AD302" t="s">
        <v>532</v>
      </c>
      <c r="AE302" t="s">
        <v>518</v>
      </c>
      <c r="AF302" t="s">
        <v>576</v>
      </c>
      <c r="AG302" s="85">
        <v>45293</v>
      </c>
      <c r="AH302" s="190">
        <v>2.8935185185185184E-4</v>
      </c>
    </row>
    <row r="303" spans="1:34" customFormat="1">
      <c r="A303" t="s">
        <v>370</v>
      </c>
      <c r="B303" t="s">
        <v>779</v>
      </c>
      <c r="C303" t="s">
        <v>532</v>
      </c>
      <c r="D303" t="s">
        <v>488</v>
      </c>
      <c r="E303" t="s">
        <v>576</v>
      </c>
      <c r="F303" s="85">
        <v>45293</v>
      </c>
      <c r="G303" s="190">
        <v>0</v>
      </c>
      <c r="Q303" t="s">
        <v>575</v>
      </c>
      <c r="R303" t="s">
        <v>488</v>
      </c>
      <c r="S303" t="s">
        <v>576</v>
      </c>
      <c r="T303" s="85">
        <v>45325</v>
      </c>
      <c r="U303" s="190">
        <v>0</v>
      </c>
    </row>
    <row r="304" spans="1:34" customFormat="1">
      <c r="A304" t="s">
        <v>370</v>
      </c>
      <c r="B304" t="s">
        <v>780</v>
      </c>
      <c r="C304" t="s">
        <v>532</v>
      </c>
      <c r="D304" t="s">
        <v>518</v>
      </c>
      <c r="E304" t="s">
        <v>576</v>
      </c>
      <c r="F304" s="85">
        <v>45293</v>
      </c>
      <c r="G304" s="190">
        <v>3.1250000000000001E-4</v>
      </c>
      <c r="Q304" t="s">
        <v>532</v>
      </c>
      <c r="R304" t="s">
        <v>488</v>
      </c>
      <c r="S304" t="s">
        <v>576</v>
      </c>
      <c r="T304" s="85">
        <v>45325</v>
      </c>
      <c r="U304" s="190">
        <v>0</v>
      </c>
      <c r="AD304" t="s">
        <v>581</v>
      </c>
      <c r="AE304" t="s">
        <v>582</v>
      </c>
      <c r="AF304" t="s">
        <v>583</v>
      </c>
    </row>
    <row r="305" spans="1:34" customFormat="1">
      <c r="A305" t="s">
        <v>370</v>
      </c>
      <c r="B305" t="s">
        <v>781</v>
      </c>
      <c r="Q305" t="s">
        <v>532</v>
      </c>
      <c r="R305" t="s">
        <v>518</v>
      </c>
      <c r="S305" t="s">
        <v>576</v>
      </c>
      <c r="T305" s="85">
        <v>45325</v>
      </c>
      <c r="U305" s="190">
        <v>3.1250000000000001E-4</v>
      </c>
      <c r="AD305" t="s">
        <v>586</v>
      </c>
      <c r="AE305" t="s">
        <v>587</v>
      </c>
      <c r="AF305">
        <v>16.3</v>
      </c>
      <c r="AG305">
        <v>1</v>
      </c>
      <c r="AH305" t="s">
        <v>1657</v>
      </c>
    </row>
    <row r="306" spans="1:34" customFormat="1">
      <c r="A306" t="s">
        <v>370</v>
      </c>
      <c r="B306" t="s">
        <v>782</v>
      </c>
      <c r="C306" t="s">
        <v>581</v>
      </c>
      <c r="D306" t="s">
        <v>582</v>
      </c>
      <c r="E306" t="s">
        <v>583</v>
      </c>
      <c r="F306" t="s">
        <v>397</v>
      </c>
      <c r="G306" t="s">
        <v>584</v>
      </c>
      <c r="AD306" t="s">
        <v>592</v>
      </c>
      <c r="AE306" t="s">
        <v>587</v>
      </c>
      <c r="AF306">
        <v>15.9</v>
      </c>
      <c r="AG306">
        <v>1</v>
      </c>
      <c r="AH306" t="s">
        <v>1657</v>
      </c>
    </row>
    <row r="307" spans="1:34" customFormat="1">
      <c r="A307" t="s">
        <v>370</v>
      </c>
      <c r="B307" t="s">
        <v>783</v>
      </c>
      <c r="C307" t="s">
        <v>586</v>
      </c>
      <c r="D307" t="s">
        <v>587</v>
      </c>
      <c r="E307">
        <v>16.2</v>
      </c>
      <c r="F307" t="s">
        <v>588</v>
      </c>
      <c r="G307" t="s">
        <v>589</v>
      </c>
      <c r="H307" t="s">
        <v>784</v>
      </c>
      <c r="Q307" t="s">
        <v>581</v>
      </c>
      <c r="R307" t="s">
        <v>582</v>
      </c>
      <c r="S307" t="s">
        <v>583</v>
      </c>
      <c r="T307" t="s">
        <v>397</v>
      </c>
      <c r="U307" t="s">
        <v>584</v>
      </c>
    </row>
    <row r="308" spans="1:34" customFormat="1">
      <c r="A308" t="s">
        <v>370</v>
      </c>
      <c r="B308" t="s">
        <v>785</v>
      </c>
      <c r="C308" t="s">
        <v>592</v>
      </c>
      <c r="D308" t="s">
        <v>587</v>
      </c>
      <c r="E308">
        <v>15.9</v>
      </c>
      <c r="F308" t="s">
        <v>588</v>
      </c>
      <c r="G308" t="s">
        <v>614</v>
      </c>
      <c r="H308" t="s">
        <v>786</v>
      </c>
      <c r="Q308" t="s">
        <v>586</v>
      </c>
      <c r="R308" t="s">
        <v>587</v>
      </c>
      <c r="S308">
        <v>16.399999999999999</v>
      </c>
      <c r="T308" t="s">
        <v>1529</v>
      </c>
      <c r="U308" t="s">
        <v>589</v>
      </c>
      <c r="V308" t="s">
        <v>1559</v>
      </c>
      <c r="AD308" t="s">
        <v>532</v>
      </c>
      <c r="AE308">
        <v>19</v>
      </c>
    </row>
    <row r="309" spans="1:34" customFormat="1">
      <c r="A309" t="s">
        <v>370</v>
      </c>
      <c r="B309" t="s">
        <v>787</v>
      </c>
      <c r="Q309" t="s">
        <v>592</v>
      </c>
      <c r="R309" t="s">
        <v>587</v>
      </c>
      <c r="S309">
        <v>16.100000000000001</v>
      </c>
      <c r="T309" t="s">
        <v>1529</v>
      </c>
      <c r="U309" t="s">
        <v>589</v>
      </c>
      <c r="V309" t="s">
        <v>1560</v>
      </c>
    </row>
    <row r="310" spans="1:34" customFormat="1">
      <c r="A310" t="s">
        <v>370</v>
      </c>
      <c r="B310" t="s">
        <v>788</v>
      </c>
      <c r="C310" t="s">
        <v>532</v>
      </c>
      <c r="D310">
        <v>19</v>
      </c>
      <c r="Q310" t="s">
        <v>532</v>
      </c>
      <c r="R310">
        <v>21</v>
      </c>
      <c r="AD310" t="s">
        <v>575</v>
      </c>
      <c r="AE310" t="s">
        <v>488</v>
      </c>
      <c r="AF310" t="s">
        <v>576</v>
      </c>
      <c r="AG310" t="s">
        <v>562</v>
      </c>
      <c r="AH310" s="190">
        <v>0</v>
      </c>
    </row>
    <row r="311" spans="1:34" customFormat="1">
      <c r="A311" t="s">
        <v>370</v>
      </c>
      <c r="B311" t="s">
        <v>789</v>
      </c>
      <c r="AD311" t="s">
        <v>532</v>
      </c>
      <c r="AE311" t="s">
        <v>488</v>
      </c>
      <c r="AF311" t="s">
        <v>576</v>
      </c>
      <c r="AG311" t="s">
        <v>562</v>
      </c>
      <c r="AH311" s="190">
        <v>0</v>
      </c>
    </row>
    <row r="312" spans="1:34" customFormat="1">
      <c r="A312" t="s">
        <v>370</v>
      </c>
      <c r="B312" t="s">
        <v>790</v>
      </c>
      <c r="C312" t="s">
        <v>575</v>
      </c>
      <c r="D312" t="s">
        <v>488</v>
      </c>
      <c r="E312" t="s">
        <v>576</v>
      </c>
      <c r="F312" t="s">
        <v>562</v>
      </c>
      <c r="G312" s="190">
        <v>0</v>
      </c>
      <c r="Q312" t="s">
        <v>575</v>
      </c>
      <c r="R312" t="s">
        <v>488</v>
      </c>
      <c r="S312" t="s">
        <v>576</v>
      </c>
      <c r="T312" t="s">
        <v>565</v>
      </c>
      <c r="U312" s="190">
        <v>0</v>
      </c>
      <c r="AD312" t="s">
        <v>532</v>
      </c>
      <c r="AE312" t="s">
        <v>518</v>
      </c>
      <c r="AF312" t="s">
        <v>576</v>
      </c>
      <c r="AG312" t="s">
        <v>562</v>
      </c>
      <c r="AH312" s="190">
        <v>2.8935185185185184E-4</v>
      </c>
    </row>
    <row r="313" spans="1:34" customFormat="1">
      <c r="A313" t="s">
        <v>370</v>
      </c>
      <c r="B313" t="s">
        <v>791</v>
      </c>
      <c r="C313" t="s">
        <v>532</v>
      </c>
      <c r="D313" t="s">
        <v>488</v>
      </c>
      <c r="E313" t="s">
        <v>576</v>
      </c>
      <c r="F313" t="s">
        <v>562</v>
      </c>
      <c r="G313" s="190">
        <v>0</v>
      </c>
      <c r="Q313" t="s">
        <v>532</v>
      </c>
      <c r="R313" t="s">
        <v>488</v>
      </c>
      <c r="S313" t="s">
        <v>576</v>
      </c>
      <c r="T313" t="s">
        <v>565</v>
      </c>
      <c r="U313" s="190">
        <v>0</v>
      </c>
    </row>
    <row r="314" spans="1:34" customFormat="1">
      <c r="A314" t="s">
        <v>370</v>
      </c>
      <c r="B314" t="s">
        <v>792</v>
      </c>
      <c r="C314" t="s">
        <v>532</v>
      </c>
      <c r="D314" t="s">
        <v>518</v>
      </c>
      <c r="E314" t="s">
        <v>576</v>
      </c>
      <c r="F314" t="s">
        <v>562</v>
      </c>
      <c r="G314" s="190">
        <v>3.1250000000000001E-4</v>
      </c>
      <c r="Q314" t="s">
        <v>532</v>
      </c>
      <c r="R314" t="s">
        <v>518</v>
      </c>
      <c r="S314" t="s">
        <v>576</v>
      </c>
      <c r="T314" t="s">
        <v>565</v>
      </c>
      <c r="U314" s="190">
        <v>3.1250000000000001E-4</v>
      </c>
      <c r="AD314" t="s">
        <v>581</v>
      </c>
      <c r="AE314" t="s">
        <v>582</v>
      </c>
      <c r="AF314" t="s">
        <v>583</v>
      </c>
    </row>
    <row r="315" spans="1:34" customFormat="1">
      <c r="A315" t="s">
        <v>370</v>
      </c>
      <c r="B315" t="s">
        <v>793</v>
      </c>
      <c r="AD315" t="s">
        <v>586</v>
      </c>
      <c r="AE315" t="s">
        <v>587</v>
      </c>
      <c r="AF315">
        <v>16.100000000000001</v>
      </c>
      <c r="AG315">
        <v>1</v>
      </c>
      <c r="AH315" t="s">
        <v>1657</v>
      </c>
    </row>
    <row r="316" spans="1:34" customFormat="1">
      <c r="A316" t="s">
        <v>370</v>
      </c>
      <c r="B316" t="s">
        <v>794</v>
      </c>
      <c r="C316" t="s">
        <v>581</v>
      </c>
      <c r="D316" t="s">
        <v>582</v>
      </c>
      <c r="E316" t="s">
        <v>583</v>
      </c>
      <c r="F316" t="s">
        <v>397</v>
      </c>
      <c r="G316" t="s">
        <v>584</v>
      </c>
      <c r="Q316" t="s">
        <v>581</v>
      </c>
      <c r="R316" t="s">
        <v>582</v>
      </c>
      <c r="S316" t="s">
        <v>583</v>
      </c>
      <c r="T316" t="s">
        <v>397</v>
      </c>
      <c r="U316" t="s">
        <v>584</v>
      </c>
      <c r="AD316" t="s">
        <v>592</v>
      </c>
      <c r="AE316" t="s">
        <v>587</v>
      </c>
      <c r="AF316">
        <v>15.6</v>
      </c>
      <c r="AG316">
        <v>1</v>
      </c>
      <c r="AH316" t="s">
        <v>1657</v>
      </c>
    </row>
    <row r="317" spans="1:34" customFormat="1">
      <c r="A317" t="s">
        <v>370</v>
      </c>
      <c r="B317" t="s">
        <v>795</v>
      </c>
      <c r="C317" t="s">
        <v>586</v>
      </c>
      <c r="D317" t="s">
        <v>587</v>
      </c>
      <c r="E317">
        <v>16</v>
      </c>
      <c r="F317" t="s">
        <v>588</v>
      </c>
      <c r="G317" t="s">
        <v>589</v>
      </c>
      <c r="H317" t="s">
        <v>796</v>
      </c>
      <c r="Q317" t="s">
        <v>586</v>
      </c>
      <c r="R317" t="s">
        <v>587</v>
      </c>
      <c r="S317">
        <v>16.3</v>
      </c>
      <c r="T317" t="s">
        <v>1529</v>
      </c>
      <c r="U317" t="s">
        <v>614</v>
      </c>
      <c r="V317" t="s">
        <v>1561</v>
      </c>
    </row>
    <row r="318" spans="1:34" customFormat="1">
      <c r="A318" t="s">
        <v>370</v>
      </c>
      <c r="B318" t="s">
        <v>797</v>
      </c>
      <c r="C318" t="s">
        <v>592</v>
      </c>
      <c r="D318" t="s">
        <v>587</v>
      </c>
      <c r="E318">
        <v>15.7</v>
      </c>
      <c r="F318" t="s">
        <v>588</v>
      </c>
      <c r="G318" t="s">
        <v>614</v>
      </c>
      <c r="H318" t="s">
        <v>798</v>
      </c>
      <c r="Q318" t="s">
        <v>592</v>
      </c>
      <c r="R318" t="s">
        <v>587</v>
      </c>
      <c r="S318">
        <v>15.9</v>
      </c>
      <c r="T318" t="s">
        <v>1529</v>
      </c>
      <c r="U318" t="s">
        <v>614</v>
      </c>
      <c r="V318" t="s">
        <v>1562</v>
      </c>
      <c r="AD318" t="s">
        <v>532</v>
      </c>
      <c r="AE318">
        <v>20</v>
      </c>
    </row>
    <row r="319" spans="1:34" customFormat="1">
      <c r="A319" t="s">
        <v>370</v>
      </c>
      <c r="B319" t="s">
        <v>799</v>
      </c>
      <c r="Q319" t="s">
        <v>532</v>
      </c>
      <c r="R319">
        <v>22</v>
      </c>
    </row>
    <row r="320" spans="1:34" customFormat="1">
      <c r="A320" t="s">
        <v>370</v>
      </c>
      <c r="B320" t="s">
        <v>800</v>
      </c>
      <c r="C320" t="s">
        <v>532</v>
      </c>
      <c r="D320">
        <v>20</v>
      </c>
      <c r="AD320" t="s">
        <v>575</v>
      </c>
      <c r="AE320" t="s">
        <v>488</v>
      </c>
      <c r="AF320" t="s">
        <v>576</v>
      </c>
      <c r="AG320" s="85">
        <v>45325</v>
      </c>
      <c r="AH320" s="190">
        <v>0</v>
      </c>
    </row>
    <row r="321" spans="1:34" customFormat="1">
      <c r="A321" t="s">
        <v>370</v>
      </c>
      <c r="B321" t="s">
        <v>801</v>
      </c>
      <c r="Q321" t="s">
        <v>575</v>
      </c>
      <c r="R321" t="s">
        <v>488</v>
      </c>
      <c r="S321" t="s">
        <v>576</v>
      </c>
      <c r="T321" s="85">
        <v>45295</v>
      </c>
      <c r="U321" s="190">
        <v>0</v>
      </c>
      <c r="AD321" t="s">
        <v>532</v>
      </c>
      <c r="AE321" t="s">
        <v>488</v>
      </c>
      <c r="AF321" t="s">
        <v>576</v>
      </c>
      <c r="AG321" s="85">
        <v>45325</v>
      </c>
      <c r="AH321" s="190">
        <v>0</v>
      </c>
    </row>
    <row r="322" spans="1:34" customFormat="1">
      <c r="A322" t="s">
        <v>370</v>
      </c>
      <c r="B322" t="s">
        <v>802</v>
      </c>
      <c r="C322" t="s">
        <v>575</v>
      </c>
      <c r="D322" t="s">
        <v>488</v>
      </c>
      <c r="E322" t="s">
        <v>576</v>
      </c>
      <c r="F322" s="85">
        <v>45325</v>
      </c>
      <c r="G322" s="190">
        <v>0</v>
      </c>
      <c r="Q322" t="s">
        <v>532</v>
      </c>
      <c r="R322" t="s">
        <v>488</v>
      </c>
      <c r="S322" t="s">
        <v>576</v>
      </c>
      <c r="T322" s="85">
        <v>45295</v>
      </c>
      <c r="U322" s="190">
        <v>0</v>
      </c>
      <c r="AD322" t="s">
        <v>532</v>
      </c>
      <c r="AE322" t="s">
        <v>518</v>
      </c>
      <c r="AF322" t="s">
        <v>576</v>
      </c>
      <c r="AG322" s="85">
        <v>45325</v>
      </c>
      <c r="AH322" s="190">
        <v>2.8935185185185184E-4</v>
      </c>
    </row>
    <row r="323" spans="1:34" customFormat="1">
      <c r="A323" t="s">
        <v>370</v>
      </c>
      <c r="B323" t="s">
        <v>803</v>
      </c>
      <c r="C323" t="s">
        <v>532</v>
      </c>
      <c r="D323" t="s">
        <v>488</v>
      </c>
      <c r="E323" t="s">
        <v>576</v>
      </c>
      <c r="F323" s="85">
        <v>45325</v>
      </c>
      <c r="G323" s="190">
        <v>0</v>
      </c>
      <c r="Q323" t="s">
        <v>532</v>
      </c>
      <c r="R323" t="s">
        <v>518</v>
      </c>
      <c r="S323" t="s">
        <v>576</v>
      </c>
      <c r="T323" s="85">
        <v>45295</v>
      </c>
      <c r="U323" s="190">
        <v>3.1250000000000001E-4</v>
      </c>
    </row>
    <row r="324" spans="1:34" customFormat="1">
      <c r="A324" t="s">
        <v>370</v>
      </c>
      <c r="B324" t="s">
        <v>804</v>
      </c>
      <c r="C324" t="s">
        <v>532</v>
      </c>
      <c r="D324" t="s">
        <v>518</v>
      </c>
      <c r="E324" t="s">
        <v>576</v>
      </c>
      <c r="F324" s="85">
        <v>45325</v>
      </c>
      <c r="G324" s="190">
        <v>3.1250000000000001E-4</v>
      </c>
      <c r="AD324" t="s">
        <v>581</v>
      </c>
      <c r="AE324" t="s">
        <v>582</v>
      </c>
      <c r="AF324" t="s">
        <v>583</v>
      </c>
    </row>
    <row r="325" spans="1:34" customFormat="1">
      <c r="A325" t="s">
        <v>370</v>
      </c>
      <c r="B325" t="s">
        <v>805</v>
      </c>
      <c r="Q325" t="s">
        <v>581</v>
      </c>
      <c r="R325" t="s">
        <v>582</v>
      </c>
      <c r="S325" t="s">
        <v>583</v>
      </c>
      <c r="T325" t="s">
        <v>397</v>
      </c>
      <c r="U325" t="s">
        <v>584</v>
      </c>
      <c r="AD325" t="s">
        <v>586</v>
      </c>
      <c r="AE325" t="s">
        <v>587</v>
      </c>
      <c r="AF325">
        <v>15.9</v>
      </c>
      <c r="AG325">
        <v>1</v>
      </c>
      <c r="AH325" t="s">
        <v>1657</v>
      </c>
    </row>
    <row r="326" spans="1:34" customFormat="1">
      <c r="A326" t="s">
        <v>370</v>
      </c>
      <c r="B326" t="s">
        <v>806</v>
      </c>
      <c r="C326" t="s">
        <v>581</v>
      </c>
      <c r="D326" t="s">
        <v>582</v>
      </c>
      <c r="E326" t="s">
        <v>583</v>
      </c>
      <c r="F326" t="s">
        <v>397</v>
      </c>
      <c r="G326" t="s">
        <v>584</v>
      </c>
      <c r="Q326" t="s">
        <v>586</v>
      </c>
      <c r="R326" t="s">
        <v>587</v>
      </c>
      <c r="S326">
        <v>16.100000000000001</v>
      </c>
      <c r="T326" t="s">
        <v>1529</v>
      </c>
      <c r="U326" t="s">
        <v>614</v>
      </c>
      <c r="V326" t="s">
        <v>1563</v>
      </c>
      <c r="AD326" t="s">
        <v>592</v>
      </c>
      <c r="AE326" t="s">
        <v>587</v>
      </c>
      <c r="AF326">
        <v>15.4</v>
      </c>
      <c r="AG326">
        <v>1</v>
      </c>
      <c r="AH326" t="s">
        <v>1657</v>
      </c>
    </row>
    <row r="327" spans="1:34" customFormat="1">
      <c r="A327" t="s">
        <v>370</v>
      </c>
      <c r="B327" t="s">
        <v>807</v>
      </c>
      <c r="C327" t="s">
        <v>586</v>
      </c>
      <c r="D327" t="s">
        <v>587</v>
      </c>
      <c r="E327">
        <v>15.8</v>
      </c>
      <c r="F327" t="s">
        <v>588</v>
      </c>
      <c r="G327" t="s">
        <v>589</v>
      </c>
      <c r="H327" t="s">
        <v>808</v>
      </c>
      <c r="Q327" t="s">
        <v>592</v>
      </c>
      <c r="R327" t="s">
        <v>587</v>
      </c>
      <c r="S327">
        <v>15.7</v>
      </c>
      <c r="T327" t="s">
        <v>1529</v>
      </c>
      <c r="U327" t="s">
        <v>614</v>
      </c>
      <c r="V327" t="s">
        <v>1564</v>
      </c>
    </row>
    <row r="328" spans="1:34" customFormat="1">
      <c r="A328" t="s">
        <v>370</v>
      </c>
      <c r="B328" t="s">
        <v>809</v>
      </c>
      <c r="C328" t="s">
        <v>592</v>
      </c>
      <c r="D328" t="s">
        <v>587</v>
      </c>
      <c r="E328">
        <v>15.5</v>
      </c>
      <c r="F328" t="s">
        <v>588</v>
      </c>
      <c r="G328" t="s">
        <v>589</v>
      </c>
      <c r="H328" t="s">
        <v>810</v>
      </c>
      <c r="Q328" t="s">
        <v>835</v>
      </c>
      <c r="R328" t="s">
        <v>569</v>
      </c>
      <c r="AD328" t="s">
        <v>532</v>
      </c>
      <c r="AE328">
        <v>21</v>
      </c>
    </row>
    <row r="329" spans="1:34" customFormat="1">
      <c r="A329" t="s">
        <v>370</v>
      </c>
      <c r="B329" t="s">
        <v>811</v>
      </c>
      <c r="Q329" t="s">
        <v>837</v>
      </c>
    </row>
    <row r="330" spans="1:34" customFormat="1">
      <c r="A330" t="s">
        <v>370</v>
      </c>
      <c r="B330" t="s">
        <v>812</v>
      </c>
      <c r="C330" t="s">
        <v>532</v>
      </c>
      <c r="D330">
        <v>21</v>
      </c>
      <c r="AD330" t="s">
        <v>575</v>
      </c>
      <c r="AE330" t="s">
        <v>488</v>
      </c>
      <c r="AF330" t="s">
        <v>576</v>
      </c>
      <c r="AG330" t="s">
        <v>565</v>
      </c>
      <c r="AH330" s="190">
        <v>0</v>
      </c>
    </row>
    <row r="331" spans="1:34" customFormat="1">
      <c r="A331" t="s">
        <v>370</v>
      </c>
      <c r="B331" t="s">
        <v>813</v>
      </c>
      <c r="Q331" t="s">
        <v>397</v>
      </c>
      <c r="R331" t="s">
        <v>840</v>
      </c>
      <c r="S331" t="s">
        <v>841</v>
      </c>
      <c r="T331">
        <v>1440</v>
      </c>
      <c r="U331" t="s">
        <v>842</v>
      </c>
      <c r="AD331" t="s">
        <v>532</v>
      </c>
      <c r="AE331" t="s">
        <v>488</v>
      </c>
      <c r="AF331" t="s">
        <v>576</v>
      </c>
      <c r="AG331" t="s">
        <v>565</v>
      </c>
      <c r="AH331" s="190">
        <v>0</v>
      </c>
    </row>
    <row r="332" spans="1:34" customFormat="1">
      <c r="A332" t="s">
        <v>370</v>
      </c>
      <c r="B332" t="s">
        <v>814</v>
      </c>
      <c r="C332" t="s">
        <v>575</v>
      </c>
      <c r="D332" t="s">
        <v>488</v>
      </c>
      <c r="E332" t="s">
        <v>576</v>
      </c>
      <c r="F332" t="s">
        <v>565</v>
      </c>
      <c r="G332" s="190">
        <v>0</v>
      </c>
      <c r="AD332" t="s">
        <v>532</v>
      </c>
      <c r="AE332" t="s">
        <v>518</v>
      </c>
      <c r="AF332" t="s">
        <v>576</v>
      </c>
      <c r="AG332" t="s">
        <v>565</v>
      </c>
      <c r="AH332" s="190">
        <v>2.8935185185185184E-4</v>
      </c>
    </row>
    <row r="333" spans="1:34" customFormat="1">
      <c r="A333" t="s">
        <v>370</v>
      </c>
      <c r="B333" t="s">
        <v>815</v>
      </c>
      <c r="C333" t="s">
        <v>532</v>
      </c>
      <c r="D333" t="s">
        <v>488</v>
      </c>
      <c r="E333" t="s">
        <v>576</v>
      </c>
      <c r="F333" t="s">
        <v>565</v>
      </c>
      <c r="G333" s="190">
        <v>0</v>
      </c>
      <c r="Q333" t="s">
        <v>532</v>
      </c>
      <c r="R333" t="s">
        <v>397</v>
      </c>
      <c r="S333" t="s">
        <v>584</v>
      </c>
    </row>
    <row r="334" spans="1:34" customFormat="1">
      <c r="A334" t="s">
        <v>370</v>
      </c>
      <c r="B334" t="s">
        <v>816</v>
      </c>
      <c r="C334" t="s">
        <v>532</v>
      </c>
      <c r="D334" t="s">
        <v>518</v>
      </c>
      <c r="E334" t="s">
        <v>576</v>
      </c>
      <c r="F334" t="s">
        <v>565</v>
      </c>
      <c r="G334" s="190">
        <v>3.1250000000000001E-4</v>
      </c>
      <c r="AD334" t="s">
        <v>581</v>
      </c>
      <c r="AE334" t="s">
        <v>582</v>
      </c>
      <c r="AF334" t="s">
        <v>583</v>
      </c>
    </row>
    <row r="335" spans="1:34" customFormat="1">
      <c r="A335" t="s">
        <v>370</v>
      </c>
      <c r="B335" t="s">
        <v>817</v>
      </c>
      <c r="Q335">
        <v>1</v>
      </c>
      <c r="R335" t="s">
        <v>888</v>
      </c>
      <c r="S335" t="s">
        <v>1565</v>
      </c>
      <c r="AD335" t="s">
        <v>586</v>
      </c>
      <c r="AE335" t="s">
        <v>587</v>
      </c>
      <c r="AF335">
        <v>15.6</v>
      </c>
      <c r="AG335">
        <v>1</v>
      </c>
      <c r="AH335" t="s">
        <v>1657</v>
      </c>
    </row>
    <row r="336" spans="1:34" customFormat="1">
      <c r="A336" t="s">
        <v>370</v>
      </c>
      <c r="B336" t="s">
        <v>818</v>
      </c>
      <c r="C336" t="s">
        <v>581</v>
      </c>
      <c r="D336" t="s">
        <v>582</v>
      </c>
      <c r="E336" t="s">
        <v>583</v>
      </c>
      <c r="F336" t="s">
        <v>397</v>
      </c>
      <c r="G336" t="s">
        <v>584</v>
      </c>
      <c r="Q336">
        <v>1</v>
      </c>
      <c r="R336" t="s">
        <v>888</v>
      </c>
      <c r="S336" t="s">
        <v>922</v>
      </c>
      <c r="AD336" t="s">
        <v>592</v>
      </c>
      <c r="AE336" t="s">
        <v>587</v>
      </c>
      <c r="AF336">
        <v>15.4</v>
      </c>
      <c r="AG336">
        <v>2</v>
      </c>
      <c r="AH336" t="s">
        <v>1657</v>
      </c>
    </row>
    <row r="337" spans="1:34" customFormat="1">
      <c r="A337" t="s">
        <v>370</v>
      </c>
      <c r="B337" t="s">
        <v>819</v>
      </c>
      <c r="C337" t="s">
        <v>586</v>
      </c>
      <c r="D337" t="s">
        <v>587</v>
      </c>
      <c r="E337">
        <v>15.6</v>
      </c>
      <c r="F337" t="s">
        <v>588</v>
      </c>
      <c r="G337" t="s">
        <v>589</v>
      </c>
      <c r="H337" t="s">
        <v>820</v>
      </c>
      <c r="Q337">
        <v>1</v>
      </c>
      <c r="R337" t="s">
        <v>888</v>
      </c>
      <c r="S337" t="s">
        <v>1004</v>
      </c>
    </row>
    <row r="338" spans="1:34" customFormat="1">
      <c r="A338" t="s">
        <v>370</v>
      </c>
      <c r="B338" t="s">
        <v>821</v>
      </c>
      <c r="C338" t="s">
        <v>592</v>
      </c>
      <c r="D338" t="s">
        <v>587</v>
      </c>
      <c r="E338">
        <v>15.3</v>
      </c>
      <c r="F338" t="s">
        <v>588</v>
      </c>
      <c r="G338" t="s">
        <v>589</v>
      </c>
      <c r="H338" t="s">
        <v>822</v>
      </c>
      <c r="Q338">
        <v>1</v>
      </c>
      <c r="R338" t="s">
        <v>888</v>
      </c>
      <c r="S338" t="s">
        <v>1566</v>
      </c>
      <c r="AD338" t="s">
        <v>532</v>
      </c>
      <c r="AE338">
        <v>22</v>
      </c>
    </row>
    <row r="339" spans="1:34" customFormat="1">
      <c r="A339" t="s">
        <v>370</v>
      </c>
      <c r="B339" t="s">
        <v>823</v>
      </c>
      <c r="Q339">
        <v>1</v>
      </c>
      <c r="R339" t="s">
        <v>888</v>
      </c>
      <c r="S339" t="s">
        <v>1567</v>
      </c>
    </row>
    <row r="340" spans="1:34" customFormat="1">
      <c r="A340" t="s">
        <v>370</v>
      </c>
      <c r="B340" t="s">
        <v>823</v>
      </c>
      <c r="C340" t="s">
        <v>532</v>
      </c>
      <c r="D340">
        <v>22</v>
      </c>
      <c r="Q340">
        <v>1</v>
      </c>
      <c r="R340" t="s">
        <v>888</v>
      </c>
      <c r="S340" t="s">
        <v>1568</v>
      </c>
      <c r="AD340" t="s">
        <v>575</v>
      </c>
      <c r="AE340" t="s">
        <v>488</v>
      </c>
      <c r="AF340" t="s">
        <v>576</v>
      </c>
      <c r="AG340" s="85">
        <v>45295</v>
      </c>
      <c r="AH340" s="190">
        <v>0</v>
      </c>
    </row>
    <row r="341" spans="1:34" customFormat="1">
      <c r="A341" t="s">
        <v>370</v>
      </c>
      <c r="B341" t="s">
        <v>824</v>
      </c>
      <c r="Q341">
        <v>1</v>
      </c>
      <c r="R341" t="s">
        <v>888</v>
      </c>
      <c r="S341" t="s">
        <v>1569</v>
      </c>
      <c r="AD341" t="s">
        <v>532</v>
      </c>
      <c r="AE341" t="s">
        <v>488</v>
      </c>
      <c r="AF341" t="s">
        <v>576</v>
      </c>
      <c r="AG341" s="85">
        <v>45295</v>
      </c>
      <c r="AH341" s="190">
        <v>0</v>
      </c>
    </row>
    <row r="342" spans="1:34" customFormat="1">
      <c r="A342" t="s">
        <v>370</v>
      </c>
      <c r="B342" t="s">
        <v>825</v>
      </c>
      <c r="C342" t="s">
        <v>575</v>
      </c>
      <c r="D342" t="s">
        <v>488</v>
      </c>
      <c r="E342" t="s">
        <v>576</v>
      </c>
      <c r="F342" s="85">
        <v>45295</v>
      </c>
      <c r="G342" s="190">
        <v>0</v>
      </c>
      <c r="Q342">
        <v>1</v>
      </c>
      <c r="R342" t="s">
        <v>888</v>
      </c>
      <c r="S342" t="s">
        <v>1570</v>
      </c>
      <c r="AD342" t="s">
        <v>532</v>
      </c>
      <c r="AE342" t="s">
        <v>518</v>
      </c>
      <c r="AF342" t="s">
        <v>576</v>
      </c>
      <c r="AG342" s="85">
        <v>45295</v>
      </c>
      <c r="AH342" s="190">
        <v>2.8935185185185184E-4</v>
      </c>
    </row>
    <row r="343" spans="1:34" customFormat="1">
      <c r="A343" t="s">
        <v>370</v>
      </c>
      <c r="B343" t="s">
        <v>826</v>
      </c>
      <c r="C343" t="s">
        <v>532</v>
      </c>
      <c r="D343" t="s">
        <v>488</v>
      </c>
      <c r="E343" t="s">
        <v>576</v>
      </c>
      <c r="F343" s="85">
        <v>45295</v>
      </c>
      <c r="G343" s="190">
        <v>0</v>
      </c>
      <c r="Q343">
        <v>1</v>
      </c>
      <c r="R343" t="s">
        <v>847</v>
      </c>
      <c r="S343" t="s">
        <v>1571</v>
      </c>
    </row>
    <row r="344" spans="1:34" customFormat="1">
      <c r="A344" t="s">
        <v>370</v>
      </c>
      <c r="B344" t="s">
        <v>827</v>
      </c>
      <c r="C344" t="s">
        <v>532</v>
      </c>
      <c r="D344" t="s">
        <v>518</v>
      </c>
      <c r="E344" t="s">
        <v>576</v>
      </c>
      <c r="F344" s="85">
        <v>45295</v>
      </c>
      <c r="G344" s="190">
        <v>3.1250000000000001E-4</v>
      </c>
      <c r="Q344">
        <v>1</v>
      </c>
      <c r="R344" t="s">
        <v>888</v>
      </c>
      <c r="S344" t="s">
        <v>1572</v>
      </c>
      <c r="AD344" t="s">
        <v>581</v>
      </c>
      <c r="AE344" t="s">
        <v>582</v>
      </c>
      <c r="AF344" t="s">
        <v>583</v>
      </c>
    </row>
    <row r="345" spans="1:34" customFormat="1">
      <c r="A345" t="s">
        <v>370</v>
      </c>
      <c r="B345" t="s">
        <v>828</v>
      </c>
      <c r="Q345">
        <v>1</v>
      </c>
      <c r="R345" t="s">
        <v>888</v>
      </c>
      <c r="S345" t="s">
        <v>1573</v>
      </c>
      <c r="AD345" t="s">
        <v>586</v>
      </c>
      <c r="AE345" t="s">
        <v>587</v>
      </c>
      <c r="AF345">
        <v>15.7</v>
      </c>
      <c r="AG345">
        <v>1</v>
      </c>
      <c r="AH345" t="s">
        <v>1657</v>
      </c>
    </row>
    <row r="346" spans="1:34" customFormat="1">
      <c r="A346" t="s">
        <v>370</v>
      </c>
      <c r="B346" t="s">
        <v>829</v>
      </c>
      <c r="C346" t="s">
        <v>581</v>
      </c>
      <c r="D346" t="s">
        <v>582</v>
      </c>
      <c r="E346" t="s">
        <v>583</v>
      </c>
      <c r="F346" t="s">
        <v>397</v>
      </c>
      <c r="G346" t="s">
        <v>584</v>
      </c>
      <c r="Q346">
        <v>1</v>
      </c>
      <c r="R346" t="s">
        <v>888</v>
      </c>
      <c r="S346" t="s">
        <v>1574</v>
      </c>
      <c r="AD346" t="s">
        <v>592</v>
      </c>
      <c r="AE346" t="s">
        <v>587</v>
      </c>
      <c r="AF346">
        <v>15</v>
      </c>
      <c r="AG346">
        <v>1</v>
      </c>
      <c r="AH346" t="s">
        <v>1657</v>
      </c>
    </row>
    <row r="347" spans="1:34" customFormat="1">
      <c r="A347" t="s">
        <v>370</v>
      </c>
      <c r="B347" t="s">
        <v>830</v>
      </c>
      <c r="C347" t="s">
        <v>586</v>
      </c>
      <c r="D347" t="s">
        <v>587</v>
      </c>
      <c r="E347">
        <v>15.5</v>
      </c>
      <c r="F347" t="s">
        <v>588</v>
      </c>
      <c r="G347" t="s">
        <v>589</v>
      </c>
      <c r="H347" t="s">
        <v>831</v>
      </c>
      <c r="Q347">
        <v>1</v>
      </c>
      <c r="R347" t="s">
        <v>888</v>
      </c>
      <c r="S347" t="s">
        <v>1006</v>
      </c>
    </row>
    <row r="348" spans="1:34" customFormat="1">
      <c r="A348" t="s">
        <v>370</v>
      </c>
      <c r="B348" t="s">
        <v>832</v>
      </c>
      <c r="C348" t="s">
        <v>592</v>
      </c>
      <c r="D348" t="s">
        <v>587</v>
      </c>
      <c r="E348">
        <v>15</v>
      </c>
      <c r="F348" t="s">
        <v>695</v>
      </c>
      <c r="G348" t="s">
        <v>614</v>
      </c>
      <c r="H348" t="s">
        <v>833</v>
      </c>
      <c r="Q348">
        <v>1</v>
      </c>
      <c r="R348" t="s">
        <v>888</v>
      </c>
      <c r="S348" t="s">
        <v>1575</v>
      </c>
      <c r="AD348" t="s">
        <v>1338</v>
      </c>
      <c r="AE348" t="s">
        <v>1339</v>
      </c>
    </row>
    <row r="349" spans="1:34" customFormat="1">
      <c r="A349" t="s">
        <v>370</v>
      </c>
      <c r="B349" t="s">
        <v>834</v>
      </c>
      <c r="Q349">
        <v>2</v>
      </c>
      <c r="R349" t="s">
        <v>888</v>
      </c>
      <c r="S349" t="s">
        <v>1576</v>
      </c>
    </row>
    <row r="350" spans="1:34" customFormat="1">
      <c r="A350" t="s">
        <v>370</v>
      </c>
      <c r="B350" t="s">
        <v>834</v>
      </c>
      <c r="C350" t="s">
        <v>835</v>
      </c>
      <c r="D350" t="s">
        <v>569</v>
      </c>
      <c r="Q350">
        <v>2</v>
      </c>
      <c r="R350" t="s">
        <v>888</v>
      </c>
      <c r="S350" t="s">
        <v>1577</v>
      </c>
      <c r="AD350" t="s">
        <v>1342</v>
      </c>
      <c r="AE350" t="s">
        <v>533</v>
      </c>
      <c r="AF350" t="s">
        <v>472</v>
      </c>
      <c r="AG350" t="s">
        <v>455</v>
      </c>
      <c r="AH350" t="s">
        <v>1343</v>
      </c>
    </row>
    <row r="351" spans="1:34" customFormat="1">
      <c r="A351" t="s">
        <v>370</v>
      </c>
      <c r="B351" t="s">
        <v>836</v>
      </c>
      <c r="C351" t="s">
        <v>837</v>
      </c>
      <c r="Q351">
        <v>2</v>
      </c>
      <c r="R351" t="s">
        <v>888</v>
      </c>
      <c r="S351" t="s">
        <v>1578</v>
      </c>
    </row>
    <row r="352" spans="1:34" customFormat="1">
      <c r="A352" t="s">
        <v>370</v>
      </c>
      <c r="B352" t="s">
        <v>838</v>
      </c>
      <c r="Q352">
        <v>2</v>
      </c>
      <c r="R352" t="s">
        <v>888</v>
      </c>
      <c r="S352" t="s">
        <v>1579</v>
      </c>
      <c r="AD352" t="s">
        <v>1346</v>
      </c>
      <c r="AE352" t="s">
        <v>473</v>
      </c>
      <c r="AF352" t="s">
        <v>481</v>
      </c>
      <c r="AG352" t="s">
        <v>1347</v>
      </c>
      <c r="AH352" t="s">
        <v>375</v>
      </c>
    </row>
    <row r="353" spans="1:35" customFormat="1">
      <c r="A353" t="s">
        <v>370</v>
      </c>
      <c r="B353" t="s">
        <v>839</v>
      </c>
      <c r="C353" t="s">
        <v>397</v>
      </c>
      <c r="D353" t="s">
        <v>840</v>
      </c>
      <c r="E353" t="s">
        <v>841</v>
      </c>
      <c r="F353">
        <v>1440</v>
      </c>
      <c r="G353" t="s">
        <v>842</v>
      </c>
      <c r="Q353">
        <v>2</v>
      </c>
      <c r="R353" t="s">
        <v>888</v>
      </c>
      <c r="S353" t="s">
        <v>1580</v>
      </c>
      <c r="AD353" t="s">
        <v>396</v>
      </c>
      <c r="AE353" t="s">
        <v>485</v>
      </c>
      <c r="AF353" t="s">
        <v>486</v>
      </c>
      <c r="AG353" t="s">
        <v>487</v>
      </c>
      <c r="AH353" t="s">
        <v>376</v>
      </c>
      <c r="AI353" t="s">
        <v>1349</v>
      </c>
    </row>
    <row r="354" spans="1:35" customFormat="1">
      <c r="A354" t="s">
        <v>370</v>
      </c>
      <c r="B354" t="s">
        <v>843</v>
      </c>
      <c r="Q354">
        <v>2</v>
      </c>
      <c r="R354" t="s">
        <v>888</v>
      </c>
      <c r="S354" t="s">
        <v>861</v>
      </c>
    </row>
    <row r="355" spans="1:35" customFormat="1">
      <c r="A355" t="s">
        <v>370</v>
      </c>
      <c r="B355" t="s">
        <v>844</v>
      </c>
      <c r="C355" t="s">
        <v>532</v>
      </c>
      <c r="D355" t="s">
        <v>397</v>
      </c>
      <c r="E355" t="s">
        <v>584</v>
      </c>
      <c r="Q355">
        <v>2</v>
      </c>
      <c r="R355" t="s">
        <v>888</v>
      </c>
      <c r="S355" t="s">
        <v>1112</v>
      </c>
    </row>
    <row r="356" spans="1:35" customFormat="1">
      <c r="A356" t="s">
        <v>370</v>
      </c>
      <c r="B356" t="s">
        <v>845</v>
      </c>
      <c r="Q356">
        <v>2</v>
      </c>
      <c r="R356" t="s">
        <v>888</v>
      </c>
      <c r="S356" t="s">
        <v>1581</v>
      </c>
      <c r="AC356" t="s">
        <v>381</v>
      </c>
    </row>
    <row r="357" spans="1:35" customFormat="1">
      <c r="A357" t="s">
        <v>370</v>
      </c>
      <c r="B357" t="s">
        <v>846</v>
      </c>
      <c r="C357">
        <v>1</v>
      </c>
      <c r="D357" t="s">
        <v>847</v>
      </c>
      <c r="E357" t="s">
        <v>848</v>
      </c>
      <c r="Q357">
        <v>2</v>
      </c>
      <c r="R357" t="s">
        <v>888</v>
      </c>
      <c r="S357" t="s">
        <v>1582</v>
      </c>
    </row>
    <row r="358" spans="1:35" customFormat="1">
      <c r="A358" t="s">
        <v>370</v>
      </c>
      <c r="B358" t="s">
        <v>849</v>
      </c>
      <c r="C358">
        <v>1</v>
      </c>
      <c r="D358" t="s">
        <v>847</v>
      </c>
      <c r="E358" t="s">
        <v>850</v>
      </c>
      <c r="Q358">
        <v>2</v>
      </c>
      <c r="R358" t="s">
        <v>888</v>
      </c>
      <c r="S358" t="s">
        <v>922</v>
      </c>
    </row>
    <row r="359" spans="1:35" customFormat="1">
      <c r="A359" t="s">
        <v>370</v>
      </c>
      <c r="B359" t="s">
        <v>851</v>
      </c>
      <c r="C359">
        <v>1</v>
      </c>
      <c r="D359" t="s">
        <v>847</v>
      </c>
      <c r="E359" t="s">
        <v>852</v>
      </c>
      <c r="Q359">
        <v>2</v>
      </c>
      <c r="R359" t="s">
        <v>888</v>
      </c>
      <c r="S359" t="s">
        <v>1583</v>
      </c>
      <c r="AD359" t="s">
        <v>39</v>
      </c>
      <c r="AE359" t="s">
        <v>385</v>
      </c>
      <c r="AF359" t="s">
        <v>386</v>
      </c>
      <c r="AG359" t="s">
        <v>387</v>
      </c>
    </row>
    <row r="360" spans="1:35" customFormat="1">
      <c r="A360" t="s">
        <v>370</v>
      </c>
      <c r="B360" t="s">
        <v>853</v>
      </c>
      <c r="C360">
        <v>1</v>
      </c>
      <c r="D360" t="s">
        <v>847</v>
      </c>
      <c r="E360" t="s">
        <v>854</v>
      </c>
      <c r="Q360">
        <v>2</v>
      </c>
      <c r="R360" t="s">
        <v>888</v>
      </c>
      <c r="S360" t="s">
        <v>1216</v>
      </c>
      <c r="AD360" t="s">
        <v>389</v>
      </c>
      <c r="AE360" t="s">
        <v>390</v>
      </c>
      <c r="AF360" t="s">
        <v>391</v>
      </c>
      <c r="AG360" t="s">
        <v>392</v>
      </c>
    </row>
    <row r="361" spans="1:35" customFormat="1">
      <c r="A361" t="s">
        <v>370</v>
      </c>
      <c r="B361" t="s">
        <v>855</v>
      </c>
      <c r="C361">
        <v>1</v>
      </c>
      <c r="D361" t="s">
        <v>847</v>
      </c>
      <c r="E361" t="s">
        <v>856</v>
      </c>
      <c r="Q361">
        <v>2</v>
      </c>
      <c r="R361" t="s">
        <v>888</v>
      </c>
      <c r="S361" t="s">
        <v>865</v>
      </c>
      <c r="AD361" t="s">
        <v>399</v>
      </c>
      <c r="AE361" t="s">
        <v>1653</v>
      </c>
      <c r="AF361" t="s">
        <v>401</v>
      </c>
      <c r="AG361" t="s">
        <v>1654</v>
      </c>
    </row>
    <row r="362" spans="1:35" customFormat="1">
      <c r="A362" t="s">
        <v>370</v>
      </c>
      <c r="B362" t="s">
        <v>857</v>
      </c>
      <c r="C362">
        <v>1</v>
      </c>
      <c r="D362" t="s">
        <v>847</v>
      </c>
      <c r="E362" t="s">
        <v>858</v>
      </c>
      <c r="Q362">
        <v>2</v>
      </c>
      <c r="R362" t="s">
        <v>888</v>
      </c>
      <c r="S362" t="s">
        <v>984</v>
      </c>
    </row>
    <row r="363" spans="1:35" customFormat="1">
      <c r="A363" t="s">
        <v>370</v>
      </c>
      <c r="B363" t="s">
        <v>859</v>
      </c>
      <c r="C363">
        <v>1</v>
      </c>
      <c r="D363" t="s">
        <v>847</v>
      </c>
      <c r="E363" t="s">
        <v>854</v>
      </c>
      <c r="Q363">
        <v>3</v>
      </c>
      <c r="R363" t="s">
        <v>888</v>
      </c>
      <c r="S363" t="s">
        <v>1584</v>
      </c>
      <c r="AD363" t="s">
        <v>405</v>
      </c>
    </row>
    <row r="364" spans="1:35" customFormat="1">
      <c r="A364" t="s">
        <v>370</v>
      </c>
      <c r="B364" t="s">
        <v>860</v>
      </c>
      <c r="C364">
        <v>1</v>
      </c>
      <c r="D364" t="s">
        <v>847</v>
      </c>
      <c r="E364" t="s">
        <v>861</v>
      </c>
      <c r="Q364">
        <v>3</v>
      </c>
      <c r="R364" t="s">
        <v>847</v>
      </c>
      <c r="S364" t="s">
        <v>1585</v>
      </c>
      <c r="AD364" t="s">
        <v>407</v>
      </c>
      <c r="AE364" t="s">
        <v>408</v>
      </c>
      <c r="AF364" t="s">
        <v>409</v>
      </c>
      <c r="AG364" t="s">
        <v>407</v>
      </c>
    </row>
    <row r="365" spans="1:35" customFormat="1">
      <c r="A365" t="s">
        <v>370</v>
      </c>
      <c r="B365" t="s">
        <v>862</v>
      </c>
      <c r="C365">
        <v>1</v>
      </c>
      <c r="D365" t="s">
        <v>847</v>
      </c>
      <c r="E365" t="s">
        <v>863</v>
      </c>
      <c r="Q365">
        <v>3</v>
      </c>
      <c r="R365" t="s">
        <v>888</v>
      </c>
      <c r="S365" t="s">
        <v>1053</v>
      </c>
      <c r="AD365" t="s">
        <v>411</v>
      </c>
    </row>
    <row r="366" spans="1:35" customFormat="1">
      <c r="A366" t="s">
        <v>370</v>
      </c>
      <c r="B366" t="s">
        <v>864</v>
      </c>
      <c r="C366">
        <v>1</v>
      </c>
      <c r="D366" t="s">
        <v>847</v>
      </c>
      <c r="E366" t="s">
        <v>865</v>
      </c>
      <c r="Q366">
        <v>3</v>
      </c>
      <c r="R366" t="s">
        <v>847</v>
      </c>
      <c r="S366" t="s">
        <v>1086</v>
      </c>
      <c r="AD366" t="s">
        <v>413</v>
      </c>
      <c r="AE366" t="s">
        <v>414</v>
      </c>
      <c r="AF366">
        <v>23</v>
      </c>
      <c r="AG366" s="190">
        <v>0.98949074074074073</v>
      </c>
      <c r="AH366">
        <v>2024</v>
      </c>
    </row>
    <row r="367" spans="1:35" customFormat="1">
      <c r="A367" t="s">
        <v>370</v>
      </c>
      <c r="B367" t="s">
        <v>866</v>
      </c>
      <c r="C367">
        <v>1</v>
      </c>
      <c r="D367" t="s">
        <v>847</v>
      </c>
      <c r="E367" t="s">
        <v>867</v>
      </c>
      <c r="Q367">
        <v>3</v>
      </c>
      <c r="R367" t="s">
        <v>888</v>
      </c>
      <c r="S367" t="s">
        <v>1586</v>
      </c>
    </row>
    <row r="368" spans="1:35" customFormat="1">
      <c r="A368" t="s">
        <v>370</v>
      </c>
      <c r="B368" t="s">
        <v>868</v>
      </c>
      <c r="C368">
        <v>1</v>
      </c>
      <c r="D368" t="s">
        <v>847</v>
      </c>
      <c r="E368" t="s">
        <v>869</v>
      </c>
      <c r="Q368">
        <v>3</v>
      </c>
      <c r="R368" t="s">
        <v>847</v>
      </c>
      <c r="S368" t="s">
        <v>1571</v>
      </c>
      <c r="AD368" t="s">
        <v>417</v>
      </c>
      <c r="AE368" t="s">
        <v>418</v>
      </c>
      <c r="AF368" t="s">
        <v>301</v>
      </c>
      <c r="AG368" t="s">
        <v>419</v>
      </c>
      <c r="AH368" t="s">
        <v>420</v>
      </c>
      <c r="AI368" t="s">
        <v>421</v>
      </c>
    </row>
    <row r="369" spans="1:37" customFormat="1">
      <c r="A369" t="s">
        <v>370</v>
      </c>
      <c r="B369" t="s">
        <v>870</v>
      </c>
      <c r="C369">
        <v>1</v>
      </c>
      <c r="D369" t="s">
        <v>847</v>
      </c>
      <c r="E369" t="s">
        <v>871</v>
      </c>
      <c r="Q369">
        <v>3</v>
      </c>
      <c r="R369" t="s">
        <v>888</v>
      </c>
      <c r="S369" t="s">
        <v>1587</v>
      </c>
      <c r="AD369" t="s">
        <v>423</v>
      </c>
      <c r="AE369" t="s">
        <v>424</v>
      </c>
      <c r="AF369" t="s">
        <v>425</v>
      </c>
      <c r="AG369" t="s">
        <v>426</v>
      </c>
      <c r="AH369" t="s">
        <v>427</v>
      </c>
    </row>
    <row r="370" spans="1:37" customFormat="1">
      <c r="A370" t="s">
        <v>370</v>
      </c>
      <c r="B370" t="s">
        <v>872</v>
      </c>
      <c r="C370">
        <v>1</v>
      </c>
      <c r="D370" t="s">
        <v>847</v>
      </c>
      <c r="E370" t="s">
        <v>873</v>
      </c>
      <c r="Q370">
        <v>3</v>
      </c>
      <c r="R370" t="s">
        <v>888</v>
      </c>
      <c r="S370" t="s">
        <v>1024</v>
      </c>
      <c r="AD370" t="s">
        <v>429</v>
      </c>
      <c r="AE370" t="s">
        <v>430</v>
      </c>
      <c r="AF370" t="s">
        <v>431</v>
      </c>
      <c r="AG370" t="s">
        <v>432</v>
      </c>
      <c r="AH370" t="s">
        <v>433</v>
      </c>
      <c r="AI370" t="s">
        <v>434</v>
      </c>
    </row>
    <row r="371" spans="1:37" customFormat="1">
      <c r="A371" t="s">
        <v>370</v>
      </c>
      <c r="B371" t="s">
        <v>874</v>
      </c>
      <c r="C371">
        <v>2</v>
      </c>
      <c r="D371" t="s">
        <v>847</v>
      </c>
      <c r="E371" t="s">
        <v>875</v>
      </c>
      <c r="Q371">
        <v>3</v>
      </c>
      <c r="R371" t="s">
        <v>888</v>
      </c>
      <c r="S371" t="s">
        <v>1588</v>
      </c>
      <c r="AD371" t="s">
        <v>436</v>
      </c>
      <c r="AE371" t="s">
        <v>437</v>
      </c>
      <c r="AF371" t="s">
        <v>438</v>
      </c>
      <c r="AG371" t="s">
        <v>439</v>
      </c>
      <c r="AH371" t="s">
        <v>39</v>
      </c>
    </row>
    <row r="372" spans="1:37" customFormat="1">
      <c r="A372" t="s">
        <v>370</v>
      </c>
      <c r="B372" t="s">
        <v>876</v>
      </c>
      <c r="C372">
        <v>2</v>
      </c>
      <c r="D372" t="s">
        <v>847</v>
      </c>
      <c r="E372" t="s">
        <v>877</v>
      </c>
      <c r="Q372">
        <v>3</v>
      </c>
      <c r="R372" t="s">
        <v>888</v>
      </c>
      <c r="S372" t="s">
        <v>905</v>
      </c>
    </row>
    <row r="373" spans="1:37" customFormat="1">
      <c r="A373" t="s">
        <v>370</v>
      </c>
      <c r="B373" t="s">
        <v>878</v>
      </c>
      <c r="C373">
        <v>2</v>
      </c>
      <c r="D373" t="s">
        <v>847</v>
      </c>
      <c r="E373" t="s">
        <v>879</v>
      </c>
      <c r="Q373">
        <v>3</v>
      </c>
      <c r="R373" t="s">
        <v>888</v>
      </c>
      <c r="S373" t="s">
        <v>1020</v>
      </c>
      <c r="AD373" t="s">
        <v>442</v>
      </c>
      <c r="AE373" t="s">
        <v>443</v>
      </c>
      <c r="AF373">
        <v>3</v>
      </c>
    </row>
    <row r="374" spans="1:37" customFormat="1">
      <c r="A374" t="s">
        <v>370</v>
      </c>
      <c r="B374" t="s">
        <v>880</v>
      </c>
      <c r="C374">
        <v>2</v>
      </c>
      <c r="D374" t="s">
        <v>847</v>
      </c>
      <c r="E374" t="s">
        <v>877</v>
      </c>
      <c r="Q374">
        <v>3</v>
      </c>
      <c r="R374" t="s">
        <v>888</v>
      </c>
      <c r="S374" t="s">
        <v>907</v>
      </c>
    </row>
    <row r="375" spans="1:37" customFormat="1">
      <c r="A375" t="s">
        <v>370</v>
      </c>
      <c r="B375" t="s">
        <v>881</v>
      </c>
      <c r="C375">
        <v>2</v>
      </c>
      <c r="D375" t="s">
        <v>847</v>
      </c>
      <c r="E375" t="s">
        <v>882</v>
      </c>
      <c r="Q375">
        <v>3</v>
      </c>
      <c r="R375" t="s">
        <v>847</v>
      </c>
      <c r="S375" t="s">
        <v>1589</v>
      </c>
    </row>
    <row r="376" spans="1:37" customFormat="1">
      <c r="A376" t="s">
        <v>370</v>
      </c>
      <c r="B376" t="s">
        <v>883</v>
      </c>
      <c r="C376">
        <v>2</v>
      </c>
      <c r="D376" t="s">
        <v>847</v>
      </c>
      <c r="E376" t="s">
        <v>858</v>
      </c>
      <c r="Q376">
        <v>3</v>
      </c>
      <c r="R376" t="s">
        <v>888</v>
      </c>
      <c r="S376" t="s">
        <v>1066</v>
      </c>
    </row>
    <row r="377" spans="1:37" customFormat="1">
      <c r="A377" t="s">
        <v>370</v>
      </c>
      <c r="B377" t="s">
        <v>884</v>
      </c>
      <c r="C377">
        <v>2</v>
      </c>
      <c r="D377" t="s">
        <v>847</v>
      </c>
      <c r="E377" t="s">
        <v>885</v>
      </c>
      <c r="Q377">
        <v>4</v>
      </c>
      <c r="R377" t="s">
        <v>847</v>
      </c>
      <c r="S377" t="s">
        <v>1590</v>
      </c>
      <c r="AD377" t="s">
        <v>1373</v>
      </c>
      <c r="AE377" t="s">
        <v>495</v>
      </c>
      <c r="AF377" t="s">
        <v>1374</v>
      </c>
    </row>
    <row r="378" spans="1:37" customFormat="1">
      <c r="A378" t="s">
        <v>370</v>
      </c>
      <c r="B378" t="s">
        <v>886</v>
      </c>
      <c r="C378">
        <v>2</v>
      </c>
      <c r="D378" t="s">
        <v>847</v>
      </c>
      <c r="E378" t="s">
        <v>861</v>
      </c>
      <c r="Q378">
        <v>4</v>
      </c>
      <c r="R378" t="s">
        <v>888</v>
      </c>
      <c r="S378" t="s">
        <v>1049</v>
      </c>
      <c r="AD378" t="s">
        <v>1376</v>
      </c>
      <c r="AE378" t="s">
        <v>1377</v>
      </c>
      <c r="AF378" t="s">
        <v>1378</v>
      </c>
      <c r="AG378" t="s">
        <v>1379</v>
      </c>
      <c r="AH378" t="s">
        <v>443</v>
      </c>
      <c r="AI378" t="s">
        <v>1380</v>
      </c>
    </row>
    <row r="379" spans="1:37" customFormat="1">
      <c r="A379" t="s">
        <v>370</v>
      </c>
      <c r="B379" t="s">
        <v>887</v>
      </c>
      <c r="C379">
        <v>2</v>
      </c>
      <c r="D379" t="s">
        <v>888</v>
      </c>
      <c r="E379" t="s">
        <v>889</v>
      </c>
      <c r="Q379">
        <v>4</v>
      </c>
      <c r="R379" t="s">
        <v>847</v>
      </c>
      <c r="S379" t="s">
        <v>865</v>
      </c>
      <c r="AD379" t="s">
        <v>1382</v>
      </c>
      <c r="AE379" t="s">
        <v>1383</v>
      </c>
      <c r="AF379" t="s">
        <v>1384</v>
      </c>
      <c r="AG379" t="s">
        <v>1385</v>
      </c>
      <c r="AH379" t="s">
        <v>1385</v>
      </c>
      <c r="AI379" t="s">
        <v>1385</v>
      </c>
      <c r="AJ379" t="s">
        <v>1386</v>
      </c>
      <c r="AK379" t="s">
        <v>1374</v>
      </c>
    </row>
    <row r="380" spans="1:37" customFormat="1">
      <c r="A380" t="s">
        <v>370</v>
      </c>
      <c r="B380" t="s">
        <v>890</v>
      </c>
      <c r="C380">
        <v>2</v>
      </c>
      <c r="D380" t="s">
        <v>847</v>
      </c>
      <c r="E380" t="s">
        <v>891</v>
      </c>
      <c r="Q380">
        <v>4</v>
      </c>
      <c r="R380" t="s">
        <v>888</v>
      </c>
      <c r="S380" t="s">
        <v>1053</v>
      </c>
      <c r="AD380" t="s">
        <v>1388</v>
      </c>
      <c r="AE380" t="s">
        <v>1389</v>
      </c>
      <c r="AF380" t="s">
        <v>1390</v>
      </c>
      <c r="AG380" t="s">
        <v>160</v>
      </c>
      <c r="AH380">
        <v>16.2</v>
      </c>
      <c r="AI380" t="s">
        <v>1391</v>
      </c>
    </row>
    <row r="381" spans="1:37" customFormat="1">
      <c r="A381" t="s">
        <v>370</v>
      </c>
      <c r="B381" t="s">
        <v>892</v>
      </c>
      <c r="C381">
        <v>2</v>
      </c>
      <c r="D381" t="s">
        <v>847</v>
      </c>
      <c r="E381" t="s">
        <v>893</v>
      </c>
      <c r="Q381">
        <v>4</v>
      </c>
      <c r="R381" t="s">
        <v>847</v>
      </c>
      <c r="S381" t="s">
        <v>905</v>
      </c>
    </row>
    <row r="382" spans="1:37" customFormat="1">
      <c r="A382" t="s">
        <v>370</v>
      </c>
      <c r="B382" t="s">
        <v>894</v>
      </c>
      <c r="C382">
        <v>2</v>
      </c>
      <c r="D382" t="s">
        <v>888</v>
      </c>
      <c r="E382" t="s">
        <v>895</v>
      </c>
      <c r="Q382">
        <v>4</v>
      </c>
      <c r="R382" t="s">
        <v>888</v>
      </c>
      <c r="S382" t="s">
        <v>867</v>
      </c>
      <c r="AD382" t="s">
        <v>1373</v>
      </c>
      <c r="AE382" t="s">
        <v>495</v>
      </c>
      <c r="AF382" t="s">
        <v>1374</v>
      </c>
    </row>
    <row r="383" spans="1:37" customFormat="1">
      <c r="A383" t="s">
        <v>370</v>
      </c>
      <c r="B383" t="s">
        <v>896</v>
      </c>
      <c r="C383">
        <v>2</v>
      </c>
      <c r="D383" t="s">
        <v>888</v>
      </c>
      <c r="E383" t="s">
        <v>897</v>
      </c>
      <c r="Q383">
        <v>4</v>
      </c>
      <c r="R383" t="s">
        <v>847</v>
      </c>
      <c r="S383" t="s">
        <v>848</v>
      </c>
      <c r="AD383" t="s">
        <v>1376</v>
      </c>
      <c r="AE383" t="s">
        <v>1377</v>
      </c>
      <c r="AF383" t="s">
        <v>1378</v>
      </c>
      <c r="AG383" t="s">
        <v>1379</v>
      </c>
      <c r="AH383" t="s">
        <v>443</v>
      </c>
      <c r="AI383" t="s">
        <v>1380</v>
      </c>
    </row>
    <row r="384" spans="1:37" customFormat="1">
      <c r="A384" t="s">
        <v>370</v>
      </c>
      <c r="B384" t="s">
        <v>898</v>
      </c>
      <c r="C384">
        <v>2</v>
      </c>
      <c r="D384" t="s">
        <v>847</v>
      </c>
      <c r="E384" t="s">
        <v>899</v>
      </c>
      <c r="Q384">
        <v>4</v>
      </c>
      <c r="R384" t="s">
        <v>888</v>
      </c>
      <c r="S384" t="s">
        <v>1049</v>
      </c>
      <c r="AD384" t="s">
        <v>1382</v>
      </c>
      <c r="AE384" t="s">
        <v>1383</v>
      </c>
      <c r="AF384" t="s">
        <v>1384</v>
      </c>
      <c r="AG384" t="s">
        <v>1385</v>
      </c>
      <c r="AH384" t="s">
        <v>1385</v>
      </c>
      <c r="AI384" t="s">
        <v>1385</v>
      </c>
      <c r="AJ384" t="s">
        <v>1386</v>
      </c>
      <c r="AK384" t="s">
        <v>1374</v>
      </c>
    </row>
    <row r="385" spans="1:37" customFormat="1">
      <c r="A385" t="s">
        <v>370</v>
      </c>
      <c r="B385" t="s">
        <v>900</v>
      </c>
      <c r="C385">
        <v>3</v>
      </c>
      <c r="D385" t="s">
        <v>847</v>
      </c>
      <c r="E385" t="s">
        <v>901</v>
      </c>
      <c r="Q385">
        <v>4</v>
      </c>
      <c r="R385" t="s">
        <v>888</v>
      </c>
      <c r="S385" t="s">
        <v>869</v>
      </c>
      <c r="AD385" t="s">
        <v>1388</v>
      </c>
      <c r="AE385" t="s">
        <v>1389</v>
      </c>
      <c r="AF385" t="s">
        <v>1390</v>
      </c>
      <c r="AG385" t="s">
        <v>160</v>
      </c>
      <c r="AH385">
        <v>16.399999999999999</v>
      </c>
      <c r="AI385" t="s">
        <v>1391</v>
      </c>
    </row>
    <row r="386" spans="1:37" customFormat="1">
      <c r="A386" t="s">
        <v>370</v>
      </c>
      <c r="B386" t="s">
        <v>902</v>
      </c>
      <c r="C386">
        <v>3</v>
      </c>
      <c r="D386" t="s">
        <v>847</v>
      </c>
      <c r="E386" t="s">
        <v>865</v>
      </c>
      <c r="Q386">
        <v>4</v>
      </c>
      <c r="R386" t="s">
        <v>888</v>
      </c>
      <c r="S386" t="s">
        <v>1040</v>
      </c>
    </row>
    <row r="387" spans="1:37" customFormat="1">
      <c r="A387" t="s">
        <v>370</v>
      </c>
      <c r="B387" t="s">
        <v>903</v>
      </c>
      <c r="C387">
        <v>3</v>
      </c>
      <c r="D387" t="s">
        <v>847</v>
      </c>
      <c r="E387" t="s">
        <v>879</v>
      </c>
      <c r="Q387">
        <v>4</v>
      </c>
      <c r="R387" t="s">
        <v>888</v>
      </c>
      <c r="S387" t="s">
        <v>867</v>
      </c>
      <c r="AD387" t="s">
        <v>1373</v>
      </c>
      <c r="AE387" t="s">
        <v>495</v>
      </c>
      <c r="AF387" t="s">
        <v>1374</v>
      </c>
    </row>
    <row r="388" spans="1:37" customFormat="1">
      <c r="A388" t="s">
        <v>370</v>
      </c>
      <c r="B388" t="s">
        <v>904</v>
      </c>
      <c r="C388">
        <v>3</v>
      </c>
      <c r="D388" t="s">
        <v>847</v>
      </c>
      <c r="E388" t="s">
        <v>905</v>
      </c>
      <c r="Q388">
        <v>4</v>
      </c>
      <c r="R388" t="s">
        <v>888</v>
      </c>
      <c r="S388" t="s">
        <v>1591</v>
      </c>
      <c r="AD388" t="s">
        <v>1376</v>
      </c>
      <c r="AE388" t="s">
        <v>1377</v>
      </c>
      <c r="AF388" t="s">
        <v>1378</v>
      </c>
      <c r="AG388" t="s">
        <v>1379</v>
      </c>
      <c r="AH388" t="s">
        <v>443</v>
      </c>
      <c r="AI388" t="s">
        <v>1380</v>
      </c>
    </row>
    <row r="389" spans="1:37" customFormat="1">
      <c r="A389" t="s">
        <v>370</v>
      </c>
      <c r="B389" t="s">
        <v>906</v>
      </c>
      <c r="C389">
        <v>3</v>
      </c>
      <c r="D389" t="s">
        <v>847</v>
      </c>
      <c r="E389" t="s">
        <v>907</v>
      </c>
      <c r="Q389">
        <v>4</v>
      </c>
      <c r="R389" t="s">
        <v>888</v>
      </c>
      <c r="S389" t="s">
        <v>1592</v>
      </c>
      <c r="AD389" t="s">
        <v>1382</v>
      </c>
      <c r="AE389" t="s">
        <v>1383</v>
      </c>
      <c r="AF389" t="s">
        <v>1384</v>
      </c>
      <c r="AG389" t="s">
        <v>1385</v>
      </c>
      <c r="AH389" t="s">
        <v>1385</v>
      </c>
      <c r="AI389" t="s">
        <v>1385</v>
      </c>
      <c r="AJ389" t="s">
        <v>1386</v>
      </c>
      <c r="AK389" t="s">
        <v>1374</v>
      </c>
    </row>
    <row r="390" spans="1:37" customFormat="1">
      <c r="A390" t="s">
        <v>370</v>
      </c>
      <c r="B390" t="s">
        <v>908</v>
      </c>
      <c r="C390">
        <v>3</v>
      </c>
      <c r="D390" t="s">
        <v>847</v>
      </c>
      <c r="E390" t="s">
        <v>909</v>
      </c>
      <c r="Q390">
        <v>4</v>
      </c>
      <c r="R390" t="s">
        <v>888</v>
      </c>
      <c r="S390" t="s">
        <v>933</v>
      </c>
      <c r="AD390" t="s">
        <v>1388</v>
      </c>
      <c r="AE390" t="s">
        <v>1389</v>
      </c>
      <c r="AF390" t="s">
        <v>1390</v>
      </c>
      <c r="AG390" t="s">
        <v>160</v>
      </c>
      <c r="AH390">
        <v>16.399999999999999</v>
      </c>
      <c r="AI390" t="s">
        <v>1391</v>
      </c>
    </row>
    <row r="391" spans="1:37" customFormat="1">
      <c r="A391" t="s">
        <v>370</v>
      </c>
      <c r="B391" t="s">
        <v>910</v>
      </c>
      <c r="C391">
        <v>3</v>
      </c>
      <c r="D391" t="s">
        <v>847</v>
      </c>
      <c r="E391" t="s">
        <v>911</v>
      </c>
      <c r="Q391">
        <v>5</v>
      </c>
      <c r="R391" t="s">
        <v>888</v>
      </c>
      <c r="S391" t="s">
        <v>1593</v>
      </c>
    </row>
    <row r="392" spans="1:37" customFormat="1">
      <c r="A392" t="s">
        <v>370</v>
      </c>
      <c r="B392" t="s">
        <v>912</v>
      </c>
      <c r="C392">
        <v>3</v>
      </c>
      <c r="D392" t="s">
        <v>847</v>
      </c>
      <c r="E392" t="s">
        <v>913</v>
      </c>
      <c r="Q392">
        <v>5</v>
      </c>
      <c r="R392" t="s">
        <v>888</v>
      </c>
      <c r="S392" t="s">
        <v>953</v>
      </c>
      <c r="AD392" t="s">
        <v>1373</v>
      </c>
      <c r="AE392" t="s">
        <v>495</v>
      </c>
      <c r="AF392" t="s">
        <v>1374</v>
      </c>
    </row>
    <row r="393" spans="1:37" customFormat="1">
      <c r="A393" t="s">
        <v>370</v>
      </c>
      <c r="B393" t="s">
        <v>914</v>
      </c>
      <c r="C393">
        <v>3</v>
      </c>
      <c r="D393" t="s">
        <v>847</v>
      </c>
      <c r="E393" t="s">
        <v>854</v>
      </c>
      <c r="Q393">
        <v>5</v>
      </c>
      <c r="R393" t="s">
        <v>888</v>
      </c>
      <c r="S393" t="s">
        <v>1592</v>
      </c>
      <c r="AD393" t="s">
        <v>1376</v>
      </c>
      <c r="AE393" t="s">
        <v>1377</v>
      </c>
      <c r="AF393" t="s">
        <v>1378</v>
      </c>
      <c r="AG393" t="s">
        <v>1379</v>
      </c>
      <c r="AH393" t="s">
        <v>443</v>
      </c>
      <c r="AI393" t="s">
        <v>1380</v>
      </c>
    </row>
    <row r="394" spans="1:37" customFormat="1">
      <c r="A394" t="s">
        <v>370</v>
      </c>
      <c r="B394" t="s">
        <v>915</v>
      </c>
      <c r="C394">
        <v>3</v>
      </c>
      <c r="D394" t="s">
        <v>847</v>
      </c>
      <c r="E394" t="s">
        <v>916</v>
      </c>
      <c r="Q394">
        <v>5</v>
      </c>
      <c r="R394" t="s">
        <v>888</v>
      </c>
      <c r="S394" t="s">
        <v>986</v>
      </c>
      <c r="AD394" t="s">
        <v>1382</v>
      </c>
      <c r="AE394" t="s">
        <v>1383</v>
      </c>
      <c r="AF394" t="s">
        <v>1384</v>
      </c>
      <c r="AG394" t="s">
        <v>1385</v>
      </c>
      <c r="AH394" t="s">
        <v>1385</v>
      </c>
      <c r="AI394" t="s">
        <v>1385</v>
      </c>
      <c r="AJ394" t="s">
        <v>1386</v>
      </c>
      <c r="AK394" t="s">
        <v>1374</v>
      </c>
    </row>
    <row r="395" spans="1:37" customFormat="1">
      <c r="A395" t="s">
        <v>370</v>
      </c>
      <c r="B395" t="s">
        <v>917</v>
      </c>
      <c r="C395">
        <v>3</v>
      </c>
      <c r="D395" t="s">
        <v>847</v>
      </c>
      <c r="E395" t="s">
        <v>858</v>
      </c>
      <c r="Q395">
        <v>5</v>
      </c>
      <c r="R395" t="s">
        <v>888</v>
      </c>
      <c r="S395" t="s">
        <v>1040</v>
      </c>
      <c r="AD395" t="s">
        <v>1388</v>
      </c>
      <c r="AE395" t="s">
        <v>1389</v>
      </c>
      <c r="AF395" t="s">
        <v>1390</v>
      </c>
      <c r="AG395" t="s">
        <v>160</v>
      </c>
      <c r="AH395">
        <v>16.3</v>
      </c>
      <c r="AI395" t="s">
        <v>1391</v>
      </c>
    </row>
    <row r="396" spans="1:37" customFormat="1">
      <c r="A396" t="s">
        <v>370</v>
      </c>
      <c r="B396" t="s">
        <v>918</v>
      </c>
      <c r="C396">
        <v>3</v>
      </c>
      <c r="D396" t="s">
        <v>888</v>
      </c>
      <c r="E396" t="s">
        <v>919</v>
      </c>
      <c r="Q396">
        <v>5</v>
      </c>
      <c r="R396" t="s">
        <v>888</v>
      </c>
      <c r="S396" t="s">
        <v>1594</v>
      </c>
    </row>
    <row r="397" spans="1:37" customFormat="1">
      <c r="A397" t="s">
        <v>370</v>
      </c>
      <c r="B397" t="s">
        <v>920</v>
      </c>
      <c r="C397">
        <v>3</v>
      </c>
      <c r="D397" t="s">
        <v>847</v>
      </c>
      <c r="E397" t="s">
        <v>848</v>
      </c>
      <c r="Q397">
        <v>5</v>
      </c>
      <c r="R397" t="s">
        <v>888</v>
      </c>
      <c r="S397" t="s">
        <v>941</v>
      </c>
      <c r="AD397" t="s">
        <v>1373</v>
      </c>
      <c r="AE397" t="s">
        <v>495</v>
      </c>
      <c r="AF397" t="s">
        <v>1374</v>
      </c>
    </row>
    <row r="398" spans="1:37" customFormat="1">
      <c r="A398" t="s">
        <v>370</v>
      </c>
      <c r="B398" t="s">
        <v>921</v>
      </c>
      <c r="C398">
        <v>3</v>
      </c>
      <c r="D398" t="s">
        <v>847</v>
      </c>
      <c r="E398" t="s">
        <v>922</v>
      </c>
      <c r="Q398">
        <v>5</v>
      </c>
      <c r="R398" t="s">
        <v>888</v>
      </c>
      <c r="S398" t="s">
        <v>1020</v>
      </c>
      <c r="AD398" t="s">
        <v>1376</v>
      </c>
      <c r="AE398" t="s">
        <v>1377</v>
      </c>
      <c r="AF398" t="s">
        <v>1378</v>
      </c>
      <c r="AG398" t="s">
        <v>1379</v>
      </c>
      <c r="AH398" t="s">
        <v>443</v>
      </c>
      <c r="AI398" t="s">
        <v>1380</v>
      </c>
    </row>
    <row r="399" spans="1:37" customFormat="1">
      <c r="A399" t="s">
        <v>370</v>
      </c>
      <c r="B399" t="s">
        <v>923</v>
      </c>
      <c r="C399">
        <v>4</v>
      </c>
      <c r="D399" t="s">
        <v>847</v>
      </c>
      <c r="E399" t="s">
        <v>924</v>
      </c>
      <c r="Q399">
        <v>5</v>
      </c>
      <c r="R399" t="s">
        <v>888</v>
      </c>
      <c r="S399" t="s">
        <v>1090</v>
      </c>
      <c r="AD399" t="s">
        <v>1382</v>
      </c>
      <c r="AE399" t="s">
        <v>1383</v>
      </c>
      <c r="AF399" t="s">
        <v>1384</v>
      </c>
      <c r="AG399" t="s">
        <v>1385</v>
      </c>
      <c r="AH399" t="s">
        <v>1385</v>
      </c>
      <c r="AI399" t="s">
        <v>1385</v>
      </c>
      <c r="AJ399" t="s">
        <v>1386</v>
      </c>
      <c r="AK399" t="s">
        <v>1374</v>
      </c>
    </row>
    <row r="400" spans="1:37" customFormat="1">
      <c r="A400" t="s">
        <v>370</v>
      </c>
      <c r="B400" t="s">
        <v>925</v>
      </c>
      <c r="C400">
        <v>4</v>
      </c>
      <c r="D400" t="s">
        <v>888</v>
      </c>
      <c r="E400" t="s">
        <v>854</v>
      </c>
      <c r="Q400">
        <v>5</v>
      </c>
      <c r="R400" t="s">
        <v>888</v>
      </c>
      <c r="S400" t="s">
        <v>956</v>
      </c>
      <c r="AD400" t="s">
        <v>1388</v>
      </c>
      <c r="AE400" t="s">
        <v>1389</v>
      </c>
      <c r="AF400" t="s">
        <v>1390</v>
      </c>
      <c r="AG400" t="s">
        <v>160</v>
      </c>
      <c r="AH400">
        <v>16.2</v>
      </c>
      <c r="AI400" t="s">
        <v>1391</v>
      </c>
    </row>
    <row r="401" spans="1:37" customFormat="1">
      <c r="A401" t="s">
        <v>370</v>
      </c>
      <c r="B401" t="s">
        <v>926</v>
      </c>
      <c r="C401">
        <v>4</v>
      </c>
      <c r="D401" t="s">
        <v>847</v>
      </c>
      <c r="E401" t="s">
        <v>927</v>
      </c>
      <c r="Q401">
        <v>5</v>
      </c>
      <c r="R401" t="s">
        <v>888</v>
      </c>
      <c r="S401" t="s">
        <v>929</v>
      </c>
    </row>
    <row r="402" spans="1:37" customFormat="1">
      <c r="A402" t="s">
        <v>370</v>
      </c>
      <c r="B402" t="s">
        <v>928</v>
      </c>
      <c r="C402">
        <v>4</v>
      </c>
      <c r="D402" t="s">
        <v>847</v>
      </c>
      <c r="E402" t="s">
        <v>929</v>
      </c>
      <c r="Q402">
        <v>5</v>
      </c>
      <c r="R402" t="s">
        <v>888</v>
      </c>
      <c r="S402" t="s">
        <v>1595</v>
      </c>
      <c r="AD402" t="s">
        <v>1373</v>
      </c>
      <c r="AE402" t="s">
        <v>495</v>
      </c>
      <c r="AF402" t="s">
        <v>1374</v>
      </c>
    </row>
    <row r="403" spans="1:37" customFormat="1">
      <c r="A403" t="s">
        <v>370</v>
      </c>
      <c r="B403" t="s">
        <v>930</v>
      </c>
      <c r="C403">
        <v>4</v>
      </c>
      <c r="D403" t="s">
        <v>847</v>
      </c>
      <c r="E403" t="s">
        <v>931</v>
      </c>
      <c r="Q403">
        <v>5</v>
      </c>
      <c r="R403" t="s">
        <v>888</v>
      </c>
      <c r="S403" t="s">
        <v>933</v>
      </c>
      <c r="AD403" t="s">
        <v>1376</v>
      </c>
      <c r="AE403" t="s">
        <v>1377</v>
      </c>
      <c r="AF403" t="s">
        <v>1378</v>
      </c>
      <c r="AG403" t="s">
        <v>1379</v>
      </c>
      <c r="AH403" t="s">
        <v>443</v>
      </c>
      <c r="AI403" t="s">
        <v>1380</v>
      </c>
    </row>
    <row r="404" spans="1:37" customFormat="1">
      <c r="A404" t="s">
        <v>370</v>
      </c>
      <c r="B404" t="s">
        <v>932</v>
      </c>
      <c r="C404">
        <v>4</v>
      </c>
      <c r="D404" t="s">
        <v>847</v>
      </c>
      <c r="E404" t="s">
        <v>933</v>
      </c>
      <c r="Q404">
        <v>5</v>
      </c>
      <c r="R404" t="s">
        <v>888</v>
      </c>
      <c r="S404" t="s">
        <v>1128</v>
      </c>
      <c r="AD404" t="s">
        <v>1382</v>
      </c>
      <c r="AE404" t="s">
        <v>1383</v>
      </c>
      <c r="AF404" t="s">
        <v>1384</v>
      </c>
      <c r="AG404" t="s">
        <v>1385</v>
      </c>
      <c r="AH404" t="s">
        <v>1385</v>
      </c>
      <c r="AI404" t="s">
        <v>1385</v>
      </c>
      <c r="AJ404" t="s">
        <v>1386</v>
      </c>
      <c r="AK404" t="s">
        <v>1374</v>
      </c>
    </row>
    <row r="405" spans="1:37" customFormat="1">
      <c r="A405" t="s">
        <v>370</v>
      </c>
      <c r="B405" t="s">
        <v>934</v>
      </c>
      <c r="C405">
        <v>4</v>
      </c>
      <c r="D405" t="s">
        <v>847</v>
      </c>
      <c r="E405" t="s">
        <v>935</v>
      </c>
      <c r="Q405">
        <v>6</v>
      </c>
      <c r="R405" t="s">
        <v>847</v>
      </c>
      <c r="S405" t="s">
        <v>1596</v>
      </c>
      <c r="AD405" t="s">
        <v>1388</v>
      </c>
      <c r="AE405" t="s">
        <v>1389</v>
      </c>
      <c r="AF405" t="s">
        <v>1390</v>
      </c>
      <c r="AG405" t="s">
        <v>160</v>
      </c>
      <c r="AH405">
        <v>16.3</v>
      </c>
      <c r="AI405" t="s">
        <v>1391</v>
      </c>
    </row>
    <row r="406" spans="1:37" customFormat="1">
      <c r="A406" t="s">
        <v>370</v>
      </c>
      <c r="B406" t="s">
        <v>936</v>
      </c>
      <c r="C406">
        <v>4</v>
      </c>
      <c r="D406" t="s">
        <v>847</v>
      </c>
      <c r="E406" t="s">
        <v>937</v>
      </c>
      <c r="Q406">
        <v>6</v>
      </c>
      <c r="R406" t="s">
        <v>888</v>
      </c>
      <c r="S406" t="s">
        <v>1572</v>
      </c>
    </row>
    <row r="407" spans="1:37" customFormat="1">
      <c r="A407" t="s">
        <v>370</v>
      </c>
      <c r="B407" t="s">
        <v>938</v>
      </c>
      <c r="C407">
        <v>4</v>
      </c>
      <c r="D407" t="s">
        <v>847</v>
      </c>
      <c r="E407" t="s">
        <v>939</v>
      </c>
      <c r="Q407">
        <v>6</v>
      </c>
      <c r="R407" t="s">
        <v>888</v>
      </c>
      <c r="S407" t="s">
        <v>1586</v>
      </c>
      <c r="AD407" t="s">
        <v>1373</v>
      </c>
      <c r="AE407" t="s">
        <v>495</v>
      </c>
      <c r="AF407" t="s">
        <v>1374</v>
      </c>
    </row>
    <row r="408" spans="1:37" customFormat="1">
      <c r="A408" t="s">
        <v>370</v>
      </c>
      <c r="B408" t="s">
        <v>940</v>
      </c>
      <c r="C408">
        <v>4</v>
      </c>
      <c r="D408" t="s">
        <v>847</v>
      </c>
      <c r="E408" t="s">
        <v>941</v>
      </c>
      <c r="Q408">
        <v>6</v>
      </c>
      <c r="R408" t="s">
        <v>888</v>
      </c>
      <c r="S408" t="s">
        <v>1597</v>
      </c>
      <c r="AD408" t="s">
        <v>1376</v>
      </c>
      <c r="AE408" t="s">
        <v>1377</v>
      </c>
      <c r="AF408" t="s">
        <v>1378</v>
      </c>
      <c r="AG408" t="s">
        <v>1379</v>
      </c>
      <c r="AH408" t="s">
        <v>443</v>
      </c>
      <c r="AI408" t="s">
        <v>1380</v>
      </c>
    </row>
    <row r="409" spans="1:37" customFormat="1">
      <c r="A409" t="s">
        <v>370</v>
      </c>
      <c r="B409" t="s">
        <v>942</v>
      </c>
      <c r="C409">
        <v>4</v>
      </c>
      <c r="D409" t="s">
        <v>847</v>
      </c>
      <c r="E409" t="s">
        <v>943</v>
      </c>
      <c r="Q409">
        <v>6</v>
      </c>
      <c r="R409" t="s">
        <v>888</v>
      </c>
      <c r="S409" t="s">
        <v>1598</v>
      </c>
      <c r="AD409" t="s">
        <v>1382</v>
      </c>
      <c r="AE409" t="s">
        <v>1383</v>
      </c>
      <c r="AF409" t="s">
        <v>1384</v>
      </c>
      <c r="AG409" t="s">
        <v>1385</v>
      </c>
      <c r="AH409" t="s">
        <v>1385</v>
      </c>
      <c r="AI409" t="s">
        <v>1385</v>
      </c>
      <c r="AJ409" t="s">
        <v>1386</v>
      </c>
      <c r="AK409" t="s">
        <v>1374</v>
      </c>
    </row>
    <row r="410" spans="1:37" customFormat="1">
      <c r="A410" t="s">
        <v>370</v>
      </c>
      <c r="B410" t="s">
        <v>944</v>
      </c>
      <c r="C410">
        <v>4</v>
      </c>
      <c r="D410" t="s">
        <v>847</v>
      </c>
      <c r="E410" t="s">
        <v>945</v>
      </c>
      <c r="Q410">
        <v>6</v>
      </c>
      <c r="R410" t="s">
        <v>888</v>
      </c>
      <c r="S410" t="s">
        <v>865</v>
      </c>
      <c r="AD410" t="s">
        <v>1388</v>
      </c>
      <c r="AE410" t="s">
        <v>1389</v>
      </c>
      <c r="AF410" t="s">
        <v>1390</v>
      </c>
      <c r="AG410" t="s">
        <v>160</v>
      </c>
      <c r="AH410">
        <v>16.2</v>
      </c>
      <c r="AI410" t="s">
        <v>1391</v>
      </c>
    </row>
    <row r="411" spans="1:37" customFormat="1">
      <c r="A411" t="s">
        <v>370</v>
      </c>
      <c r="B411" t="s">
        <v>946</v>
      </c>
      <c r="C411">
        <v>4</v>
      </c>
      <c r="D411" t="s">
        <v>847</v>
      </c>
      <c r="E411" t="s">
        <v>947</v>
      </c>
      <c r="Q411">
        <v>6</v>
      </c>
      <c r="R411" t="s">
        <v>888</v>
      </c>
      <c r="S411" t="s">
        <v>1596</v>
      </c>
    </row>
    <row r="412" spans="1:37" customFormat="1">
      <c r="A412" t="s">
        <v>370</v>
      </c>
      <c r="B412" t="s">
        <v>948</v>
      </c>
      <c r="C412">
        <v>4</v>
      </c>
      <c r="D412" t="s">
        <v>847</v>
      </c>
      <c r="E412" t="s">
        <v>949</v>
      </c>
      <c r="Q412">
        <v>6</v>
      </c>
      <c r="R412" t="s">
        <v>888</v>
      </c>
      <c r="S412" t="s">
        <v>1599</v>
      </c>
      <c r="AD412" t="s">
        <v>1373</v>
      </c>
      <c r="AE412" t="s">
        <v>495</v>
      </c>
      <c r="AF412" t="s">
        <v>1374</v>
      </c>
    </row>
    <row r="413" spans="1:37" customFormat="1">
      <c r="A413" t="s">
        <v>370</v>
      </c>
      <c r="B413" t="s">
        <v>950</v>
      </c>
      <c r="C413">
        <v>5</v>
      </c>
      <c r="D413" t="s">
        <v>888</v>
      </c>
      <c r="E413" t="s">
        <v>951</v>
      </c>
      <c r="Q413">
        <v>6</v>
      </c>
      <c r="R413" t="s">
        <v>888</v>
      </c>
      <c r="S413" t="s">
        <v>873</v>
      </c>
      <c r="AD413" t="s">
        <v>1376</v>
      </c>
      <c r="AE413" t="s">
        <v>1377</v>
      </c>
      <c r="AF413" t="s">
        <v>1378</v>
      </c>
      <c r="AG413" t="s">
        <v>1379</v>
      </c>
      <c r="AH413" t="s">
        <v>443</v>
      </c>
      <c r="AI413" t="s">
        <v>1380</v>
      </c>
    </row>
    <row r="414" spans="1:37" customFormat="1">
      <c r="A414" t="s">
        <v>370</v>
      </c>
      <c r="B414" t="s">
        <v>952</v>
      </c>
      <c r="C414">
        <v>5</v>
      </c>
      <c r="D414" t="s">
        <v>847</v>
      </c>
      <c r="E414" t="s">
        <v>953</v>
      </c>
      <c r="Q414">
        <v>6</v>
      </c>
      <c r="R414" t="s">
        <v>888</v>
      </c>
      <c r="S414" t="s">
        <v>1600</v>
      </c>
      <c r="AD414" t="s">
        <v>1382</v>
      </c>
      <c r="AE414" t="s">
        <v>1383</v>
      </c>
      <c r="AF414" t="s">
        <v>1384</v>
      </c>
      <c r="AG414" t="s">
        <v>1385</v>
      </c>
      <c r="AH414" t="s">
        <v>1385</v>
      </c>
      <c r="AI414" t="s">
        <v>1385</v>
      </c>
      <c r="AJ414" t="s">
        <v>1386</v>
      </c>
      <c r="AK414" t="s">
        <v>1374</v>
      </c>
    </row>
    <row r="415" spans="1:37" customFormat="1">
      <c r="A415" t="s">
        <v>370</v>
      </c>
      <c r="B415" t="s">
        <v>954</v>
      </c>
      <c r="C415">
        <v>5</v>
      </c>
      <c r="D415" t="s">
        <v>847</v>
      </c>
      <c r="E415" t="s">
        <v>924</v>
      </c>
      <c r="Q415">
        <v>6</v>
      </c>
      <c r="R415" t="s">
        <v>888</v>
      </c>
      <c r="S415" t="s">
        <v>1601</v>
      </c>
      <c r="AD415" t="s">
        <v>1388</v>
      </c>
      <c r="AE415" t="s">
        <v>1389</v>
      </c>
      <c r="AF415" t="s">
        <v>1390</v>
      </c>
      <c r="AG415" t="s">
        <v>160</v>
      </c>
      <c r="AH415">
        <v>16.399999999999999</v>
      </c>
      <c r="AI415" t="s">
        <v>1391</v>
      </c>
    </row>
    <row r="416" spans="1:37" customFormat="1">
      <c r="A416" t="s">
        <v>370</v>
      </c>
      <c r="B416" t="s">
        <v>955</v>
      </c>
      <c r="C416">
        <v>5</v>
      </c>
      <c r="D416" t="s">
        <v>847</v>
      </c>
      <c r="E416" t="s">
        <v>956</v>
      </c>
      <c r="Q416">
        <v>6</v>
      </c>
      <c r="R416" t="s">
        <v>888</v>
      </c>
      <c r="S416" t="s">
        <v>941</v>
      </c>
    </row>
    <row r="417" spans="1:37" customFormat="1">
      <c r="A417" t="s">
        <v>370</v>
      </c>
      <c r="B417" t="s">
        <v>957</v>
      </c>
      <c r="C417">
        <v>5</v>
      </c>
      <c r="D417" t="s">
        <v>847</v>
      </c>
      <c r="E417" t="s">
        <v>958</v>
      </c>
      <c r="Q417">
        <v>6</v>
      </c>
      <c r="R417" t="s">
        <v>888</v>
      </c>
      <c r="S417" t="s">
        <v>947</v>
      </c>
      <c r="AD417" t="s">
        <v>1373</v>
      </c>
      <c r="AE417" t="s">
        <v>495</v>
      </c>
      <c r="AF417" t="s">
        <v>1374</v>
      </c>
    </row>
    <row r="418" spans="1:37" customFormat="1">
      <c r="A418" t="s">
        <v>370</v>
      </c>
      <c r="B418" t="s">
        <v>959</v>
      </c>
      <c r="C418">
        <v>5</v>
      </c>
      <c r="D418" t="s">
        <v>847</v>
      </c>
      <c r="E418" t="s">
        <v>960</v>
      </c>
      <c r="Q418">
        <v>6</v>
      </c>
      <c r="R418" t="s">
        <v>888</v>
      </c>
      <c r="S418" t="s">
        <v>998</v>
      </c>
      <c r="AD418" t="s">
        <v>1376</v>
      </c>
      <c r="AE418" t="s">
        <v>1377</v>
      </c>
      <c r="AF418" t="s">
        <v>1378</v>
      </c>
      <c r="AG418" t="s">
        <v>1379</v>
      </c>
      <c r="AH418" t="s">
        <v>443</v>
      </c>
      <c r="AI418" t="s">
        <v>1380</v>
      </c>
    </row>
    <row r="419" spans="1:37" customFormat="1">
      <c r="A419" t="s">
        <v>370</v>
      </c>
      <c r="B419" t="s">
        <v>961</v>
      </c>
      <c r="C419">
        <v>5</v>
      </c>
      <c r="D419" t="s">
        <v>847</v>
      </c>
      <c r="E419" t="s">
        <v>905</v>
      </c>
      <c r="Q419">
        <v>7</v>
      </c>
      <c r="R419" t="s">
        <v>847</v>
      </c>
      <c r="S419" t="s">
        <v>1024</v>
      </c>
      <c r="AD419" t="s">
        <v>1382</v>
      </c>
      <c r="AE419" t="s">
        <v>1383</v>
      </c>
      <c r="AF419" t="s">
        <v>1384</v>
      </c>
      <c r="AG419" t="s">
        <v>1385</v>
      </c>
      <c r="AH419" t="s">
        <v>1385</v>
      </c>
      <c r="AI419" t="s">
        <v>1385</v>
      </c>
      <c r="AJ419" t="s">
        <v>1386</v>
      </c>
      <c r="AK419" t="s">
        <v>1374</v>
      </c>
    </row>
    <row r="420" spans="1:37" customFormat="1">
      <c r="A420" t="s">
        <v>370</v>
      </c>
      <c r="B420" t="s">
        <v>962</v>
      </c>
      <c r="C420">
        <v>5</v>
      </c>
      <c r="D420" t="s">
        <v>888</v>
      </c>
      <c r="E420" t="s">
        <v>963</v>
      </c>
      <c r="Q420">
        <v>7</v>
      </c>
      <c r="R420" t="s">
        <v>888</v>
      </c>
      <c r="S420" t="s">
        <v>1031</v>
      </c>
      <c r="AD420" t="s">
        <v>1388</v>
      </c>
      <c r="AE420" t="s">
        <v>1389</v>
      </c>
      <c r="AF420" t="s">
        <v>1390</v>
      </c>
      <c r="AG420" t="s">
        <v>160</v>
      </c>
      <c r="AH420">
        <v>16.2</v>
      </c>
      <c r="AI420" t="s">
        <v>1391</v>
      </c>
    </row>
    <row r="421" spans="1:37" customFormat="1">
      <c r="A421" t="s">
        <v>370</v>
      </c>
      <c r="B421" t="s">
        <v>964</v>
      </c>
      <c r="C421">
        <v>5</v>
      </c>
      <c r="D421" t="s">
        <v>847</v>
      </c>
      <c r="E421" t="s">
        <v>965</v>
      </c>
      <c r="Q421">
        <v>7</v>
      </c>
      <c r="R421" t="s">
        <v>847</v>
      </c>
      <c r="S421" t="s">
        <v>1589</v>
      </c>
    </row>
    <row r="422" spans="1:37" customFormat="1">
      <c r="A422" t="s">
        <v>370</v>
      </c>
      <c r="B422" t="s">
        <v>966</v>
      </c>
      <c r="C422">
        <v>5</v>
      </c>
      <c r="D422" t="s">
        <v>847</v>
      </c>
      <c r="E422" t="s">
        <v>967</v>
      </c>
      <c r="Q422">
        <v>7</v>
      </c>
      <c r="R422" t="s">
        <v>847</v>
      </c>
      <c r="S422" t="s">
        <v>1068</v>
      </c>
      <c r="AD422" t="s">
        <v>1373</v>
      </c>
      <c r="AE422" t="s">
        <v>495</v>
      </c>
      <c r="AF422" t="s">
        <v>1374</v>
      </c>
    </row>
    <row r="423" spans="1:37" customFormat="1">
      <c r="A423" t="s">
        <v>370</v>
      </c>
      <c r="B423" t="s">
        <v>968</v>
      </c>
      <c r="C423">
        <v>5</v>
      </c>
      <c r="D423" t="s">
        <v>847</v>
      </c>
      <c r="E423" t="s">
        <v>969</v>
      </c>
      <c r="Q423">
        <v>7</v>
      </c>
      <c r="R423" t="s">
        <v>847</v>
      </c>
      <c r="S423" t="s">
        <v>1602</v>
      </c>
      <c r="AD423" t="s">
        <v>1376</v>
      </c>
      <c r="AE423" t="s">
        <v>1377</v>
      </c>
      <c r="AF423" t="s">
        <v>1378</v>
      </c>
      <c r="AG423" t="s">
        <v>1379</v>
      </c>
      <c r="AH423" t="s">
        <v>443</v>
      </c>
      <c r="AI423" t="s">
        <v>1380</v>
      </c>
    </row>
    <row r="424" spans="1:37" customFormat="1">
      <c r="A424" t="s">
        <v>370</v>
      </c>
      <c r="B424" t="s">
        <v>970</v>
      </c>
      <c r="C424">
        <v>5</v>
      </c>
      <c r="D424" t="s">
        <v>847</v>
      </c>
      <c r="E424" t="s">
        <v>911</v>
      </c>
      <c r="Q424">
        <v>7</v>
      </c>
      <c r="R424" t="s">
        <v>888</v>
      </c>
      <c r="S424" t="s">
        <v>854</v>
      </c>
      <c r="AD424" t="s">
        <v>1382</v>
      </c>
      <c r="AE424" t="s">
        <v>1383</v>
      </c>
      <c r="AF424" t="s">
        <v>1384</v>
      </c>
      <c r="AG424" t="s">
        <v>1385</v>
      </c>
      <c r="AH424" t="s">
        <v>1385</v>
      </c>
      <c r="AI424" t="s">
        <v>1385</v>
      </c>
      <c r="AJ424" t="s">
        <v>1386</v>
      </c>
      <c r="AK424" t="s">
        <v>1374</v>
      </c>
    </row>
    <row r="425" spans="1:37" customFormat="1">
      <c r="A425" t="s">
        <v>370</v>
      </c>
      <c r="B425" t="s">
        <v>971</v>
      </c>
      <c r="C425">
        <v>5</v>
      </c>
      <c r="D425" t="s">
        <v>847</v>
      </c>
      <c r="E425" t="s">
        <v>972</v>
      </c>
      <c r="Q425">
        <v>7</v>
      </c>
      <c r="R425" t="s">
        <v>888</v>
      </c>
      <c r="S425" t="s">
        <v>1603</v>
      </c>
      <c r="AD425" t="s">
        <v>1388</v>
      </c>
      <c r="AE425" t="s">
        <v>1389</v>
      </c>
      <c r="AF425" t="s">
        <v>1390</v>
      </c>
      <c r="AG425" t="s">
        <v>160</v>
      </c>
      <c r="AH425">
        <v>16.100000000000001</v>
      </c>
      <c r="AI425" t="s">
        <v>1391</v>
      </c>
    </row>
    <row r="426" spans="1:37" customFormat="1">
      <c r="A426" t="s">
        <v>370</v>
      </c>
      <c r="B426" t="s">
        <v>973</v>
      </c>
      <c r="C426">
        <v>5</v>
      </c>
      <c r="D426" t="s">
        <v>847</v>
      </c>
      <c r="E426" t="s">
        <v>974</v>
      </c>
      <c r="Q426">
        <v>7</v>
      </c>
      <c r="R426" t="s">
        <v>847</v>
      </c>
      <c r="S426" t="s">
        <v>981</v>
      </c>
    </row>
    <row r="427" spans="1:37" customFormat="1">
      <c r="A427" t="s">
        <v>370</v>
      </c>
      <c r="B427" t="s">
        <v>975</v>
      </c>
      <c r="C427">
        <v>6</v>
      </c>
      <c r="D427" t="s">
        <v>847</v>
      </c>
      <c r="E427" t="s">
        <v>976</v>
      </c>
      <c r="Q427">
        <v>7</v>
      </c>
      <c r="R427" t="s">
        <v>888</v>
      </c>
      <c r="S427" t="s">
        <v>1031</v>
      </c>
      <c r="AD427" t="s">
        <v>1373</v>
      </c>
      <c r="AE427" t="s">
        <v>495</v>
      </c>
      <c r="AF427" t="s">
        <v>1374</v>
      </c>
    </row>
    <row r="428" spans="1:37" customFormat="1">
      <c r="A428" t="s">
        <v>370</v>
      </c>
      <c r="B428" t="s">
        <v>977</v>
      </c>
      <c r="C428">
        <v>6</v>
      </c>
      <c r="D428" t="s">
        <v>847</v>
      </c>
      <c r="E428" t="s">
        <v>852</v>
      </c>
      <c r="Q428">
        <v>7</v>
      </c>
      <c r="R428" t="s">
        <v>888</v>
      </c>
      <c r="S428" t="s">
        <v>1604</v>
      </c>
      <c r="AD428" t="s">
        <v>1376</v>
      </c>
      <c r="AE428" t="s">
        <v>1377</v>
      </c>
      <c r="AF428" t="s">
        <v>1378</v>
      </c>
      <c r="AG428" t="s">
        <v>1379</v>
      </c>
      <c r="AH428" t="s">
        <v>443</v>
      </c>
      <c r="AI428" t="s">
        <v>1380</v>
      </c>
    </row>
    <row r="429" spans="1:37" customFormat="1">
      <c r="A429" t="s">
        <v>370</v>
      </c>
      <c r="B429" t="s">
        <v>978</v>
      </c>
      <c r="C429">
        <v>6</v>
      </c>
      <c r="D429" t="s">
        <v>847</v>
      </c>
      <c r="E429" t="s">
        <v>979</v>
      </c>
      <c r="Q429">
        <v>7</v>
      </c>
      <c r="R429" t="s">
        <v>888</v>
      </c>
      <c r="S429" t="s">
        <v>1605</v>
      </c>
      <c r="AD429" t="s">
        <v>1382</v>
      </c>
      <c r="AE429" t="s">
        <v>1383</v>
      </c>
      <c r="AF429" t="s">
        <v>1384</v>
      </c>
      <c r="AG429" t="s">
        <v>1385</v>
      </c>
      <c r="AH429" t="s">
        <v>1385</v>
      </c>
      <c r="AI429" t="s">
        <v>1385</v>
      </c>
      <c r="AJ429" t="s">
        <v>1386</v>
      </c>
      <c r="AK429" t="s">
        <v>1374</v>
      </c>
    </row>
    <row r="430" spans="1:37" customFormat="1">
      <c r="A430" t="s">
        <v>370</v>
      </c>
      <c r="B430" t="s">
        <v>980</v>
      </c>
      <c r="C430">
        <v>6</v>
      </c>
      <c r="D430" t="s">
        <v>847</v>
      </c>
      <c r="E430" t="s">
        <v>981</v>
      </c>
      <c r="Q430">
        <v>7</v>
      </c>
      <c r="R430" t="s">
        <v>888</v>
      </c>
      <c r="S430" t="s">
        <v>1606</v>
      </c>
      <c r="AD430" t="s">
        <v>1388</v>
      </c>
      <c r="AE430" t="s">
        <v>1389</v>
      </c>
      <c r="AF430" t="s">
        <v>1390</v>
      </c>
      <c r="AG430" t="s">
        <v>160</v>
      </c>
      <c r="AH430">
        <v>16.100000000000001</v>
      </c>
      <c r="AI430" t="s">
        <v>1391</v>
      </c>
    </row>
    <row r="431" spans="1:37" customFormat="1">
      <c r="A431" t="s">
        <v>370</v>
      </c>
      <c r="B431" t="s">
        <v>982</v>
      </c>
      <c r="C431">
        <v>6</v>
      </c>
      <c r="D431" t="s">
        <v>847</v>
      </c>
      <c r="E431" t="s">
        <v>891</v>
      </c>
      <c r="Q431">
        <v>7</v>
      </c>
      <c r="R431" t="s">
        <v>888</v>
      </c>
      <c r="S431" t="s">
        <v>1588</v>
      </c>
    </row>
    <row r="432" spans="1:37" customFormat="1">
      <c r="A432" t="s">
        <v>370</v>
      </c>
      <c r="B432" t="s">
        <v>983</v>
      </c>
      <c r="C432">
        <v>6</v>
      </c>
      <c r="D432" t="s">
        <v>888</v>
      </c>
      <c r="E432" t="s">
        <v>984</v>
      </c>
      <c r="Q432">
        <v>7</v>
      </c>
      <c r="R432" t="s">
        <v>847</v>
      </c>
      <c r="S432" t="s">
        <v>1607</v>
      </c>
      <c r="AD432" t="s">
        <v>1373</v>
      </c>
      <c r="AE432" t="s">
        <v>495</v>
      </c>
      <c r="AF432" t="s">
        <v>1374</v>
      </c>
    </row>
    <row r="433" spans="1:37" customFormat="1">
      <c r="A433" t="s">
        <v>370</v>
      </c>
      <c r="B433" t="s">
        <v>985</v>
      </c>
      <c r="C433">
        <v>6</v>
      </c>
      <c r="D433" t="s">
        <v>847</v>
      </c>
      <c r="E433" t="s">
        <v>986</v>
      </c>
      <c r="Q433">
        <v>8</v>
      </c>
      <c r="R433" t="s">
        <v>888</v>
      </c>
      <c r="S433" t="s">
        <v>1063</v>
      </c>
      <c r="AD433" t="s">
        <v>1376</v>
      </c>
      <c r="AE433" t="s">
        <v>1377</v>
      </c>
      <c r="AF433" t="s">
        <v>1378</v>
      </c>
      <c r="AG433" t="s">
        <v>1379</v>
      </c>
      <c r="AH433" t="s">
        <v>443</v>
      </c>
      <c r="AI433" t="s">
        <v>1380</v>
      </c>
    </row>
    <row r="434" spans="1:37" customFormat="1">
      <c r="A434" t="s">
        <v>370</v>
      </c>
      <c r="B434" t="s">
        <v>987</v>
      </c>
      <c r="C434">
        <v>6</v>
      </c>
      <c r="D434" t="s">
        <v>847</v>
      </c>
      <c r="E434" t="s">
        <v>988</v>
      </c>
      <c r="Q434">
        <v>8</v>
      </c>
      <c r="R434" t="s">
        <v>847</v>
      </c>
      <c r="S434" t="s">
        <v>1571</v>
      </c>
      <c r="AD434" t="s">
        <v>1382</v>
      </c>
      <c r="AE434" t="s">
        <v>1383</v>
      </c>
      <c r="AF434" t="s">
        <v>1384</v>
      </c>
      <c r="AG434" t="s">
        <v>1385</v>
      </c>
      <c r="AH434" t="s">
        <v>1385</v>
      </c>
      <c r="AI434" t="s">
        <v>1385</v>
      </c>
      <c r="AJ434" t="s">
        <v>1386</v>
      </c>
      <c r="AK434" t="s">
        <v>1374</v>
      </c>
    </row>
    <row r="435" spans="1:37" customFormat="1">
      <c r="A435" t="s">
        <v>370</v>
      </c>
      <c r="B435" t="s">
        <v>989</v>
      </c>
      <c r="C435">
        <v>6</v>
      </c>
      <c r="D435" t="s">
        <v>847</v>
      </c>
      <c r="E435" t="s">
        <v>990</v>
      </c>
      <c r="Q435">
        <v>8</v>
      </c>
      <c r="R435" t="s">
        <v>888</v>
      </c>
      <c r="S435" t="s">
        <v>1608</v>
      </c>
      <c r="AD435" t="s">
        <v>1388</v>
      </c>
      <c r="AE435" t="s">
        <v>1389</v>
      </c>
      <c r="AF435" t="s">
        <v>1390</v>
      </c>
      <c r="AG435" t="s">
        <v>160</v>
      </c>
      <c r="AH435">
        <v>16.100000000000001</v>
      </c>
      <c r="AI435" t="s">
        <v>1391</v>
      </c>
    </row>
    <row r="436" spans="1:37" customFormat="1">
      <c r="A436" t="s">
        <v>370</v>
      </c>
      <c r="B436" t="s">
        <v>991</v>
      </c>
      <c r="C436">
        <v>6</v>
      </c>
      <c r="D436" t="s">
        <v>847</v>
      </c>
      <c r="E436" t="s">
        <v>992</v>
      </c>
      <c r="Q436">
        <v>8</v>
      </c>
      <c r="R436" t="s">
        <v>888</v>
      </c>
      <c r="S436" t="s">
        <v>1609</v>
      </c>
    </row>
    <row r="437" spans="1:37" customFormat="1">
      <c r="A437" t="s">
        <v>370</v>
      </c>
      <c r="B437" t="s">
        <v>993</v>
      </c>
      <c r="C437">
        <v>6</v>
      </c>
      <c r="D437" t="s">
        <v>847</v>
      </c>
      <c r="E437" t="s">
        <v>994</v>
      </c>
      <c r="Q437">
        <v>8</v>
      </c>
      <c r="R437" t="s">
        <v>888</v>
      </c>
      <c r="S437" t="s">
        <v>1610</v>
      </c>
      <c r="AD437" t="s">
        <v>1373</v>
      </c>
      <c r="AE437" t="s">
        <v>495</v>
      </c>
      <c r="AF437" t="s">
        <v>1374</v>
      </c>
    </row>
    <row r="438" spans="1:37" customFormat="1">
      <c r="A438" t="s">
        <v>370</v>
      </c>
      <c r="B438" t="s">
        <v>995</v>
      </c>
      <c r="C438">
        <v>6</v>
      </c>
      <c r="D438" t="s">
        <v>847</v>
      </c>
      <c r="E438" t="s">
        <v>882</v>
      </c>
      <c r="Q438">
        <v>8</v>
      </c>
      <c r="R438" t="s">
        <v>888</v>
      </c>
      <c r="S438" t="s">
        <v>865</v>
      </c>
      <c r="AD438" t="s">
        <v>1376</v>
      </c>
      <c r="AE438" t="s">
        <v>1377</v>
      </c>
      <c r="AF438" t="s">
        <v>1378</v>
      </c>
      <c r="AG438" t="s">
        <v>1379</v>
      </c>
      <c r="AH438" t="s">
        <v>443</v>
      </c>
      <c r="AI438" t="s">
        <v>1380</v>
      </c>
    </row>
    <row r="439" spans="1:37" customFormat="1">
      <c r="A439" t="s">
        <v>370</v>
      </c>
      <c r="B439" t="s">
        <v>996</v>
      </c>
      <c r="C439">
        <v>6</v>
      </c>
      <c r="D439" t="s">
        <v>888</v>
      </c>
      <c r="E439" t="s">
        <v>963</v>
      </c>
      <c r="Q439">
        <v>8</v>
      </c>
      <c r="R439" t="s">
        <v>888</v>
      </c>
      <c r="S439" t="s">
        <v>1599</v>
      </c>
      <c r="AD439" t="s">
        <v>1382</v>
      </c>
      <c r="AE439" t="s">
        <v>1383</v>
      </c>
      <c r="AF439" t="s">
        <v>1384</v>
      </c>
      <c r="AG439" t="s">
        <v>1385</v>
      </c>
      <c r="AH439" t="s">
        <v>1385</v>
      </c>
      <c r="AI439" t="s">
        <v>1385</v>
      </c>
      <c r="AJ439" t="s">
        <v>1386</v>
      </c>
      <c r="AK439" t="s">
        <v>1374</v>
      </c>
    </row>
    <row r="440" spans="1:37" customFormat="1">
      <c r="A440" t="s">
        <v>370</v>
      </c>
      <c r="B440" t="s">
        <v>997</v>
      </c>
      <c r="C440">
        <v>6</v>
      </c>
      <c r="D440" t="s">
        <v>847</v>
      </c>
      <c r="E440" t="s">
        <v>998</v>
      </c>
      <c r="Q440">
        <v>8</v>
      </c>
      <c r="R440" t="s">
        <v>888</v>
      </c>
      <c r="S440" t="s">
        <v>1611</v>
      </c>
      <c r="AD440" t="s">
        <v>1388</v>
      </c>
      <c r="AE440" t="s">
        <v>1389</v>
      </c>
      <c r="AF440" t="s">
        <v>1390</v>
      </c>
      <c r="AG440" t="s">
        <v>160</v>
      </c>
      <c r="AH440">
        <v>16.100000000000001</v>
      </c>
      <c r="AI440" t="s">
        <v>1391</v>
      </c>
    </row>
    <row r="441" spans="1:37" customFormat="1">
      <c r="A441" t="s">
        <v>370</v>
      </c>
      <c r="B441" t="s">
        <v>999</v>
      </c>
      <c r="C441">
        <v>7</v>
      </c>
      <c r="D441" t="s">
        <v>847</v>
      </c>
      <c r="E441" t="s">
        <v>1000</v>
      </c>
      <c r="Q441">
        <v>8</v>
      </c>
      <c r="R441" t="s">
        <v>847</v>
      </c>
      <c r="S441" t="s">
        <v>1018</v>
      </c>
    </row>
    <row r="442" spans="1:37" customFormat="1">
      <c r="A442" t="s">
        <v>370</v>
      </c>
      <c r="B442" t="s">
        <v>1001</v>
      </c>
      <c r="C442">
        <v>7</v>
      </c>
      <c r="D442" t="s">
        <v>847</v>
      </c>
      <c r="E442" t="s">
        <v>863</v>
      </c>
      <c r="Q442">
        <v>8</v>
      </c>
      <c r="R442" t="s">
        <v>888</v>
      </c>
      <c r="S442" t="s">
        <v>1008</v>
      </c>
      <c r="AD442" t="s">
        <v>1373</v>
      </c>
      <c r="AE442" t="s">
        <v>495</v>
      </c>
      <c r="AF442" t="s">
        <v>1374</v>
      </c>
    </row>
    <row r="443" spans="1:37" customFormat="1">
      <c r="A443" t="s">
        <v>370</v>
      </c>
      <c r="B443" t="s">
        <v>1002</v>
      </c>
      <c r="C443">
        <v>7</v>
      </c>
      <c r="D443" t="s">
        <v>888</v>
      </c>
      <c r="E443" t="s">
        <v>931</v>
      </c>
      <c r="Q443">
        <v>8</v>
      </c>
      <c r="R443" t="s">
        <v>888</v>
      </c>
      <c r="S443" t="s">
        <v>867</v>
      </c>
      <c r="AD443" t="s">
        <v>1376</v>
      </c>
      <c r="AE443" t="s">
        <v>1377</v>
      </c>
      <c r="AF443" t="s">
        <v>1378</v>
      </c>
      <c r="AG443" t="s">
        <v>1379</v>
      </c>
      <c r="AH443" t="s">
        <v>443</v>
      </c>
      <c r="AI443" t="s">
        <v>1380</v>
      </c>
    </row>
    <row r="444" spans="1:37" customFormat="1">
      <c r="A444" t="s">
        <v>370</v>
      </c>
      <c r="B444" t="s">
        <v>1003</v>
      </c>
      <c r="C444">
        <v>7</v>
      </c>
      <c r="D444" t="s">
        <v>847</v>
      </c>
      <c r="E444" t="s">
        <v>1004</v>
      </c>
      <c r="Q444">
        <v>8</v>
      </c>
      <c r="R444" t="s">
        <v>888</v>
      </c>
      <c r="S444" t="s">
        <v>907</v>
      </c>
      <c r="AD444" t="s">
        <v>1382</v>
      </c>
      <c r="AE444" t="s">
        <v>1383</v>
      </c>
      <c r="AF444" t="s">
        <v>1384</v>
      </c>
      <c r="AG444" t="s">
        <v>1385</v>
      </c>
      <c r="AH444" t="s">
        <v>1385</v>
      </c>
      <c r="AI444" t="s">
        <v>1385</v>
      </c>
      <c r="AJ444" t="s">
        <v>1386</v>
      </c>
      <c r="AK444" t="s">
        <v>1374</v>
      </c>
    </row>
    <row r="445" spans="1:37" customFormat="1">
      <c r="A445" t="s">
        <v>370</v>
      </c>
      <c r="B445" t="s">
        <v>1005</v>
      </c>
      <c r="C445">
        <v>7</v>
      </c>
      <c r="D445" t="s">
        <v>847</v>
      </c>
      <c r="E445" t="s">
        <v>1006</v>
      </c>
      <c r="Q445">
        <v>8</v>
      </c>
      <c r="R445" t="s">
        <v>847</v>
      </c>
      <c r="S445" t="s">
        <v>956</v>
      </c>
      <c r="AD445" t="s">
        <v>1388</v>
      </c>
      <c r="AE445" t="s">
        <v>1389</v>
      </c>
      <c r="AF445" t="s">
        <v>1390</v>
      </c>
      <c r="AG445" t="s">
        <v>160</v>
      </c>
      <c r="AH445">
        <v>16</v>
      </c>
      <c r="AI445" t="s">
        <v>1391</v>
      </c>
    </row>
    <row r="446" spans="1:37" customFormat="1">
      <c r="A446" t="s">
        <v>370</v>
      </c>
      <c r="B446" t="s">
        <v>1007</v>
      </c>
      <c r="C446">
        <v>7</v>
      </c>
      <c r="D446" t="s">
        <v>847</v>
      </c>
      <c r="E446" t="s">
        <v>1008</v>
      </c>
      <c r="Q446">
        <v>8</v>
      </c>
      <c r="R446" t="s">
        <v>888</v>
      </c>
      <c r="S446" t="s">
        <v>1612</v>
      </c>
    </row>
    <row r="447" spans="1:37" customFormat="1">
      <c r="A447" t="s">
        <v>370</v>
      </c>
      <c r="B447" t="s">
        <v>1009</v>
      </c>
      <c r="C447">
        <v>7</v>
      </c>
      <c r="D447" t="s">
        <v>847</v>
      </c>
      <c r="E447" t="s">
        <v>1010</v>
      </c>
      <c r="Q447">
        <v>9</v>
      </c>
      <c r="R447" t="s">
        <v>888</v>
      </c>
      <c r="S447" t="s">
        <v>869</v>
      </c>
      <c r="AD447" t="s">
        <v>1373</v>
      </c>
      <c r="AE447" t="s">
        <v>495</v>
      </c>
      <c r="AF447" t="s">
        <v>1374</v>
      </c>
    </row>
    <row r="448" spans="1:37" customFormat="1">
      <c r="A448" t="s">
        <v>370</v>
      </c>
      <c r="B448" t="s">
        <v>1011</v>
      </c>
      <c r="C448">
        <v>7</v>
      </c>
      <c r="D448" t="s">
        <v>847</v>
      </c>
      <c r="E448" t="s">
        <v>1008</v>
      </c>
      <c r="Q448">
        <v>9</v>
      </c>
      <c r="R448" t="s">
        <v>888</v>
      </c>
      <c r="S448" t="s">
        <v>947</v>
      </c>
      <c r="AD448" t="s">
        <v>1376</v>
      </c>
      <c r="AE448" t="s">
        <v>1377</v>
      </c>
      <c r="AF448" t="s">
        <v>1378</v>
      </c>
      <c r="AG448" t="s">
        <v>1379</v>
      </c>
      <c r="AH448" t="s">
        <v>443</v>
      </c>
      <c r="AI448" t="s">
        <v>1380</v>
      </c>
    </row>
    <row r="449" spans="1:37" customFormat="1">
      <c r="A449" t="s">
        <v>370</v>
      </c>
      <c r="B449" t="s">
        <v>1012</v>
      </c>
      <c r="C449">
        <v>7</v>
      </c>
      <c r="D449" t="s">
        <v>847</v>
      </c>
      <c r="E449" t="s">
        <v>1013</v>
      </c>
      <c r="Q449">
        <v>9</v>
      </c>
      <c r="R449" t="s">
        <v>888</v>
      </c>
      <c r="S449" t="s">
        <v>1026</v>
      </c>
      <c r="AD449" t="s">
        <v>1382</v>
      </c>
      <c r="AE449" t="s">
        <v>1383</v>
      </c>
      <c r="AF449" t="s">
        <v>1384</v>
      </c>
      <c r="AG449" t="s">
        <v>1385</v>
      </c>
      <c r="AH449" t="s">
        <v>1385</v>
      </c>
      <c r="AI449" t="s">
        <v>1385</v>
      </c>
      <c r="AJ449" t="s">
        <v>1386</v>
      </c>
      <c r="AK449" t="s">
        <v>1374</v>
      </c>
    </row>
    <row r="450" spans="1:37" customFormat="1">
      <c r="A450" t="s">
        <v>370</v>
      </c>
      <c r="B450" t="s">
        <v>1014</v>
      </c>
      <c r="C450">
        <v>7</v>
      </c>
      <c r="D450" t="s">
        <v>847</v>
      </c>
      <c r="E450" t="s">
        <v>1015</v>
      </c>
      <c r="Q450">
        <v>9</v>
      </c>
      <c r="R450" t="s">
        <v>888</v>
      </c>
      <c r="S450" t="s">
        <v>1028</v>
      </c>
      <c r="AD450" t="s">
        <v>1388</v>
      </c>
      <c r="AE450" t="s">
        <v>1389</v>
      </c>
      <c r="AF450" t="s">
        <v>1390</v>
      </c>
      <c r="AG450" t="s">
        <v>160</v>
      </c>
      <c r="AH450">
        <v>16</v>
      </c>
      <c r="AI450" t="s">
        <v>1391</v>
      </c>
    </row>
    <row r="451" spans="1:37" customFormat="1">
      <c r="A451" t="s">
        <v>370</v>
      </c>
      <c r="B451" t="s">
        <v>1016</v>
      </c>
      <c r="C451">
        <v>7</v>
      </c>
      <c r="D451" t="s">
        <v>847</v>
      </c>
      <c r="E451" t="s">
        <v>911</v>
      </c>
      <c r="Q451">
        <v>9</v>
      </c>
      <c r="R451" t="s">
        <v>888</v>
      </c>
      <c r="S451" t="s">
        <v>1072</v>
      </c>
    </row>
    <row r="452" spans="1:37" customFormat="1">
      <c r="A452" t="s">
        <v>370</v>
      </c>
      <c r="B452" t="s">
        <v>1017</v>
      </c>
      <c r="C452">
        <v>7</v>
      </c>
      <c r="D452" t="s">
        <v>888</v>
      </c>
      <c r="E452" t="s">
        <v>1018</v>
      </c>
      <c r="Q452">
        <v>9</v>
      </c>
      <c r="R452" t="s">
        <v>888</v>
      </c>
      <c r="S452" t="s">
        <v>1325</v>
      </c>
      <c r="AD452" t="s">
        <v>1373</v>
      </c>
      <c r="AE452" t="s">
        <v>495</v>
      </c>
      <c r="AF452" t="s">
        <v>1374</v>
      </c>
    </row>
    <row r="453" spans="1:37" customFormat="1">
      <c r="A453" t="s">
        <v>370</v>
      </c>
      <c r="B453" t="s">
        <v>1019</v>
      </c>
      <c r="C453">
        <v>7</v>
      </c>
      <c r="D453" t="s">
        <v>847</v>
      </c>
      <c r="E453" t="s">
        <v>1020</v>
      </c>
      <c r="Q453">
        <v>9</v>
      </c>
      <c r="R453" t="s">
        <v>888</v>
      </c>
      <c r="S453" t="s">
        <v>1066</v>
      </c>
      <c r="AD453" t="s">
        <v>1376</v>
      </c>
      <c r="AE453" t="s">
        <v>1377</v>
      </c>
      <c r="AF453" t="s">
        <v>1378</v>
      </c>
      <c r="AG453" t="s">
        <v>1379</v>
      </c>
      <c r="AH453" t="s">
        <v>443</v>
      </c>
      <c r="AI453" t="s">
        <v>1380</v>
      </c>
    </row>
    <row r="454" spans="1:37" customFormat="1">
      <c r="A454" t="s">
        <v>370</v>
      </c>
      <c r="B454" t="s">
        <v>1021</v>
      </c>
      <c r="C454">
        <v>7</v>
      </c>
      <c r="D454" t="s">
        <v>847</v>
      </c>
      <c r="E454" t="s">
        <v>1022</v>
      </c>
      <c r="Q454">
        <v>9</v>
      </c>
      <c r="R454" t="s">
        <v>888</v>
      </c>
      <c r="S454" t="s">
        <v>1293</v>
      </c>
      <c r="AD454" t="s">
        <v>1382</v>
      </c>
      <c r="AE454" t="s">
        <v>1383</v>
      </c>
      <c r="AF454" t="s">
        <v>1384</v>
      </c>
      <c r="AG454" t="s">
        <v>1385</v>
      </c>
      <c r="AH454" t="s">
        <v>1385</v>
      </c>
      <c r="AI454" t="s">
        <v>1385</v>
      </c>
      <c r="AJ454" t="s">
        <v>1386</v>
      </c>
      <c r="AK454" t="s">
        <v>1374</v>
      </c>
    </row>
    <row r="455" spans="1:37" customFormat="1">
      <c r="A455" t="s">
        <v>370</v>
      </c>
      <c r="B455" t="s">
        <v>1023</v>
      </c>
      <c r="C455">
        <v>8</v>
      </c>
      <c r="D455" t="s">
        <v>847</v>
      </c>
      <c r="E455" t="s">
        <v>1024</v>
      </c>
      <c r="Q455">
        <v>9</v>
      </c>
      <c r="R455" t="s">
        <v>888</v>
      </c>
      <c r="S455" t="s">
        <v>1613</v>
      </c>
      <c r="AD455" t="s">
        <v>1388</v>
      </c>
      <c r="AE455" t="s">
        <v>1389</v>
      </c>
      <c r="AF455" t="s">
        <v>1390</v>
      </c>
      <c r="AG455" t="s">
        <v>160</v>
      </c>
      <c r="AH455">
        <v>15.9</v>
      </c>
      <c r="AI455" t="s">
        <v>1391</v>
      </c>
    </row>
    <row r="456" spans="1:37" customFormat="1">
      <c r="A456" t="s">
        <v>370</v>
      </c>
      <c r="B456" t="s">
        <v>1025</v>
      </c>
      <c r="C456">
        <v>8</v>
      </c>
      <c r="D456" t="s">
        <v>847</v>
      </c>
      <c r="E456" t="s">
        <v>1026</v>
      </c>
      <c r="Q456">
        <v>9</v>
      </c>
      <c r="R456" t="s">
        <v>888</v>
      </c>
      <c r="S456" t="s">
        <v>1251</v>
      </c>
    </row>
    <row r="457" spans="1:37" customFormat="1">
      <c r="A457" t="s">
        <v>370</v>
      </c>
      <c r="B457" t="s">
        <v>1027</v>
      </c>
      <c r="C457">
        <v>8</v>
      </c>
      <c r="D457" t="s">
        <v>888</v>
      </c>
      <c r="E457" t="s">
        <v>1028</v>
      </c>
      <c r="Q457">
        <v>9</v>
      </c>
      <c r="R457" t="s">
        <v>888</v>
      </c>
      <c r="S457" t="s">
        <v>1290</v>
      </c>
      <c r="AD457" t="s">
        <v>1373</v>
      </c>
      <c r="AE457" t="s">
        <v>495</v>
      </c>
      <c r="AF457" t="s">
        <v>1374</v>
      </c>
    </row>
    <row r="458" spans="1:37" customFormat="1">
      <c r="A458" t="s">
        <v>370</v>
      </c>
      <c r="B458" t="s">
        <v>1029</v>
      </c>
      <c r="C458">
        <v>8</v>
      </c>
      <c r="D458" t="s">
        <v>847</v>
      </c>
      <c r="E458" t="s">
        <v>897</v>
      </c>
      <c r="Q458">
        <v>9</v>
      </c>
      <c r="R458" t="s">
        <v>888</v>
      </c>
      <c r="S458" t="s">
        <v>1268</v>
      </c>
      <c r="AD458" t="s">
        <v>1376</v>
      </c>
      <c r="AE458" t="s">
        <v>1377</v>
      </c>
      <c r="AF458" t="s">
        <v>1378</v>
      </c>
      <c r="AG458" t="s">
        <v>1379</v>
      </c>
      <c r="AH458" t="s">
        <v>443</v>
      </c>
      <c r="AI458" t="s">
        <v>1380</v>
      </c>
    </row>
    <row r="459" spans="1:37" customFormat="1">
      <c r="A459" t="s">
        <v>370</v>
      </c>
      <c r="B459" t="s">
        <v>1030</v>
      </c>
      <c r="C459">
        <v>8</v>
      </c>
      <c r="D459" t="s">
        <v>847</v>
      </c>
      <c r="E459" t="s">
        <v>1031</v>
      </c>
      <c r="Q459">
        <v>9</v>
      </c>
      <c r="R459" t="s">
        <v>888</v>
      </c>
      <c r="S459" t="s">
        <v>1614</v>
      </c>
      <c r="AD459" t="s">
        <v>1382</v>
      </c>
      <c r="AE459" t="s">
        <v>1383</v>
      </c>
      <c r="AF459" t="s">
        <v>1384</v>
      </c>
      <c r="AG459" t="s">
        <v>1385</v>
      </c>
      <c r="AH459" t="s">
        <v>1385</v>
      </c>
      <c r="AI459" t="s">
        <v>1385</v>
      </c>
      <c r="AJ459" t="s">
        <v>1386</v>
      </c>
      <c r="AK459" t="s">
        <v>1374</v>
      </c>
    </row>
    <row r="460" spans="1:37" customFormat="1">
      <c r="A460" t="s">
        <v>370</v>
      </c>
      <c r="B460" t="s">
        <v>1032</v>
      </c>
      <c r="C460">
        <v>8</v>
      </c>
      <c r="D460" t="s">
        <v>847</v>
      </c>
      <c r="E460" t="s">
        <v>1033</v>
      </c>
      <c r="Q460">
        <v>9</v>
      </c>
      <c r="R460" t="s">
        <v>888</v>
      </c>
      <c r="S460" t="s">
        <v>1615</v>
      </c>
      <c r="AD460" t="s">
        <v>1388</v>
      </c>
      <c r="AE460" t="s">
        <v>1389</v>
      </c>
      <c r="AF460" t="s">
        <v>1390</v>
      </c>
      <c r="AG460" t="s">
        <v>160</v>
      </c>
      <c r="AH460">
        <v>15.9</v>
      </c>
      <c r="AI460" t="s">
        <v>1391</v>
      </c>
    </row>
    <row r="461" spans="1:37" customFormat="1">
      <c r="A461" t="s">
        <v>370</v>
      </c>
      <c r="B461" t="s">
        <v>1034</v>
      </c>
      <c r="C461">
        <v>8</v>
      </c>
      <c r="D461" t="s">
        <v>847</v>
      </c>
      <c r="E461" t="s">
        <v>974</v>
      </c>
      <c r="Q461">
        <v>10</v>
      </c>
      <c r="R461" t="s">
        <v>888</v>
      </c>
      <c r="S461" t="s">
        <v>1616</v>
      </c>
    </row>
    <row r="462" spans="1:37" customFormat="1">
      <c r="A462" t="s">
        <v>370</v>
      </c>
      <c r="B462" t="s">
        <v>1035</v>
      </c>
      <c r="C462">
        <v>8</v>
      </c>
      <c r="D462" t="s">
        <v>847</v>
      </c>
      <c r="E462" t="s">
        <v>939</v>
      </c>
      <c r="Q462">
        <v>10</v>
      </c>
      <c r="R462" t="s">
        <v>888</v>
      </c>
      <c r="S462" t="s">
        <v>1617</v>
      </c>
      <c r="AD462" t="s">
        <v>1373</v>
      </c>
      <c r="AE462" t="s">
        <v>495</v>
      </c>
      <c r="AF462" t="s">
        <v>1374</v>
      </c>
    </row>
    <row r="463" spans="1:37" customFormat="1">
      <c r="A463" t="s">
        <v>370</v>
      </c>
      <c r="B463" t="s">
        <v>1036</v>
      </c>
      <c r="C463">
        <v>8</v>
      </c>
      <c r="D463" t="s">
        <v>847</v>
      </c>
      <c r="E463" t="s">
        <v>1037</v>
      </c>
      <c r="Q463">
        <v>10</v>
      </c>
      <c r="R463" t="s">
        <v>888</v>
      </c>
      <c r="S463" t="s">
        <v>1618</v>
      </c>
      <c r="AD463" t="s">
        <v>1376</v>
      </c>
      <c r="AE463" t="s">
        <v>1377</v>
      </c>
      <c r="AF463" t="s">
        <v>1378</v>
      </c>
      <c r="AG463" t="s">
        <v>1379</v>
      </c>
      <c r="AH463" t="s">
        <v>443</v>
      </c>
      <c r="AI463" t="s">
        <v>1380</v>
      </c>
    </row>
    <row r="464" spans="1:37" customFormat="1">
      <c r="A464" t="s">
        <v>370</v>
      </c>
      <c r="B464" t="s">
        <v>1038</v>
      </c>
      <c r="C464">
        <v>8</v>
      </c>
      <c r="D464" t="s">
        <v>847</v>
      </c>
      <c r="E464" t="s">
        <v>854</v>
      </c>
      <c r="Q464">
        <v>10</v>
      </c>
      <c r="R464" t="s">
        <v>888</v>
      </c>
      <c r="S464" t="s">
        <v>1614</v>
      </c>
      <c r="AD464" t="s">
        <v>1382</v>
      </c>
      <c r="AE464" t="s">
        <v>1383</v>
      </c>
      <c r="AF464" t="s">
        <v>1384</v>
      </c>
      <c r="AG464" t="s">
        <v>1385</v>
      </c>
      <c r="AH464" t="s">
        <v>1385</v>
      </c>
      <c r="AI464" t="s">
        <v>1385</v>
      </c>
      <c r="AJ464" t="s">
        <v>1386</v>
      </c>
      <c r="AK464" t="s">
        <v>1374</v>
      </c>
    </row>
    <row r="465" spans="1:37" customFormat="1">
      <c r="A465" t="s">
        <v>370</v>
      </c>
      <c r="B465" t="s">
        <v>1039</v>
      </c>
      <c r="C465">
        <v>8</v>
      </c>
      <c r="D465" t="s">
        <v>847</v>
      </c>
      <c r="E465" t="s">
        <v>1040</v>
      </c>
      <c r="Q465">
        <v>10</v>
      </c>
      <c r="R465" t="s">
        <v>888</v>
      </c>
      <c r="S465" t="s">
        <v>1070</v>
      </c>
      <c r="AD465" t="s">
        <v>1388</v>
      </c>
      <c r="AE465" t="s">
        <v>1389</v>
      </c>
      <c r="AF465" t="s">
        <v>1390</v>
      </c>
      <c r="AG465" t="s">
        <v>160</v>
      </c>
      <c r="AH465">
        <v>15.9</v>
      </c>
      <c r="AI465" t="s">
        <v>1391</v>
      </c>
    </row>
    <row r="466" spans="1:37" customFormat="1">
      <c r="A466" t="s">
        <v>370</v>
      </c>
      <c r="B466" t="s">
        <v>1041</v>
      </c>
      <c r="C466">
        <v>8</v>
      </c>
      <c r="D466" t="s">
        <v>847</v>
      </c>
      <c r="E466" t="s">
        <v>939</v>
      </c>
      <c r="Q466">
        <v>10</v>
      </c>
      <c r="R466" t="s">
        <v>888</v>
      </c>
      <c r="S466" t="s">
        <v>1619</v>
      </c>
    </row>
    <row r="467" spans="1:37" customFormat="1">
      <c r="A467" t="s">
        <v>370</v>
      </c>
      <c r="B467" t="s">
        <v>1042</v>
      </c>
      <c r="C467">
        <v>8</v>
      </c>
      <c r="D467" t="s">
        <v>847</v>
      </c>
      <c r="E467" t="s">
        <v>931</v>
      </c>
      <c r="Q467">
        <v>10</v>
      </c>
      <c r="R467" t="s">
        <v>888</v>
      </c>
      <c r="S467" t="s">
        <v>1075</v>
      </c>
      <c r="AD467" t="s">
        <v>1373</v>
      </c>
      <c r="AE467" t="s">
        <v>495</v>
      </c>
      <c r="AF467" t="s">
        <v>1374</v>
      </c>
    </row>
    <row r="468" spans="1:37" customFormat="1">
      <c r="A468" t="s">
        <v>370</v>
      </c>
      <c r="B468" t="s">
        <v>1043</v>
      </c>
      <c r="C468">
        <v>8</v>
      </c>
      <c r="D468" t="s">
        <v>847</v>
      </c>
      <c r="E468" t="s">
        <v>850</v>
      </c>
      <c r="Q468">
        <v>10</v>
      </c>
      <c r="R468" t="s">
        <v>888</v>
      </c>
      <c r="S468" t="s">
        <v>1576</v>
      </c>
      <c r="AD468" t="s">
        <v>1376</v>
      </c>
      <c r="AE468" t="s">
        <v>1377</v>
      </c>
      <c r="AF468" t="s">
        <v>1378</v>
      </c>
      <c r="AG468" t="s">
        <v>1379</v>
      </c>
      <c r="AH468" t="s">
        <v>443</v>
      </c>
      <c r="AI468" t="s">
        <v>1380</v>
      </c>
    </row>
    <row r="469" spans="1:37" customFormat="1">
      <c r="A469" t="s">
        <v>370</v>
      </c>
      <c r="B469" t="s">
        <v>1044</v>
      </c>
      <c r="C469">
        <v>9</v>
      </c>
      <c r="D469" t="s">
        <v>847</v>
      </c>
      <c r="E469" t="s">
        <v>907</v>
      </c>
      <c r="Q469">
        <v>10</v>
      </c>
      <c r="R469" t="s">
        <v>888</v>
      </c>
      <c r="S469" t="s">
        <v>1619</v>
      </c>
      <c r="AD469" t="s">
        <v>1382</v>
      </c>
      <c r="AE469" t="s">
        <v>1383</v>
      </c>
      <c r="AF469" t="s">
        <v>1384</v>
      </c>
      <c r="AG469" t="s">
        <v>1385</v>
      </c>
      <c r="AH469" t="s">
        <v>1385</v>
      </c>
      <c r="AI469" t="s">
        <v>1385</v>
      </c>
      <c r="AJ469" t="s">
        <v>1386</v>
      </c>
      <c r="AK469" t="s">
        <v>1374</v>
      </c>
    </row>
    <row r="470" spans="1:37" customFormat="1">
      <c r="A470" t="s">
        <v>370</v>
      </c>
      <c r="B470" t="s">
        <v>1045</v>
      </c>
      <c r="C470">
        <v>9</v>
      </c>
      <c r="D470" t="s">
        <v>847</v>
      </c>
      <c r="E470" t="s">
        <v>1046</v>
      </c>
      <c r="Q470">
        <v>10</v>
      </c>
      <c r="R470" t="s">
        <v>888</v>
      </c>
      <c r="S470" t="s">
        <v>1620</v>
      </c>
      <c r="AD470" t="s">
        <v>1388</v>
      </c>
      <c r="AE470" t="s">
        <v>1389</v>
      </c>
      <c r="AF470" t="s">
        <v>1390</v>
      </c>
      <c r="AG470" t="s">
        <v>160</v>
      </c>
      <c r="AH470">
        <v>15.9</v>
      </c>
      <c r="AI470" t="s">
        <v>1391</v>
      </c>
    </row>
    <row r="471" spans="1:37" customFormat="1">
      <c r="A471" t="s">
        <v>370</v>
      </c>
      <c r="B471" t="s">
        <v>1047</v>
      </c>
      <c r="C471">
        <v>9</v>
      </c>
      <c r="D471" t="s">
        <v>847</v>
      </c>
      <c r="E471" t="s">
        <v>976</v>
      </c>
      <c r="Q471">
        <v>10</v>
      </c>
      <c r="R471" t="s">
        <v>888</v>
      </c>
      <c r="S471" t="s">
        <v>1621</v>
      </c>
    </row>
    <row r="472" spans="1:37" customFormat="1">
      <c r="A472" t="s">
        <v>370</v>
      </c>
      <c r="B472" t="s">
        <v>1048</v>
      </c>
      <c r="C472">
        <v>9</v>
      </c>
      <c r="D472" t="s">
        <v>847</v>
      </c>
      <c r="E472" t="s">
        <v>1049</v>
      </c>
      <c r="Q472">
        <v>10</v>
      </c>
      <c r="R472" t="s">
        <v>847</v>
      </c>
      <c r="S472" t="s">
        <v>1571</v>
      </c>
      <c r="AD472" t="s">
        <v>1373</v>
      </c>
      <c r="AE472" t="s">
        <v>495</v>
      </c>
      <c r="AF472" t="s">
        <v>1374</v>
      </c>
    </row>
    <row r="473" spans="1:37" customFormat="1">
      <c r="A473" t="s">
        <v>370</v>
      </c>
      <c r="B473" t="s">
        <v>1050</v>
      </c>
      <c r="C473">
        <v>9</v>
      </c>
      <c r="D473" t="s">
        <v>847</v>
      </c>
      <c r="E473" t="s">
        <v>1051</v>
      </c>
      <c r="Q473">
        <v>10</v>
      </c>
      <c r="R473" t="s">
        <v>888</v>
      </c>
      <c r="S473" t="s">
        <v>1024</v>
      </c>
      <c r="AD473" t="s">
        <v>1376</v>
      </c>
      <c r="AE473" t="s">
        <v>1377</v>
      </c>
      <c r="AF473" t="s">
        <v>1378</v>
      </c>
      <c r="AG473" t="s">
        <v>1379</v>
      </c>
      <c r="AH473" t="s">
        <v>443</v>
      </c>
      <c r="AI473" t="s">
        <v>1380</v>
      </c>
    </row>
    <row r="474" spans="1:37" customFormat="1">
      <c r="A474" t="s">
        <v>370</v>
      </c>
      <c r="B474" t="s">
        <v>1052</v>
      </c>
      <c r="C474">
        <v>9</v>
      </c>
      <c r="D474" t="s">
        <v>888</v>
      </c>
      <c r="E474" t="s">
        <v>1053</v>
      </c>
      <c r="Q474">
        <v>10</v>
      </c>
      <c r="R474" t="s">
        <v>847</v>
      </c>
      <c r="S474" t="s">
        <v>1083</v>
      </c>
      <c r="AD474" t="s">
        <v>1382</v>
      </c>
      <c r="AE474" t="s">
        <v>1383</v>
      </c>
      <c r="AF474" t="s">
        <v>1384</v>
      </c>
      <c r="AG474" t="s">
        <v>1385</v>
      </c>
      <c r="AH474" t="s">
        <v>1385</v>
      </c>
      <c r="AI474" t="s">
        <v>1385</v>
      </c>
      <c r="AJ474" t="s">
        <v>1386</v>
      </c>
      <c r="AK474" t="s">
        <v>1374</v>
      </c>
    </row>
    <row r="475" spans="1:37" customFormat="1">
      <c r="A475" t="s">
        <v>370</v>
      </c>
      <c r="B475" t="s">
        <v>1054</v>
      </c>
      <c r="C475">
        <v>9</v>
      </c>
      <c r="D475" t="s">
        <v>847</v>
      </c>
      <c r="E475" t="s">
        <v>852</v>
      </c>
      <c r="Q475">
        <v>11</v>
      </c>
      <c r="R475" t="s">
        <v>847</v>
      </c>
      <c r="S475" t="s">
        <v>1575</v>
      </c>
      <c r="AD475" t="s">
        <v>1388</v>
      </c>
      <c r="AE475" t="s">
        <v>1389</v>
      </c>
      <c r="AF475" t="s">
        <v>1390</v>
      </c>
      <c r="AG475" t="s">
        <v>160</v>
      </c>
      <c r="AH475">
        <v>15.9</v>
      </c>
      <c r="AI475" t="s">
        <v>1391</v>
      </c>
    </row>
    <row r="476" spans="1:37" customFormat="1">
      <c r="A476" t="s">
        <v>370</v>
      </c>
      <c r="B476" t="s">
        <v>1055</v>
      </c>
      <c r="C476">
        <v>9</v>
      </c>
      <c r="D476" t="s">
        <v>847</v>
      </c>
      <c r="E476" t="s">
        <v>1056</v>
      </c>
      <c r="Q476">
        <v>11</v>
      </c>
      <c r="R476" t="s">
        <v>847</v>
      </c>
      <c r="S476" t="s">
        <v>1575</v>
      </c>
    </row>
    <row r="477" spans="1:37" customFormat="1">
      <c r="A477" t="s">
        <v>370</v>
      </c>
      <c r="B477" t="s">
        <v>1057</v>
      </c>
      <c r="C477">
        <v>9</v>
      </c>
      <c r="D477" t="s">
        <v>847</v>
      </c>
      <c r="E477" t="s">
        <v>1058</v>
      </c>
      <c r="Q477">
        <v>11</v>
      </c>
      <c r="R477" t="s">
        <v>847</v>
      </c>
      <c r="S477" t="s">
        <v>1622</v>
      </c>
      <c r="AD477" t="s">
        <v>1373</v>
      </c>
      <c r="AE477" t="s">
        <v>495</v>
      </c>
      <c r="AF477" t="s">
        <v>1374</v>
      </c>
    </row>
    <row r="478" spans="1:37" customFormat="1">
      <c r="A478" t="s">
        <v>370</v>
      </c>
      <c r="B478" t="s">
        <v>1059</v>
      </c>
      <c r="C478">
        <v>9</v>
      </c>
      <c r="D478" t="s">
        <v>847</v>
      </c>
      <c r="E478" t="s">
        <v>984</v>
      </c>
      <c r="Q478">
        <v>11</v>
      </c>
      <c r="R478" t="s">
        <v>888</v>
      </c>
      <c r="S478" t="s">
        <v>877</v>
      </c>
      <c r="AD478" t="s">
        <v>1376</v>
      </c>
      <c r="AE478" t="s">
        <v>1377</v>
      </c>
      <c r="AF478" t="s">
        <v>1378</v>
      </c>
      <c r="AG478" t="s">
        <v>1379</v>
      </c>
      <c r="AH478" t="s">
        <v>443</v>
      </c>
      <c r="AI478" t="s">
        <v>1380</v>
      </c>
    </row>
    <row r="479" spans="1:37" customFormat="1">
      <c r="A479" t="s">
        <v>370</v>
      </c>
      <c r="B479" t="s">
        <v>1060</v>
      </c>
      <c r="C479">
        <v>9</v>
      </c>
      <c r="D479" t="s">
        <v>888</v>
      </c>
      <c r="E479" t="s">
        <v>958</v>
      </c>
      <c r="Q479">
        <v>11</v>
      </c>
      <c r="R479" t="s">
        <v>888</v>
      </c>
      <c r="S479" t="s">
        <v>1582</v>
      </c>
      <c r="AD479" t="s">
        <v>1382</v>
      </c>
      <c r="AE479" t="s">
        <v>1383</v>
      </c>
      <c r="AF479" t="s">
        <v>1384</v>
      </c>
      <c r="AG479" t="s">
        <v>1385</v>
      </c>
      <c r="AH479" t="s">
        <v>1385</v>
      </c>
      <c r="AI479" t="s">
        <v>1385</v>
      </c>
      <c r="AJ479" t="s">
        <v>1386</v>
      </c>
      <c r="AK479" t="s">
        <v>1374</v>
      </c>
    </row>
    <row r="480" spans="1:37" customFormat="1">
      <c r="A480" t="s">
        <v>370</v>
      </c>
      <c r="B480" t="s">
        <v>1061</v>
      </c>
      <c r="C480">
        <v>9</v>
      </c>
      <c r="D480" t="s">
        <v>847</v>
      </c>
      <c r="E480" t="s">
        <v>1056</v>
      </c>
      <c r="Q480">
        <v>11</v>
      </c>
      <c r="R480" t="s">
        <v>888</v>
      </c>
      <c r="S480" t="s">
        <v>1222</v>
      </c>
      <c r="AD480" t="s">
        <v>1388</v>
      </c>
      <c r="AE480" t="s">
        <v>1389</v>
      </c>
      <c r="AF480" t="s">
        <v>1390</v>
      </c>
      <c r="AG480" t="s">
        <v>160</v>
      </c>
      <c r="AH480">
        <v>15.8</v>
      </c>
      <c r="AI480" t="s">
        <v>1391</v>
      </c>
    </row>
    <row r="481" spans="1:37" customFormat="1">
      <c r="A481" t="s">
        <v>370</v>
      </c>
      <c r="B481" t="s">
        <v>1062</v>
      </c>
      <c r="C481">
        <v>9</v>
      </c>
      <c r="D481" t="s">
        <v>847</v>
      </c>
      <c r="E481" t="s">
        <v>1063</v>
      </c>
      <c r="Q481">
        <v>11</v>
      </c>
      <c r="R481" t="s">
        <v>888</v>
      </c>
      <c r="S481" t="s">
        <v>1582</v>
      </c>
    </row>
    <row r="482" spans="1:37" customFormat="1">
      <c r="A482" t="s">
        <v>370</v>
      </c>
      <c r="B482" t="s">
        <v>1064</v>
      </c>
      <c r="C482">
        <v>9</v>
      </c>
      <c r="D482" t="s">
        <v>847</v>
      </c>
      <c r="E482" t="s">
        <v>1026</v>
      </c>
      <c r="Q482">
        <v>11</v>
      </c>
      <c r="R482" t="s">
        <v>888</v>
      </c>
      <c r="S482" t="s">
        <v>1623</v>
      </c>
      <c r="AD482" t="s">
        <v>1373</v>
      </c>
      <c r="AE482" t="s">
        <v>495</v>
      </c>
      <c r="AF482" t="s">
        <v>1374</v>
      </c>
    </row>
    <row r="483" spans="1:37" customFormat="1">
      <c r="A483" t="s">
        <v>370</v>
      </c>
      <c r="B483" t="s">
        <v>1065</v>
      </c>
      <c r="C483">
        <v>10</v>
      </c>
      <c r="D483" t="s">
        <v>888</v>
      </c>
      <c r="E483" t="s">
        <v>1066</v>
      </c>
      <c r="Q483">
        <v>11</v>
      </c>
      <c r="R483" t="s">
        <v>888</v>
      </c>
      <c r="S483" t="s">
        <v>929</v>
      </c>
      <c r="AD483" t="s">
        <v>1376</v>
      </c>
      <c r="AE483" t="s">
        <v>1377</v>
      </c>
      <c r="AF483" t="s">
        <v>1378</v>
      </c>
      <c r="AG483" t="s">
        <v>1379</v>
      </c>
      <c r="AH483" t="s">
        <v>443</v>
      </c>
      <c r="AI483" t="s">
        <v>1380</v>
      </c>
    </row>
    <row r="484" spans="1:37" customFormat="1">
      <c r="A484" t="s">
        <v>370</v>
      </c>
      <c r="B484" t="s">
        <v>1067</v>
      </c>
      <c r="C484">
        <v>10</v>
      </c>
      <c r="D484" t="s">
        <v>888</v>
      </c>
      <c r="E484" t="s">
        <v>1068</v>
      </c>
      <c r="Q484">
        <v>11</v>
      </c>
      <c r="R484" t="s">
        <v>888</v>
      </c>
      <c r="S484" t="s">
        <v>865</v>
      </c>
      <c r="AD484" t="s">
        <v>1382</v>
      </c>
      <c r="AE484" t="s">
        <v>1383</v>
      </c>
      <c r="AF484" t="s">
        <v>1384</v>
      </c>
      <c r="AG484" t="s">
        <v>1385</v>
      </c>
      <c r="AH484" t="s">
        <v>1385</v>
      </c>
      <c r="AI484" t="s">
        <v>1385</v>
      </c>
      <c r="AJ484" t="s">
        <v>1386</v>
      </c>
      <c r="AK484" t="s">
        <v>1374</v>
      </c>
    </row>
    <row r="485" spans="1:37" customFormat="1">
      <c r="A485" t="s">
        <v>370</v>
      </c>
      <c r="B485" t="s">
        <v>1069</v>
      </c>
      <c r="C485">
        <v>10</v>
      </c>
      <c r="D485" t="s">
        <v>847</v>
      </c>
      <c r="E485" t="s">
        <v>1070</v>
      </c>
      <c r="Q485">
        <v>11</v>
      </c>
      <c r="R485" t="s">
        <v>888</v>
      </c>
      <c r="S485" t="s">
        <v>1612</v>
      </c>
      <c r="AD485" t="s">
        <v>1388</v>
      </c>
      <c r="AE485" t="s">
        <v>1389</v>
      </c>
      <c r="AF485" t="s">
        <v>1390</v>
      </c>
      <c r="AG485" t="s">
        <v>160</v>
      </c>
      <c r="AH485">
        <v>15.9</v>
      </c>
      <c r="AI485" t="s">
        <v>1391</v>
      </c>
    </row>
    <row r="486" spans="1:37" customFormat="1">
      <c r="A486" t="s">
        <v>370</v>
      </c>
      <c r="B486" t="s">
        <v>1071</v>
      </c>
      <c r="C486">
        <v>10</v>
      </c>
      <c r="D486" t="s">
        <v>847</v>
      </c>
      <c r="E486" t="s">
        <v>1072</v>
      </c>
      <c r="Q486">
        <v>11</v>
      </c>
      <c r="R486" t="s">
        <v>888</v>
      </c>
      <c r="S486" t="s">
        <v>891</v>
      </c>
    </row>
    <row r="487" spans="1:37" customFormat="1">
      <c r="A487" t="s">
        <v>370</v>
      </c>
      <c r="B487" t="s">
        <v>1073</v>
      </c>
      <c r="C487">
        <v>10</v>
      </c>
      <c r="D487" t="s">
        <v>888</v>
      </c>
      <c r="E487" t="s">
        <v>909</v>
      </c>
      <c r="Q487">
        <v>11</v>
      </c>
      <c r="R487" t="s">
        <v>888</v>
      </c>
      <c r="S487" t="s">
        <v>947</v>
      </c>
      <c r="AD487" t="s">
        <v>1373</v>
      </c>
      <c r="AE487" t="s">
        <v>495</v>
      </c>
      <c r="AF487" t="s">
        <v>1374</v>
      </c>
    </row>
    <row r="488" spans="1:37" customFormat="1">
      <c r="A488" t="s">
        <v>370</v>
      </c>
      <c r="B488" t="s">
        <v>1074</v>
      </c>
      <c r="C488">
        <v>10</v>
      </c>
      <c r="D488" t="s">
        <v>847</v>
      </c>
      <c r="E488" t="s">
        <v>1075</v>
      </c>
      <c r="Q488">
        <v>11</v>
      </c>
      <c r="R488" t="s">
        <v>888</v>
      </c>
      <c r="S488" t="s">
        <v>1583</v>
      </c>
      <c r="AD488" t="s">
        <v>1376</v>
      </c>
      <c r="AE488" t="s">
        <v>1377</v>
      </c>
      <c r="AF488" t="s">
        <v>1378</v>
      </c>
      <c r="AG488" t="s">
        <v>1379</v>
      </c>
      <c r="AH488" t="s">
        <v>443</v>
      </c>
    </row>
    <row r="489" spans="1:37" customFormat="1">
      <c r="A489" t="s">
        <v>370</v>
      </c>
      <c r="B489" t="s">
        <v>1076</v>
      </c>
      <c r="C489">
        <v>10</v>
      </c>
      <c r="D489" t="s">
        <v>847</v>
      </c>
      <c r="E489" t="s">
        <v>909</v>
      </c>
      <c r="Q489">
        <v>12</v>
      </c>
      <c r="R489" t="s">
        <v>888</v>
      </c>
      <c r="S489" t="s">
        <v>1615</v>
      </c>
    </row>
    <row r="490" spans="1:37" customFormat="1">
      <c r="A490" t="s">
        <v>370</v>
      </c>
      <c r="B490" t="s">
        <v>1077</v>
      </c>
      <c r="C490">
        <v>10</v>
      </c>
      <c r="D490" t="s">
        <v>847</v>
      </c>
      <c r="E490" t="s">
        <v>1078</v>
      </c>
      <c r="Q490">
        <v>12</v>
      </c>
      <c r="R490" t="s">
        <v>888</v>
      </c>
      <c r="S490" t="s">
        <v>1624</v>
      </c>
    </row>
    <row r="491" spans="1:37" customFormat="1">
      <c r="A491" t="s">
        <v>370</v>
      </c>
      <c r="B491" t="s">
        <v>1079</v>
      </c>
      <c r="C491">
        <v>10</v>
      </c>
      <c r="D491" t="s">
        <v>847</v>
      </c>
      <c r="E491" t="s">
        <v>1080</v>
      </c>
      <c r="Q491">
        <v>12</v>
      </c>
      <c r="R491" t="s">
        <v>888</v>
      </c>
      <c r="S491" t="s">
        <v>1222</v>
      </c>
    </row>
    <row r="492" spans="1:37" customFormat="1">
      <c r="A492" t="s">
        <v>370</v>
      </c>
      <c r="B492" t="s">
        <v>1081</v>
      </c>
      <c r="C492">
        <v>10</v>
      </c>
      <c r="D492" t="s">
        <v>847</v>
      </c>
      <c r="E492" t="s">
        <v>1000</v>
      </c>
      <c r="Q492">
        <v>12</v>
      </c>
      <c r="R492" t="s">
        <v>888</v>
      </c>
      <c r="S492" t="s">
        <v>1568</v>
      </c>
    </row>
    <row r="493" spans="1:37" customFormat="1">
      <c r="A493" t="s">
        <v>370</v>
      </c>
      <c r="B493" t="s">
        <v>1082</v>
      </c>
      <c r="C493">
        <v>10</v>
      </c>
      <c r="D493" t="s">
        <v>847</v>
      </c>
      <c r="E493" t="s">
        <v>1083</v>
      </c>
      <c r="Q493">
        <v>12</v>
      </c>
      <c r="R493" t="s">
        <v>888</v>
      </c>
      <c r="S493" t="s">
        <v>1625</v>
      </c>
    </row>
    <row r="494" spans="1:37" customFormat="1">
      <c r="A494" t="s">
        <v>370</v>
      </c>
      <c r="B494" t="s">
        <v>1084</v>
      </c>
      <c r="C494">
        <v>10</v>
      </c>
      <c r="D494" t="s">
        <v>847</v>
      </c>
      <c r="E494" t="s">
        <v>1000</v>
      </c>
      <c r="Q494">
        <v>12</v>
      </c>
      <c r="R494" t="s">
        <v>888</v>
      </c>
      <c r="S494" t="s">
        <v>1026</v>
      </c>
    </row>
    <row r="495" spans="1:37" customFormat="1">
      <c r="A495" t="s">
        <v>370</v>
      </c>
      <c r="B495" t="s">
        <v>1085</v>
      </c>
      <c r="C495">
        <v>10</v>
      </c>
      <c r="D495" t="s">
        <v>847</v>
      </c>
      <c r="E495" t="s">
        <v>1086</v>
      </c>
      <c r="Q495">
        <v>12</v>
      </c>
      <c r="R495" t="s">
        <v>888</v>
      </c>
      <c r="S495" t="s">
        <v>1020</v>
      </c>
    </row>
    <row r="496" spans="1:37" customFormat="1">
      <c r="A496" t="s">
        <v>370</v>
      </c>
      <c r="B496" t="s">
        <v>1087</v>
      </c>
      <c r="C496">
        <v>10</v>
      </c>
      <c r="D496" t="s">
        <v>847</v>
      </c>
      <c r="E496" t="s">
        <v>956</v>
      </c>
      <c r="Q496">
        <v>12</v>
      </c>
      <c r="R496" t="s">
        <v>888</v>
      </c>
      <c r="S496" t="s">
        <v>875</v>
      </c>
    </row>
    <row r="497" spans="1:19" customFormat="1">
      <c r="A497" t="s">
        <v>370</v>
      </c>
      <c r="B497" t="s">
        <v>1088</v>
      </c>
      <c r="C497">
        <v>11</v>
      </c>
      <c r="D497" t="s">
        <v>847</v>
      </c>
      <c r="E497" t="s">
        <v>865</v>
      </c>
      <c r="Q497">
        <v>12</v>
      </c>
      <c r="R497" t="s">
        <v>888</v>
      </c>
      <c r="S497" t="s">
        <v>861</v>
      </c>
    </row>
    <row r="498" spans="1:19" customFormat="1">
      <c r="A498" t="s">
        <v>370</v>
      </c>
      <c r="B498" t="s">
        <v>1089</v>
      </c>
      <c r="C498">
        <v>11</v>
      </c>
      <c r="D498" t="s">
        <v>847</v>
      </c>
      <c r="E498" t="s">
        <v>1090</v>
      </c>
      <c r="Q498">
        <v>12</v>
      </c>
      <c r="R498" t="s">
        <v>888</v>
      </c>
      <c r="S498" t="s">
        <v>1613</v>
      </c>
    </row>
    <row r="499" spans="1:19" customFormat="1">
      <c r="A499" t="s">
        <v>370</v>
      </c>
      <c r="B499" t="s">
        <v>1091</v>
      </c>
      <c r="C499">
        <v>11</v>
      </c>
      <c r="D499" t="s">
        <v>847</v>
      </c>
      <c r="E499" t="s">
        <v>965</v>
      </c>
      <c r="Q499">
        <v>12</v>
      </c>
      <c r="R499" t="s">
        <v>888</v>
      </c>
      <c r="S499" t="s">
        <v>913</v>
      </c>
    </row>
    <row r="500" spans="1:19" customFormat="1">
      <c r="A500" t="s">
        <v>370</v>
      </c>
      <c r="B500" t="s">
        <v>1092</v>
      </c>
      <c r="C500">
        <v>11</v>
      </c>
      <c r="D500" t="s">
        <v>888</v>
      </c>
      <c r="E500" t="s">
        <v>1024</v>
      </c>
      <c r="Q500">
        <v>12</v>
      </c>
      <c r="R500" t="s">
        <v>888</v>
      </c>
      <c r="S500" t="s">
        <v>958</v>
      </c>
    </row>
    <row r="501" spans="1:19" customFormat="1">
      <c r="A501" t="s">
        <v>370</v>
      </c>
      <c r="B501" t="s">
        <v>1093</v>
      </c>
      <c r="C501">
        <v>11</v>
      </c>
      <c r="D501" t="s">
        <v>847</v>
      </c>
      <c r="E501" t="s">
        <v>1094</v>
      </c>
      <c r="Q501">
        <v>12</v>
      </c>
      <c r="R501" t="s">
        <v>888</v>
      </c>
      <c r="S501" t="s">
        <v>1613</v>
      </c>
    </row>
    <row r="502" spans="1:19" customFormat="1">
      <c r="A502" t="s">
        <v>370</v>
      </c>
      <c r="B502" t="s">
        <v>1095</v>
      </c>
      <c r="C502">
        <v>11</v>
      </c>
      <c r="D502" t="s">
        <v>847</v>
      </c>
      <c r="E502" t="s">
        <v>1096</v>
      </c>
      <c r="Q502">
        <v>12</v>
      </c>
      <c r="R502" t="s">
        <v>888</v>
      </c>
      <c r="S502" t="s">
        <v>1602</v>
      </c>
    </row>
    <row r="503" spans="1:19" customFormat="1">
      <c r="A503" t="s">
        <v>370</v>
      </c>
      <c r="B503" t="s">
        <v>1097</v>
      </c>
      <c r="C503">
        <v>11</v>
      </c>
      <c r="D503" t="s">
        <v>847</v>
      </c>
      <c r="E503" t="s">
        <v>1098</v>
      </c>
      <c r="Q503">
        <v>13</v>
      </c>
      <c r="R503" t="s">
        <v>888</v>
      </c>
      <c r="S503" t="s">
        <v>1026</v>
      </c>
    </row>
    <row r="504" spans="1:19" customFormat="1">
      <c r="A504" t="s">
        <v>370</v>
      </c>
      <c r="B504" t="s">
        <v>1099</v>
      </c>
      <c r="C504">
        <v>11</v>
      </c>
      <c r="D504" t="s">
        <v>847</v>
      </c>
      <c r="E504" t="s">
        <v>1100</v>
      </c>
      <c r="Q504">
        <v>13</v>
      </c>
      <c r="R504" t="s">
        <v>888</v>
      </c>
      <c r="S504" t="s">
        <v>1593</v>
      </c>
    </row>
    <row r="505" spans="1:19" customFormat="1">
      <c r="A505" t="s">
        <v>370</v>
      </c>
      <c r="B505" t="s">
        <v>1101</v>
      </c>
      <c r="C505">
        <v>11</v>
      </c>
      <c r="D505" t="s">
        <v>847</v>
      </c>
      <c r="E505" t="s">
        <v>899</v>
      </c>
      <c r="Q505">
        <v>13</v>
      </c>
      <c r="R505" t="s">
        <v>888</v>
      </c>
      <c r="S505" t="s">
        <v>1040</v>
      </c>
    </row>
    <row r="506" spans="1:19" customFormat="1">
      <c r="A506" t="s">
        <v>370</v>
      </c>
      <c r="B506" t="s">
        <v>1102</v>
      </c>
      <c r="C506">
        <v>11</v>
      </c>
      <c r="D506" t="s">
        <v>847</v>
      </c>
      <c r="E506" t="s">
        <v>1103</v>
      </c>
      <c r="Q506">
        <v>13</v>
      </c>
      <c r="R506" t="s">
        <v>888</v>
      </c>
      <c r="S506" t="s">
        <v>873</v>
      </c>
    </row>
    <row r="507" spans="1:19" customFormat="1">
      <c r="A507" t="s">
        <v>370</v>
      </c>
      <c r="B507" t="s">
        <v>1104</v>
      </c>
      <c r="C507">
        <v>11</v>
      </c>
      <c r="D507" t="s">
        <v>888</v>
      </c>
      <c r="E507" t="s">
        <v>1013</v>
      </c>
      <c r="Q507">
        <v>13</v>
      </c>
      <c r="R507" t="s">
        <v>888</v>
      </c>
      <c r="S507" t="s">
        <v>1626</v>
      </c>
    </row>
    <row r="508" spans="1:19" customFormat="1">
      <c r="A508" t="s">
        <v>370</v>
      </c>
      <c r="B508" t="s">
        <v>1105</v>
      </c>
      <c r="C508">
        <v>11</v>
      </c>
      <c r="D508" t="s">
        <v>888</v>
      </c>
      <c r="E508" t="s">
        <v>1106</v>
      </c>
      <c r="Q508">
        <v>13</v>
      </c>
      <c r="R508" t="s">
        <v>847</v>
      </c>
      <c r="S508" t="s">
        <v>1627</v>
      </c>
    </row>
    <row r="509" spans="1:19" customFormat="1">
      <c r="A509" t="s">
        <v>370</v>
      </c>
      <c r="B509" t="s">
        <v>1107</v>
      </c>
      <c r="C509">
        <v>11</v>
      </c>
      <c r="D509" t="s">
        <v>888</v>
      </c>
      <c r="E509" t="s">
        <v>1046</v>
      </c>
      <c r="Q509">
        <v>13</v>
      </c>
      <c r="R509" t="s">
        <v>847</v>
      </c>
      <c r="S509" t="s">
        <v>1167</v>
      </c>
    </row>
    <row r="510" spans="1:19" customFormat="1">
      <c r="A510" t="s">
        <v>370</v>
      </c>
      <c r="B510" t="s">
        <v>1108</v>
      </c>
      <c r="C510">
        <v>11</v>
      </c>
      <c r="D510" t="s">
        <v>888</v>
      </c>
      <c r="E510" t="s">
        <v>956</v>
      </c>
      <c r="Q510">
        <v>13</v>
      </c>
      <c r="R510" t="s">
        <v>847</v>
      </c>
      <c r="S510" t="s">
        <v>1628</v>
      </c>
    </row>
    <row r="511" spans="1:19" customFormat="1">
      <c r="A511" t="s">
        <v>370</v>
      </c>
      <c r="B511" t="s">
        <v>1109</v>
      </c>
      <c r="C511">
        <v>12</v>
      </c>
      <c r="D511" t="s">
        <v>847</v>
      </c>
      <c r="E511" t="s">
        <v>1110</v>
      </c>
      <c r="Q511">
        <v>13</v>
      </c>
      <c r="R511" t="s">
        <v>888</v>
      </c>
      <c r="S511" t="s">
        <v>885</v>
      </c>
    </row>
    <row r="512" spans="1:19" customFormat="1">
      <c r="A512" t="s">
        <v>370</v>
      </c>
      <c r="B512" t="s">
        <v>1111</v>
      </c>
      <c r="C512">
        <v>12</v>
      </c>
      <c r="D512" t="s">
        <v>847</v>
      </c>
      <c r="E512" t="s">
        <v>1112</v>
      </c>
      <c r="Q512">
        <v>13</v>
      </c>
      <c r="R512" t="s">
        <v>888</v>
      </c>
      <c r="S512" t="s">
        <v>1629</v>
      </c>
    </row>
    <row r="513" spans="1:19" customFormat="1">
      <c r="A513" t="s">
        <v>370</v>
      </c>
      <c r="B513" t="s">
        <v>1113</v>
      </c>
      <c r="C513">
        <v>12</v>
      </c>
      <c r="D513" t="s">
        <v>847</v>
      </c>
      <c r="E513" t="s">
        <v>1072</v>
      </c>
      <c r="Q513">
        <v>13</v>
      </c>
      <c r="R513" t="s">
        <v>888</v>
      </c>
      <c r="S513" t="s">
        <v>1126</v>
      </c>
    </row>
    <row r="514" spans="1:19" customFormat="1">
      <c r="A514" t="s">
        <v>370</v>
      </c>
      <c r="B514" t="s">
        <v>1114</v>
      </c>
      <c r="C514">
        <v>12</v>
      </c>
      <c r="D514" t="s">
        <v>888</v>
      </c>
      <c r="E514" t="s">
        <v>897</v>
      </c>
      <c r="Q514">
        <v>13</v>
      </c>
      <c r="R514" t="s">
        <v>888</v>
      </c>
      <c r="S514" t="s">
        <v>990</v>
      </c>
    </row>
    <row r="515" spans="1:19" customFormat="1">
      <c r="A515" t="s">
        <v>370</v>
      </c>
      <c r="B515" t="s">
        <v>1115</v>
      </c>
      <c r="C515">
        <v>12</v>
      </c>
      <c r="D515" t="s">
        <v>847</v>
      </c>
      <c r="E515" t="s">
        <v>1116</v>
      </c>
      <c r="Q515">
        <v>13</v>
      </c>
      <c r="R515" t="s">
        <v>888</v>
      </c>
      <c r="S515" t="s">
        <v>1629</v>
      </c>
    </row>
    <row r="516" spans="1:19" customFormat="1">
      <c r="A516" t="s">
        <v>370</v>
      </c>
      <c r="B516" t="s">
        <v>1117</v>
      </c>
      <c r="C516">
        <v>12</v>
      </c>
      <c r="D516" t="s">
        <v>888</v>
      </c>
      <c r="E516" t="s">
        <v>1118</v>
      </c>
      <c r="Q516">
        <v>13</v>
      </c>
      <c r="R516" t="s">
        <v>888</v>
      </c>
      <c r="S516" t="s">
        <v>984</v>
      </c>
    </row>
    <row r="517" spans="1:19" customFormat="1">
      <c r="A517" t="s">
        <v>370</v>
      </c>
      <c r="B517" t="s">
        <v>1119</v>
      </c>
      <c r="C517">
        <v>12</v>
      </c>
      <c r="D517" t="s">
        <v>888</v>
      </c>
      <c r="E517" t="s">
        <v>1120</v>
      </c>
      <c r="Q517">
        <v>14</v>
      </c>
      <c r="R517" t="s">
        <v>888</v>
      </c>
      <c r="S517" t="s">
        <v>951</v>
      </c>
    </row>
    <row r="518" spans="1:19" customFormat="1">
      <c r="A518" t="s">
        <v>370</v>
      </c>
      <c r="B518" t="s">
        <v>1121</v>
      </c>
      <c r="C518">
        <v>12</v>
      </c>
      <c r="D518" t="s">
        <v>847</v>
      </c>
      <c r="E518" t="s">
        <v>1122</v>
      </c>
      <c r="Q518">
        <v>14</v>
      </c>
      <c r="R518" t="s">
        <v>888</v>
      </c>
      <c r="S518" t="s">
        <v>1261</v>
      </c>
    </row>
    <row r="519" spans="1:19" customFormat="1">
      <c r="A519" t="s">
        <v>370</v>
      </c>
      <c r="B519" t="s">
        <v>1123</v>
      </c>
      <c r="C519">
        <v>12</v>
      </c>
      <c r="D519" t="s">
        <v>847</v>
      </c>
      <c r="E519" t="s">
        <v>1124</v>
      </c>
      <c r="Q519">
        <v>14</v>
      </c>
      <c r="R519" t="s">
        <v>847</v>
      </c>
      <c r="S519" t="s">
        <v>1630</v>
      </c>
    </row>
    <row r="520" spans="1:19" customFormat="1">
      <c r="A520" t="s">
        <v>370</v>
      </c>
      <c r="B520" t="s">
        <v>1125</v>
      </c>
      <c r="C520">
        <v>12</v>
      </c>
      <c r="D520" t="s">
        <v>847</v>
      </c>
      <c r="E520" t="s">
        <v>1126</v>
      </c>
      <c r="Q520">
        <v>14</v>
      </c>
      <c r="R520" t="s">
        <v>847</v>
      </c>
      <c r="S520" t="s">
        <v>1606</v>
      </c>
    </row>
    <row r="521" spans="1:19" customFormat="1">
      <c r="A521" t="s">
        <v>370</v>
      </c>
      <c r="B521" t="s">
        <v>1127</v>
      </c>
      <c r="C521">
        <v>12</v>
      </c>
      <c r="D521" t="s">
        <v>847</v>
      </c>
      <c r="E521" t="s">
        <v>1128</v>
      </c>
      <c r="Q521">
        <v>14</v>
      </c>
      <c r="R521" t="s">
        <v>847</v>
      </c>
      <c r="S521" t="s">
        <v>1135</v>
      </c>
    </row>
    <row r="522" spans="1:19" customFormat="1">
      <c r="A522" t="s">
        <v>370</v>
      </c>
      <c r="B522" t="s">
        <v>1129</v>
      </c>
      <c r="C522">
        <v>12</v>
      </c>
      <c r="D522" t="s">
        <v>847</v>
      </c>
      <c r="E522" t="s">
        <v>1130</v>
      </c>
      <c r="Q522">
        <v>14</v>
      </c>
      <c r="R522" t="s">
        <v>847</v>
      </c>
      <c r="S522" t="s">
        <v>1056</v>
      </c>
    </row>
    <row r="523" spans="1:19" customFormat="1">
      <c r="A523" t="s">
        <v>370</v>
      </c>
      <c r="B523" t="s">
        <v>1131</v>
      </c>
      <c r="C523">
        <v>12</v>
      </c>
      <c r="D523" t="s">
        <v>847</v>
      </c>
      <c r="E523" t="s">
        <v>953</v>
      </c>
      <c r="Q523">
        <v>14</v>
      </c>
      <c r="R523" t="s">
        <v>847</v>
      </c>
      <c r="S523" t="s">
        <v>1631</v>
      </c>
    </row>
    <row r="524" spans="1:19" customFormat="1">
      <c r="A524" t="s">
        <v>370</v>
      </c>
      <c r="B524" t="s">
        <v>1132</v>
      </c>
      <c r="C524">
        <v>12</v>
      </c>
      <c r="D524" t="s">
        <v>847</v>
      </c>
      <c r="E524" t="s">
        <v>1133</v>
      </c>
      <c r="Q524">
        <v>14</v>
      </c>
      <c r="R524" t="s">
        <v>847</v>
      </c>
      <c r="S524" t="s">
        <v>1242</v>
      </c>
    </row>
    <row r="525" spans="1:19" customFormat="1">
      <c r="A525" t="s">
        <v>370</v>
      </c>
      <c r="B525" t="s">
        <v>1134</v>
      </c>
      <c r="C525">
        <v>13</v>
      </c>
      <c r="D525" t="s">
        <v>847</v>
      </c>
      <c r="E525" t="s">
        <v>1135</v>
      </c>
      <c r="Q525">
        <v>14</v>
      </c>
      <c r="R525" t="s">
        <v>847</v>
      </c>
      <c r="S525" t="s">
        <v>1214</v>
      </c>
    </row>
    <row r="526" spans="1:19" customFormat="1">
      <c r="A526" t="s">
        <v>370</v>
      </c>
      <c r="B526" t="s">
        <v>1136</v>
      </c>
      <c r="C526">
        <v>13</v>
      </c>
      <c r="D526" t="s">
        <v>847</v>
      </c>
      <c r="E526" t="s">
        <v>1137</v>
      </c>
      <c r="Q526">
        <v>14</v>
      </c>
      <c r="R526" t="s">
        <v>847</v>
      </c>
      <c r="S526" t="s">
        <v>1232</v>
      </c>
    </row>
    <row r="527" spans="1:19" customFormat="1">
      <c r="A527" t="s">
        <v>370</v>
      </c>
      <c r="B527" t="s">
        <v>1138</v>
      </c>
      <c r="C527">
        <v>13</v>
      </c>
      <c r="D527" t="s">
        <v>847</v>
      </c>
      <c r="E527" t="s">
        <v>1139</v>
      </c>
      <c r="Q527">
        <v>14</v>
      </c>
      <c r="R527" t="s">
        <v>847</v>
      </c>
      <c r="S527" t="s">
        <v>986</v>
      </c>
    </row>
    <row r="528" spans="1:19" customFormat="1">
      <c r="A528" t="s">
        <v>370</v>
      </c>
      <c r="B528" t="s">
        <v>1140</v>
      </c>
      <c r="C528">
        <v>13</v>
      </c>
      <c r="D528" t="s">
        <v>888</v>
      </c>
      <c r="E528" t="s">
        <v>1141</v>
      </c>
      <c r="Q528">
        <v>14</v>
      </c>
      <c r="R528" t="s">
        <v>847</v>
      </c>
      <c r="S528" t="s">
        <v>1242</v>
      </c>
    </row>
    <row r="529" spans="1:19" customFormat="1">
      <c r="A529" t="s">
        <v>370</v>
      </c>
      <c r="B529" t="s">
        <v>1142</v>
      </c>
      <c r="C529">
        <v>13</v>
      </c>
      <c r="D529" t="s">
        <v>847</v>
      </c>
      <c r="E529" t="s">
        <v>1143</v>
      </c>
      <c r="Q529">
        <v>14</v>
      </c>
      <c r="R529" t="s">
        <v>847</v>
      </c>
      <c r="S529" t="s">
        <v>986</v>
      </c>
    </row>
    <row r="530" spans="1:19" customFormat="1">
      <c r="A530" t="s">
        <v>370</v>
      </c>
      <c r="B530" t="s">
        <v>1144</v>
      </c>
      <c r="C530">
        <v>13</v>
      </c>
      <c r="D530" t="s">
        <v>847</v>
      </c>
      <c r="E530" t="s">
        <v>1145</v>
      </c>
      <c r="Q530">
        <v>14</v>
      </c>
      <c r="R530" t="s">
        <v>888</v>
      </c>
      <c r="S530" t="s">
        <v>1632</v>
      </c>
    </row>
    <row r="531" spans="1:19" customFormat="1">
      <c r="A531" t="s">
        <v>370</v>
      </c>
      <c r="B531" t="s">
        <v>1146</v>
      </c>
      <c r="C531">
        <v>13</v>
      </c>
      <c r="D531" t="s">
        <v>847</v>
      </c>
      <c r="E531" t="s">
        <v>1147</v>
      </c>
      <c r="Q531">
        <v>15</v>
      </c>
      <c r="R531" t="s">
        <v>888</v>
      </c>
      <c r="S531" t="s">
        <v>1633</v>
      </c>
    </row>
    <row r="532" spans="1:19" customFormat="1">
      <c r="A532" t="s">
        <v>370</v>
      </c>
      <c r="B532" t="s">
        <v>1148</v>
      </c>
      <c r="C532">
        <v>13</v>
      </c>
      <c r="D532" t="s">
        <v>847</v>
      </c>
      <c r="E532" t="s">
        <v>1149</v>
      </c>
      <c r="Q532">
        <v>15</v>
      </c>
      <c r="R532" t="s">
        <v>888</v>
      </c>
      <c r="S532" t="s">
        <v>1629</v>
      </c>
    </row>
    <row r="533" spans="1:19" customFormat="1">
      <c r="A533" t="s">
        <v>370</v>
      </c>
      <c r="B533" t="s">
        <v>1150</v>
      </c>
      <c r="C533">
        <v>13</v>
      </c>
      <c r="D533" t="s">
        <v>847</v>
      </c>
      <c r="E533" t="s">
        <v>1151</v>
      </c>
      <c r="Q533">
        <v>15</v>
      </c>
      <c r="R533" t="s">
        <v>888</v>
      </c>
      <c r="S533" t="s">
        <v>1594</v>
      </c>
    </row>
    <row r="534" spans="1:19" customFormat="1">
      <c r="A534" t="s">
        <v>370</v>
      </c>
      <c r="B534" t="s">
        <v>1152</v>
      </c>
      <c r="C534">
        <v>13</v>
      </c>
      <c r="D534" t="s">
        <v>847</v>
      </c>
      <c r="E534" t="s">
        <v>1153</v>
      </c>
      <c r="Q534">
        <v>15</v>
      </c>
      <c r="R534" t="s">
        <v>847</v>
      </c>
      <c r="S534" t="s">
        <v>1594</v>
      </c>
    </row>
    <row r="535" spans="1:19" customFormat="1">
      <c r="A535" t="s">
        <v>370</v>
      </c>
      <c r="B535" t="s">
        <v>1154</v>
      </c>
      <c r="C535">
        <v>13</v>
      </c>
      <c r="D535" t="s">
        <v>847</v>
      </c>
      <c r="E535" t="s">
        <v>1155</v>
      </c>
      <c r="Q535">
        <v>15</v>
      </c>
      <c r="R535" t="s">
        <v>888</v>
      </c>
      <c r="S535" t="s">
        <v>1232</v>
      </c>
    </row>
    <row r="536" spans="1:19" customFormat="1">
      <c r="A536" t="s">
        <v>370</v>
      </c>
      <c r="B536" t="s">
        <v>1156</v>
      </c>
      <c r="C536">
        <v>13</v>
      </c>
      <c r="D536" t="s">
        <v>847</v>
      </c>
      <c r="E536" t="s">
        <v>1157</v>
      </c>
      <c r="Q536">
        <v>15</v>
      </c>
      <c r="R536" t="s">
        <v>847</v>
      </c>
      <c r="S536" t="s">
        <v>1181</v>
      </c>
    </row>
    <row r="537" spans="1:19" customFormat="1">
      <c r="A537" t="s">
        <v>370</v>
      </c>
      <c r="B537" t="s">
        <v>1158</v>
      </c>
      <c r="C537">
        <v>13</v>
      </c>
      <c r="D537" t="s">
        <v>847</v>
      </c>
      <c r="E537" t="s">
        <v>1159</v>
      </c>
      <c r="Q537">
        <v>15</v>
      </c>
      <c r="R537" t="s">
        <v>888</v>
      </c>
      <c r="S537" t="s">
        <v>1633</v>
      </c>
    </row>
    <row r="538" spans="1:19" customFormat="1">
      <c r="A538" t="s">
        <v>370</v>
      </c>
      <c r="B538" t="s">
        <v>1160</v>
      </c>
      <c r="C538">
        <v>13</v>
      </c>
      <c r="D538" t="s">
        <v>847</v>
      </c>
      <c r="E538" t="s">
        <v>1086</v>
      </c>
      <c r="Q538">
        <v>15</v>
      </c>
      <c r="R538" t="s">
        <v>888</v>
      </c>
      <c r="S538" t="s">
        <v>1232</v>
      </c>
    </row>
    <row r="539" spans="1:19" customFormat="1">
      <c r="A539" t="s">
        <v>370</v>
      </c>
      <c r="B539" t="s">
        <v>1161</v>
      </c>
      <c r="C539">
        <v>14</v>
      </c>
      <c r="D539" t="s">
        <v>847</v>
      </c>
      <c r="E539" t="s">
        <v>1162</v>
      </c>
      <c r="Q539">
        <v>15</v>
      </c>
      <c r="R539" t="s">
        <v>847</v>
      </c>
      <c r="S539" t="s">
        <v>986</v>
      </c>
    </row>
    <row r="540" spans="1:19" customFormat="1">
      <c r="A540" t="s">
        <v>370</v>
      </c>
      <c r="B540" t="s">
        <v>1163</v>
      </c>
      <c r="C540">
        <v>14</v>
      </c>
      <c r="D540" t="s">
        <v>847</v>
      </c>
      <c r="E540" t="s">
        <v>939</v>
      </c>
      <c r="Q540">
        <v>15</v>
      </c>
      <c r="R540" t="s">
        <v>888</v>
      </c>
      <c r="S540" t="s">
        <v>1634</v>
      </c>
    </row>
    <row r="541" spans="1:19" customFormat="1">
      <c r="A541" t="s">
        <v>370</v>
      </c>
      <c r="B541" t="s">
        <v>1164</v>
      </c>
      <c r="C541">
        <v>14</v>
      </c>
      <c r="D541" t="s">
        <v>847</v>
      </c>
      <c r="E541" t="s">
        <v>1165</v>
      </c>
      <c r="Q541">
        <v>15</v>
      </c>
      <c r="R541" t="s">
        <v>847</v>
      </c>
      <c r="S541" t="s">
        <v>986</v>
      </c>
    </row>
    <row r="542" spans="1:19" customFormat="1">
      <c r="A542" t="s">
        <v>370</v>
      </c>
      <c r="B542" t="s">
        <v>1166</v>
      </c>
      <c r="C542">
        <v>14</v>
      </c>
      <c r="D542" t="s">
        <v>847</v>
      </c>
      <c r="E542" t="s">
        <v>1167</v>
      </c>
      <c r="Q542">
        <v>15</v>
      </c>
      <c r="R542" t="s">
        <v>888</v>
      </c>
      <c r="S542" t="s">
        <v>873</v>
      </c>
    </row>
    <row r="543" spans="1:19" customFormat="1">
      <c r="A543" t="s">
        <v>370</v>
      </c>
      <c r="B543" t="s">
        <v>1168</v>
      </c>
      <c r="C543">
        <v>14</v>
      </c>
      <c r="D543" t="s">
        <v>847</v>
      </c>
      <c r="E543" t="s">
        <v>1169</v>
      </c>
      <c r="Q543">
        <v>15</v>
      </c>
      <c r="R543" t="s">
        <v>888</v>
      </c>
      <c r="S543" t="s">
        <v>1209</v>
      </c>
    </row>
    <row r="544" spans="1:19" customFormat="1">
      <c r="A544" t="s">
        <v>370</v>
      </c>
      <c r="B544" t="s">
        <v>1170</v>
      </c>
      <c r="C544">
        <v>14</v>
      </c>
      <c r="D544" t="s">
        <v>847</v>
      </c>
      <c r="E544" t="s">
        <v>899</v>
      </c>
      <c r="Q544">
        <v>15</v>
      </c>
      <c r="R544" t="s">
        <v>888</v>
      </c>
      <c r="S544" t="s">
        <v>992</v>
      </c>
    </row>
    <row r="545" spans="1:19" customFormat="1">
      <c r="A545" t="s">
        <v>370</v>
      </c>
      <c r="B545" t="s">
        <v>1171</v>
      </c>
      <c r="C545">
        <v>14</v>
      </c>
      <c r="D545" t="s">
        <v>847</v>
      </c>
      <c r="E545" t="s">
        <v>1172</v>
      </c>
      <c r="Q545">
        <v>16</v>
      </c>
      <c r="R545" t="s">
        <v>888</v>
      </c>
      <c r="S545" t="s">
        <v>992</v>
      </c>
    </row>
    <row r="546" spans="1:19" customFormat="1">
      <c r="A546" t="s">
        <v>370</v>
      </c>
      <c r="B546" t="s">
        <v>1173</v>
      </c>
      <c r="C546">
        <v>14</v>
      </c>
      <c r="D546" t="s">
        <v>847</v>
      </c>
      <c r="E546" t="s">
        <v>1174</v>
      </c>
      <c r="Q546">
        <v>16</v>
      </c>
      <c r="R546" t="s">
        <v>888</v>
      </c>
      <c r="S546" t="s">
        <v>1634</v>
      </c>
    </row>
    <row r="547" spans="1:19" customFormat="1">
      <c r="A547" t="s">
        <v>370</v>
      </c>
      <c r="B547" t="s">
        <v>1175</v>
      </c>
      <c r="C547">
        <v>14</v>
      </c>
      <c r="D547" t="s">
        <v>847</v>
      </c>
      <c r="E547" t="s">
        <v>1176</v>
      </c>
      <c r="Q547">
        <v>16</v>
      </c>
      <c r="R547" t="s">
        <v>888</v>
      </c>
      <c r="S547" t="s">
        <v>1268</v>
      </c>
    </row>
    <row r="548" spans="1:19" customFormat="1">
      <c r="A548" t="s">
        <v>370</v>
      </c>
      <c r="B548" t="s">
        <v>1177</v>
      </c>
      <c r="C548">
        <v>14</v>
      </c>
      <c r="D548" t="s">
        <v>847</v>
      </c>
      <c r="E548" t="s">
        <v>1162</v>
      </c>
      <c r="Q548">
        <v>16</v>
      </c>
      <c r="R548" t="s">
        <v>888</v>
      </c>
      <c r="S548" t="s">
        <v>1635</v>
      </c>
    </row>
    <row r="549" spans="1:19" customFormat="1">
      <c r="A549" t="s">
        <v>370</v>
      </c>
      <c r="B549" t="s">
        <v>1178</v>
      </c>
      <c r="C549">
        <v>14</v>
      </c>
      <c r="D549" t="s">
        <v>847</v>
      </c>
      <c r="E549" t="s">
        <v>1179</v>
      </c>
      <c r="Q549">
        <v>16</v>
      </c>
      <c r="R549" t="s">
        <v>888</v>
      </c>
      <c r="S549" t="s">
        <v>1202</v>
      </c>
    </row>
    <row r="550" spans="1:19" customFormat="1">
      <c r="A550" t="s">
        <v>370</v>
      </c>
      <c r="B550" t="s">
        <v>1180</v>
      </c>
      <c r="C550">
        <v>14</v>
      </c>
      <c r="D550" t="s">
        <v>847</v>
      </c>
      <c r="E550" t="s">
        <v>1181</v>
      </c>
      <c r="Q550">
        <v>16</v>
      </c>
      <c r="R550" t="s">
        <v>888</v>
      </c>
      <c r="S550" t="s">
        <v>1174</v>
      </c>
    </row>
    <row r="551" spans="1:19" customFormat="1">
      <c r="A551" t="s">
        <v>370</v>
      </c>
      <c r="B551" t="s">
        <v>1182</v>
      </c>
      <c r="C551">
        <v>14</v>
      </c>
      <c r="D551" t="s">
        <v>888</v>
      </c>
      <c r="E551" t="s">
        <v>1181</v>
      </c>
      <c r="Q551">
        <v>16</v>
      </c>
      <c r="R551" t="s">
        <v>888</v>
      </c>
      <c r="S551" t="s">
        <v>1636</v>
      </c>
    </row>
    <row r="552" spans="1:19" customFormat="1">
      <c r="A552" t="s">
        <v>370</v>
      </c>
      <c r="B552" t="s">
        <v>1183</v>
      </c>
      <c r="C552">
        <v>14</v>
      </c>
      <c r="D552" t="s">
        <v>847</v>
      </c>
      <c r="E552" t="s">
        <v>1143</v>
      </c>
      <c r="Q552">
        <v>16</v>
      </c>
      <c r="R552" t="s">
        <v>888</v>
      </c>
      <c r="S552" t="s">
        <v>1637</v>
      </c>
    </row>
    <row r="553" spans="1:19" customFormat="1">
      <c r="A553" t="s">
        <v>370</v>
      </c>
      <c r="B553" t="s">
        <v>1184</v>
      </c>
      <c r="C553">
        <v>15</v>
      </c>
      <c r="D553" t="s">
        <v>888</v>
      </c>
      <c r="E553" t="s">
        <v>1162</v>
      </c>
      <c r="Q553">
        <v>16</v>
      </c>
      <c r="R553" t="s">
        <v>888</v>
      </c>
      <c r="S553" t="s">
        <v>1126</v>
      </c>
    </row>
    <row r="554" spans="1:19" customFormat="1">
      <c r="A554" t="s">
        <v>370</v>
      </c>
      <c r="B554" t="s">
        <v>1185</v>
      </c>
      <c r="C554">
        <v>15</v>
      </c>
      <c r="D554" t="s">
        <v>847</v>
      </c>
      <c r="E554" t="s">
        <v>1186</v>
      </c>
      <c r="Q554">
        <v>16</v>
      </c>
      <c r="R554" t="s">
        <v>888</v>
      </c>
      <c r="S554" t="s">
        <v>1263</v>
      </c>
    </row>
    <row r="555" spans="1:19" customFormat="1">
      <c r="A555" t="s">
        <v>370</v>
      </c>
      <c r="B555" t="s">
        <v>1187</v>
      </c>
      <c r="C555">
        <v>15</v>
      </c>
      <c r="D555" t="s">
        <v>847</v>
      </c>
      <c r="E555" t="s">
        <v>969</v>
      </c>
      <c r="Q555">
        <v>16</v>
      </c>
      <c r="R555" t="s">
        <v>888</v>
      </c>
      <c r="S555" t="s">
        <v>1638</v>
      </c>
    </row>
    <row r="556" spans="1:19" customFormat="1">
      <c r="A556" t="s">
        <v>370</v>
      </c>
      <c r="B556" t="s">
        <v>1188</v>
      </c>
      <c r="C556">
        <v>15</v>
      </c>
      <c r="D556" t="s">
        <v>847</v>
      </c>
      <c r="E556" t="s">
        <v>1189</v>
      </c>
      <c r="Q556">
        <v>16</v>
      </c>
      <c r="R556" t="s">
        <v>888</v>
      </c>
      <c r="S556" t="s">
        <v>1639</v>
      </c>
    </row>
    <row r="557" spans="1:19" customFormat="1">
      <c r="A557" t="s">
        <v>370</v>
      </c>
      <c r="B557" t="s">
        <v>1190</v>
      </c>
      <c r="C557">
        <v>15</v>
      </c>
      <c r="D557" t="s">
        <v>847</v>
      </c>
      <c r="E557" t="s">
        <v>1191</v>
      </c>
      <c r="Q557">
        <v>16</v>
      </c>
      <c r="R557" t="s">
        <v>888</v>
      </c>
      <c r="S557" t="s">
        <v>919</v>
      </c>
    </row>
    <row r="558" spans="1:19" customFormat="1">
      <c r="A558" t="s">
        <v>370</v>
      </c>
      <c r="B558" t="s">
        <v>1192</v>
      </c>
      <c r="C558">
        <v>15</v>
      </c>
      <c r="D558" t="s">
        <v>847</v>
      </c>
      <c r="E558" t="s">
        <v>1193</v>
      </c>
      <c r="Q558">
        <v>16</v>
      </c>
      <c r="R558" t="s">
        <v>888</v>
      </c>
      <c r="S558" t="s">
        <v>1220</v>
      </c>
    </row>
    <row r="559" spans="1:19" customFormat="1">
      <c r="A559" t="s">
        <v>370</v>
      </c>
      <c r="B559" t="s">
        <v>1194</v>
      </c>
      <c r="C559">
        <v>15</v>
      </c>
      <c r="D559" t="s">
        <v>847</v>
      </c>
      <c r="E559" t="s">
        <v>1195</v>
      </c>
      <c r="Q559">
        <v>17</v>
      </c>
      <c r="R559" t="s">
        <v>888</v>
      </c>
      <c r="S559" t="s">
        <v>969</v>
      </c>
    </row>
    <row r="560" spans="1:19" customFormat="1">
      <c r="A560" t="s">
        <v>370</v>
      </c>
      <c r="B560" t="s">
        <v>1196</v>
      </c>
      <c r="C560">
        <v>15</v>
      </c>
      <c r="D560" t="s">
        <v>847</v>
      </c>
      <c r="E560" t="s">
        <v>1176</v>
      </c>
      <c r="Q560">
        <v>17</v>
      </c>
      <c r="R560" t="s">
        <v>888</v>
      </c>
      <c r="S560" t="s">
        <v>1640</v>
      </c>
    </row>
    <row r="561" spans="1:19" customFormat="1">
      <c r="A561" t="s">
        <v>370</v>
      </c>
      <c r="B561" t="s">
        <v>1197</v>
      </c>
      <c r="C561">
        <v>15</v>
      </c>
      <c r="D561" t="s">
        <v>847</v>
      </c>
      <c r="E561" t="s">
        <v>1198</v>
      </c>
      <c r="Q561">
        <v>17</v>
      </c>
      <c r="R561" t="s">
        <v>888</v>
      </c>
      <c r="S561" t="s">
        <v>1278</v>
      </c>
    </row>
    <row r="562" spans="1:19" customFormat="1">
      <c r="A562" t="s">
        <v>370</v>
      </c>
      <c r="B562" t="s">
        <v>1199</v>
      </c>
      <c r="C562">
        <v>15</v>
      </c>
      <c r="D562" t="s">
        <v>847</v>
      </c>
      <c r="E562" t="s">
        <v>1200</v>
      </c>
      <c r="Q562">
        <v>17</v>
      </c>
      <c r="R562" t="s">
        <v>888</v>
      </c>
      <c r="S562" t="s">
        <v>1641</v>
      </c>
    </row>
    <row r="563" spans="1:19" customFormat="1">
      <c r="A563" t="s">
        <v>370</v>
      </c>
      <c r="B563" t="s">
        <v>1201</v>
      </c>
      <c r="C563">
        <v>15</v>
      </c>
      <c r="D563" t="s">
        <v>847</v>
      </c>
      <c r="E563" t="s">
        <v>1202</v>
      </c>
      <c r="Q563">
        <v>17</v>
      </c>
      <c r="R563" t="s">
        <v>888</v>
      </c>
      <c r="S563" t="s">
        <v>1179</v>
      </c>
    </row>
    <row r="564" spans="1:19" customFormat="1">
      <c r="A564" t="s">
        <v>370</v>
      </c>
      <c r="B564" t="s">
        <v>1203</v>
      </c>
      <c r="C564">
        <v>15</v>
      </c>
      <c r="D564" t="s">
        <v>847</v>
      </c>
      <c r="E564" t="s">
        <v>1204</v>
      </c>
      <c r="Q564">
        <v>17</v>
      </c>
      <c r="R564" t="s">
        <v>888</v>
      </c>
      <c r="S564" t="s">
        <v>899</v>
      </c>
    </row>
    <row r="565" spans="1:19" customFormat="1">
      <c r="A565" t="s">
        <v>370</v>
      </c>
      <c r="B565" t="s">
        <v>1205</v>
      </c>
      <c r="C565">
        <v>15</v>
      </c>
      <c r="D565" t="s">
        <v>847</v>
      </c>
      <c r="E565" t="s">
        <v>899</v>
      </c>
      <c r="Q565">
        <v>17</v>
      </c>
      <c r="R565" t="s">
        <v>888</v>
      </c>
      <c r="S565" t="s">
        <v>1234</v>
      </c>
    </row>
    <row r="566" spans="1:19" customFormat="1">
      <c r="A566" t="s">
        <v>370</v>
      </c>
      <c r="B566" t="s">
        <v>1206</v>
      </c>
      <c r="C566">
        <v>15</v>
      </c>
      <c r="D566" t="s">
        <v>847</v>
      </c>
      <c r="E566" t="s">
        <v>1207</v>
      </c>
      <c r="Q566">
        <v>17</v>
      </c>
      <c r="R566" t="s">
        <v>888</v>
      </c>
      <c r="S566" t="s">
        <v>1232</v>
      </c>
    </row>
    <row r="567" spans="1:19" customFormat="1">
      <c r="A567" t="s">
        <v>370</v>
      </c>
      <c r="B567" t="s">
        <v>1208</v>
      </c>
      <c r="C567">
        <v>16</v>
      </c>
      <c r="D567" t="s">
        <v>847</v>
      </c>
      <c r="E567" t="s">
        <v>1209</v>
      </c>
      <c r="Q567">
        <v>17</v>
      </c>
      <c r="R567" t="s">
        <v>888</v>
      </c>
      <c r="S567" t="s">
        <v>1641</v>
      </c>
    </row>
    <row r="568" spans="1:19" customFormat="1">
      <c r="A568" t="s">
        <v>370</v>
      </c>
      <c r="B568" t="s">
        <v>1210</v>
      </c>
      <c r="C568">
        <v>16</v>
      </c>
      <c r="D568" t="s">
        <v>888</v>
      </c>
      <c r="E568" t="s">
        <v>1211</v>
      </c>
      <c r="Q568">
        <v>17</v>
      </c>
      <c r="R568" t="s">
        <v>888</v>
      </c>
      <c r="S568" t="s">
        <v>1234</v>
      </c>
    </row>
    <row r="569" spans="1:19" customFormat="1">
      <c r="A569" t="s">
        <v>370</v>
      </c>
      <c r="B569" t="s">
        <v>1212</v>
      </c>
      <c r="C569">
        <v>16</v>
      </c>
      <c r="D569" t="s">
        <v>847</v>
      </c>
      <c r="E569" t="s">
        <v>972</v>
      </c>
      <c r="Q569">
        <v>17</v>
      </c>
      <c r="R569" t="s">
        <v>888</v>
      </c>
      <c r="S569" t="s">
        <v>1642</v>
      </c>
    </row>
    <row r="570" spans="1:19" customFormat="1">
      <c r="A570" t="s">
        <v>370</v>
      </c>
      <c r="B570" t="s">
        <v>1213</v>
      </c>
      <c r="C570">
        <v>16</v>
      </c>
      <c r="D570" t="s">
        <v>847</v>
      </c>
      <c r="E570" t="s">
        <v>1214</v>
      </c>
      <c r="Q570">
        <v>17</v>
      </c>
      <c r="R570" t="s">
        <v>888</v>
      </c>
      <c r="S570" t="s">
        <v>901</v>
      </c>
    </row>
    <row r="571" spans="1:19" customFormat="1">
      <c r="A571" t="s">
        <v>370</v>
      </c>
      <c r="B571" t="s">
        <v>1215</v>
      </c>
      <c r="C571">
        <v>16</v>
      </c>
      <c r="D571" t="s">
        <v>847</v>
      </c>
      <c r="E571" t="s">
        <v>1216</v>
      </c>
      <c r="Q571">
        <v>17</v>
      </c>
      <c r="R571" t="s">
        <v>888</v>
      </c>
      <c r="S571" t="s">
        <v>1592</v>
      </c>
    </row>
    <row r="572" spans="1:19" customFormat="1">
      <c r="A572" t="s">
        <v>370</v>
      </c>
      <c r="B572" t="s">
        <v>1217</v>
      </c>
      <c r="C572">
        <v>16</v>
      </c>
      <c r="D572" t="s">
        <v>847</v>
      </c>
      <c r="E572" t="s">
        <v>1218</v>
      </c>
      <c r="Q572">
        <v>17</v>
      </c>
      <c r="R572" t="s">
        <v>888</v>
      </c>
      <c r="S572" t="s">
        <v>1270</v>
      </c>
    </row>
    <row r="573" spans="1:19" customFormat="1">
      <c r="A573" t="s">
        <v>370</v>
      </c>
      <c r="B573" t="s">
        <v>1219</v>
      </c>
      <c r="C573">
        <v>16</v>
      </c>
      <c r="D573" t="s">
        <v>888</v>
      </c>
      <c r="E573" t="s">
        <v>1220</v>
      </c>
      <c r="Q573">
        <v>18</v>
      </c>
      <c r="R573" t="s">
        <v>888</v>
      </c>
      <c r="S573" t="s">
        <v>1589</v>
      </c>
    </row>
    <row r="574" spans="1:19" customFormat="1">
      <c r="A574" t="s">
        <v>370</v>
      </c>
      <c r="B574" t="s">
        <v>1221</v>
      </c>
      <c r="C574">
        <v>16</v>
      </c>
      <c r="D574" t="s">
        <v>888</v>
      </c>
      <c r="E574" t="s">
        <v>1222</v>
      </c>
      <c r="Q574">
        <v>18</v>
      </c>
      <c r="R574" t="s">
        <v>888</v>
      </c>
      <c r="S574" t="s">
        <v>1643</v>
      </c>
    </row>
    <row r="575" spans="1:19" customFormat="1">
      <c r="A575" t="s">
        <v>370</v>
      </c>
      <c r="B575" t="s">
        <v>1223</v>
      </c>
      <c r="C575">
        <v>16</v>
      </c>
      <c r="D575" t="s">
        <v>847</v>
      </c>
      <c r="E575" t="s">
        <v>1224</v>
      </c>
      <c r="Q575">
        <v>18</v>
      </c>
      <c r="R575" t="s">
        <v>888</v>
      </c>
      <c r="S575" t="s">
        <v>1588</v>
      </c>
    </row>
    <row r="576" spans="1:19" customFormat="1">
      <c r="A576" t="s">
        <v>370</v>
      </c>
      <c r="B576" t="s">
        <v>1225</v>
      </c>
      <c r="C576">
        <v>16</v>
      </c>
      <c r="D576" t="s">
        <v>888</v>
      </c>
      <c r="E576" t="s">
        <v>1226</v>
      </c>
      <c r="Q576">
        <v>18</v>
      </c>
      <c r="R576" t="s">
        <v>888</v>
      </c>
      <c r="S576" t="s">
        <v>1644</v>
      </c>
    </row>
    <row r="577" spans="1:19" customFormat="1">
      <c r="A577" t="s">
        <v>370</v>
      </c>
      <c r="B577" t="s">
        <v>1227</v>
      </c>
      <c r="C577">
        <v>16</v>
      </c>
      <c r="D577" t="s">
        <v>847</v>
      </c>
      <c r="E577" t="s">
        <v>1165</v>
      </c>
      <c r="Q577">
        <v>18</v>
      </c>
      <c r="R577" t="s">
        <v>888</v>
      </c>
      <c r="S577" t="s">
        <v>981</v>
      </c>
    </row>
    <row r="578" spans="1:19" customFormat="1">
      <c r="A578" t="s">
        <v>370</v>
      </c>
      <c r="B578" t="s">
        <v>1228</v>
      </c>
      <c r="C578">
        <v>16</v>
      </c>
      <c r="D578" t="s">
        <v>847</v>
      </c>
      <c r="E578" t="s">
        <v>895</v>
      </c>
      <c r="Q578">
        <v>18</v>
      </c>
      <c r="R578" t="s">
        <v>888</v>
      </c>
      <c r="S578" t="s">
        <v>979</v>
      </c>
    </row>
    <row r="579" spans="1:19" customFormat="1">
      <c r="A579" t="s">
        <v>370</v>
      </c>
      <c r="B579" t="s">
        <v>1229</v>
      </c>
      <c r="C579">
        <v>16</v>
      </c>
      <c r="D579" t="s">
        <v>888</v>
      </c>
      <c r="E579" t="s">
        <v>960</v>
      </c>
      <c r="Q579">
        <v>18</v>
      </c>
      <c r="R579" t="s">
        <v>888</v>
      </c>
      <c r="S579" t="s">
        <v>1595</v>
      </c>
    </row>
    <row r="580" spans="1:19" customFormat="1">
      <c r="A580" t="s">
        <v>370</v>
      </c>
      <c r="B580" t="s">
        <v>1230</v>
      </c>
      <c r="C580">
        <v>16</v>
      </c>
      <c r="D580" t="s">
        <v>847</v>
      </c>
      <c r="E580" t="s">
        <v>1220</v>
      </c>
      <c r="Q580">
        <v>18</v>
      </c>
      <c r="R580" t="s">
        <v>888</v>
      </c>
      <c r="S580" t="s">
        <v>1645</v>
      </c>
    </row>
    <row r="581" spans="1:19" customFormat="1">
      <c r="A581" t="s">
        <v>370</v>
      </c>
      <c r="B581" t="s">
        <v>1231</v>
      </c>
      <c r="C581">
        <v>17</v>
      </c>
      <c r="D581" t="s">
        <v>888</v>
      </c>
      <c r="E581" t="s">
        <v>1232</v>
      </c>
      <c r="Q581">
        <v>18</v>
      </c>
      <c r="R581" t="s">
        <v>888</v>
      </c>
      <c r="S581" t="s">
        <v>945</v>
      </c>
    </row>
    <row r="582" spans="1:19" customFormat="1">
      <c r="A582" t="s">
        <v>370</v>
      </c>
      <c r="B582" t="s">
        <v>1233</v>
      </c>
      <c r="C582">
        <v>17</v>
      </c>
      <c r="D582" t="s">
        <v>847</v>
      </c>
      <c r="E582" t="s">
        <v>1234</v>
      </c>
      <c r="Q582">
        <v>18</v>
      </c>
      <c r="R582" t="s">
        <v>888</v>
      </c>
      <c r="S582" t="s">
        <v>1646</v>
      </c>
    </row>
    <row r="583" spans="1:19" customFormat="1">
      <c r="A583" t="s">
        <v>370</v>
      </c>
      <c r="B583" t="s">
        <v>1235</v>
      </c>
      <c r="C583">
        <v>17</v>
      </c>
      <c r="D583" t="s">
        <v>888</v>
      </c>
      <c r="E583" t="s">
        <v>1139</v>
      </c>
      <c r="Q583">
        <v>18</v>
      </c>
      <c r="R583" t="s">
        <v>888</v>
      </c>
      <c r="S583" t="s">
        <v>1592</v>
      </c>
    </row>
    <row r="584" spans="1:19" customFormat="1">
      <c r="A584" t="s">
        <v>370</v>
      </c>
      <c r="B584" t="s">
        <v>1236</v>
      </c>
      <c r="C584">
        <v>17</v>
      </c>
      <c r="D584" t="s">
        <v>888</v>
      </c>
      <c r="E584" t="s">
        <v>1237</v>
      </c>
      <c r="Q584">
        <v>18</v>
      </c>
      <c r="R584" t="s">
        <v>888</v>
      </c>
      <c r="S584" t="s">
        <v>1037</v>
      </c>
    </row>
    <row r="585" spans="1:19" customFormat="1">
      <c r="A585" t="s">
        <v>370</v>
      </c>
      <c r="B585" t="s">
        <v>1238</v>
      </c>
      <c r="C585">
        <v>17</v>
      </c>
      <c r="D585" t="s">
        <v>888</v>
      </c>
      <c r="E585" t="s">
        <v>998</v>
      </c>
      <c r="Q585">
        <v>18</v>
      </c>
      <c r="R585" t="s">
        <v>888</v>
      </c>
      <c r="S585" t="s">
        <v>1606</v>
      </c>
    </row>
    <row r="586" spans="1:19" customFormat="1">
      <c r="A586" t="s">
        <v>370</v>
      </c>
      <c r="B586" t="s">
        <v>1239</v>
      </c>
      <c r="C586">
        <v>17</v>
      </c>
      <c r="D586" t="s">
        <v>847</v>
      </c>
      <c r="E586" t="s">
        <v>1240</v>
      </c>
      <c r="Q586">
        <v>18</v>
      </c>
      <c r="R586" t="s">
        <v>888</v>
      </c>
      <c r="S586" t="s">
        <v>1124</v>
      </c>
    </row>
    <row r="587" spans="1:19" customFormat="1">
      <c r="A587" t="s">
        <v>370</v>
      </c>
      <c r="B587" t="s">
        <v>1241</v>
      </c>
      <c r="C587">
        <v>17</v>
      </c>
      <c r="D587" t="s">
        <v>847</v>
      </c>
      <c r="E587" t="s">
        <v>1242</v>
      </c>
      <c r="Q587">
        <v>19</v>
      </c>
      <c r="R587" t="s">
        <v>888</v>
      </c>
      <c r="S587" t="s">
        <v>1593</v>
      </c>
    </row>
    <row r="588" spans="1:19" customFormat="1">
      <c r="A588" t="s">
        <v>370</v>
      </c>
      <c r="B588" t="s">
        <v>1243</v>
      </c>
      <c r="C588">
        <v>17</v>
      </c>
      <c r="D588" t="s">
        <v>847</v>
      </c>
      <c r="E588" t="s">
        <v>1198</v>
      </c>
      <c r="Q588">
        <v>19</v>
      </c>
      <c r="R588" t="s">
        <v>888</v>
      </c>
      <c r="S588" t="s">
        <v>856</v>
      </c>
    </row>
    <row r="589" spans="1:19" customFormat="1">
      <c r="A589" t="s">
        <v>370</v>
      </c>
      <c r="B589" t="s">
        <v>1244</v>
      </c>
      <c r="C589">
        <v>17</v>
      </c>
      <c r="D589" t="s">
        <v>847</v>
      </c>
      <c r="E589" t="s">
        <v>1245</v>
      </c>
      <c r="Q589">
        <v>19</v>
      </c>
      <c r="R589" t="s">
        <v>888</v>
      </c>
      <c r="S589" t="s">
        <v>1209</v>
      </c>
    </row>
    <row r="590" spans="1:19" customFormat="1">
      <c r="A590" t="s">
        <v>370</v>
      </c>
      <c r="B590" t="s">
        <v>1246</v>
      </c>
      <c r="C590">
        <v>17</v>
      </c>
      <c r="D590" t="s">
        <v>847</v>
      </c>
      <c r="E590" t="s">
        <v>1247</v>
      </c>
      <c r="Q590">
        <v>19</v>
      </c>
      <c r="R590" t="s">
        <v>888</v>
      </c>
      <c r="S590" t="s">
        <v>856</v>
      </c>
    </row>
    <row r="591" spans="1:19" customFormat="1">
      <c r="A591" t="s">
        <v>370</v>
      </c>
      <c r="B591" t="s">
        <v>1248</v>
      </c>
      <c r="C591">
        <v>17</v>
      </c>
      <c r="D591" t="s">
        <v>847</v>
      </c>
      <c r="E591" t="s">
        <v>885</v>
      </c>
      <c r="Q591">
        <v>19</v>
      </c>
      <c r="R591" t="s">
        <v>888</v>
      </c>
      <c r="S591" t="s">
        <v>1056</v>
      </c>
    </row>
    <row r="592" spans="1:19" customFormat="1">
      <c r="A592" t="s">
        <v>370</v>
      </c>
      <c r="B592" t="s">
        <v>1249</v>
      </c>
      <c r="C592">
        <v>17</v>
      </c>
      <c r="D592" t="s">
        <v>847</v>
      </c>
      <c r="E592" t="s">
        <v>1056</v>
      </c>
      <c r="Q592">
        <v>19</v>
      </c>
      <c r="R592" t="s">
        <v>888</v>
      </c>
      <c r="S592" t="s">
        <v>1124</v>
      </c>
    </row>
    <row r="593" spans="1:19" customFormat="1">
      <c r="A593" t="s">
        <v>370</v>
      </c>
      <c r="B593" t="s">
        <v>1250</v>
      </c>
      <c r="C593">
        <v>17</v>
      </c>
      <c r="D593" t="s">
        <v>847</v>
      </c>
      <c r="E593" t="s">
        <v>1251</v>
      </c>
      <c r="Q593">
        <v>19</v>
      </c>
      <c r="R593" t="s">
        <v>888</v>
      </c>
      <c r="S593" t="s">
        <v>1594</v>
      </c>
    </row>
    <row r="594" spans="1:19" customFormat="1">
      <c r="A594" t="s">
        <v>370</v>
      </c>
      <c r="B594" t="s">
        <v>1252</v>
      </c>
      <c r="C594">
        <v>17</v>
      </c>
      <c r="D594" t="s">
        <v>847</v>
      </c>
      <c r="E594" t="s">
        <v>1130</v>
      </c>
      <c r="Q594">
        <v>19</v>
      </c>
      <c r="R594" t="s">
        <v>888</v>
      </c>
      <c r="S594" t="s">
        <v>871</v>
      </c>
    </row>
    <row r="595" spans="1:19" customFormat="1">
      <c r="A595" t="s">
        <v>370</v>
      </c>
      <c r="B595" t="s">
        <v>1253</v>
      </c>
      <c r="C595">
        <v>18</v>
      </c>
      <c r="D595" t="s">
        <v>888</v>
      </c>
      <c r="E595" t="s">
        <v>1211</v>
      </c>
      <c r="Q595">
        <v>19</v>
      </c>
      <c r="R595" t="s">
        <v>888</v>
      </c>
      <c r="S595" t="s">
        <v>1270</v>
      </c>
    </row>
    <row r="596" spans="1:19" customFormat="1">
      <c r="A596" t="s">
        <v>370</v>
      </c>
      <c r="B596" t="s">
        <v>1254</v>
      </c>
      <c r="C596">
        <v>18</v>
      </c>
      <c r="D596" t="s">
        <v>847</v>
      </c>
      <c r="E596" t="s">
        <v>1255</v>
      </c>
      <c r="Q596">
        <v>19</v>
      </c>
      <c r="R596" t="s">
        <v>847</v>
      </c>
      <c r="S596" t="s">
        <v>1167</v>
      </c>
    </row>
    <row r="597" spans="1:19" customFormat="1">
      <c r="A597" t="s">
        <v>370</v>
      </c>
      <c r="B597" t="s">
        <v>1256</v>
      </c>
      <c r="C597">
        <v>18</v>
      </c>
      <c r="D597" t="s">
        <v>847</v>
      </c>
      <c r="E597" t="s">
        <v>1257</v>
      </c>
      <c r="Q597">
        <v>19</v>
      </c>
      <c r="R597" t="s">
        <v>847</v>
      </c>
      <c r="S597" t="s">
        <v>1242</v>
      </c>
    </row>
    <row r="598" spans="1:19" customFormat="1">
      <c r="A598" t="s">
        <v>370</v>
      </c>
      <c r="B598" t="s">
        <v>1258</v>
      </c>
      <c r="C598">
        <v>18</v>
      </c>
      <c r="D598" t="s">
        <v>847</v>
      </c>
      <c r="E598" t="s">
        <v>1259</v>
      </c>
      <c r="Q598">
        <v>19</v>
      </c>
      <c r="R598" t="s">
        <v>847</v>
      </c>
      <c r="S598" t="s">
        <v>1242</v>
      </c>
    </row>
    <row r="599" spans="1:19" customFormat="1">
      <c r="A599" t="s">
        <v>370</v>
      </c>
      <c r="B599" t="s">
        <v>1260</v>
      </c>
      <c r="C599">
        <v>18</v>
      </c>
      <c r="D599" t="s">
        <v>847</v>
      </c>
      <c r="E599" t="s">
        <v>1261</v>
      </c>
      <c r="Q599">
        <v>19</v>
      </c>
      <c r="R599" t="s">
        <v>847</v>
      </c>
      <c r="S599" t="s">
        <v>994</v>
      </c>
    </row>
    <row r="600" spans="1:19" customFormat="1">
      <c r="A600" t="s">
        <v>370</v>
      </c>
      <c r="B600" t="s">
        <v>1262</v>
      </c>
      <c r="C600">
        <v>18</v>
      </c>
      <c r="D600" t="s">
        <v>847</v>
      </c>
      <c r="E600" t="s">
        <v>1263</v>
      </c>
      <c r="Q600">
        <v>19</v>
      </c>
      <c r="R600" t="s">
        <v>888</v>
      </c>
      <c r="S600" t="s">
        <v>1647</v>
      </c>
    </row>
    <row r="601" spans="1:19" customFormat="1">
      <c r="A601" t="s">
        <v>370</v>
      </c>
      <c r="B601" t="s">
        <v>1264</v>
      </c>
      <c r="C601">
        <v>18</v>
      </c>
      <c r="D601" t="s">
        <v>847</v>
      </c>
      <c r="E601" t="s">
        <v>990</v>
      </c>
      <c r="Q601">
        <v>20</v>
      </c>
      <c r="R601" t="s">
        <v>888</v>
      </c>
      <c r="S601" t="s">
        <v>1242</v>
      </c>
    </row>
    <row r="602" spans="1:19" customFormat="1">
      <c r="A602" t="s">
        <v>370</v>
      </c>
      <c r="B602" t="s">
        <v>1265</v>
      </c>
      <c r="C602">
        <v>18</v>
      </c>
      <c r="D602" t="s">
        <v>847</v>
      </c>
      <c r="E602" t="s">
        <v>1266</v>
      </c>
      <c r="Q602">
        <v>20</v>
      </c>
      <c r="R602" t="s">
        <v>847</v>
      </c>
      <c r="S602" t="s">
        <v>994</v>
      </c>
    </row>
    <row r="603" spans="1:19" customFormat="1">
      <c r="A603" t="s">
        <v>370</v>
      </c>
      <c r="B603" t="s">
        <v>1267</v>
      </c>
      <c r="C603">
        <v>18</v>
      </c>
      <c r="D603" t="s">
        <v>847</v>
      </c>
      <c r="E603" t="s">
        <v>1268</v>
      </c>
      <c r="Q603">
        <v>20</v>
      </c>
      <c r="R603" t="s">
        <v>888</v>
      </c>
      <c r="S603" t="s">
        <v>988</v>
      </c>
    </row>
    <row r="604" spans="1:19" customFormat="1">
      <c r="A604" t="s">
        <v>370</v>
      </c>
      <c r="B604" t="s">
        <v>1269</v>
      </c>
      <c r="C604">
        <v>18</v>
      </c>
      <c r="D604" t="s">
        <v>847</v>
      </c>
      <c r="E604" t="s">
        <v>1270</v>
      </c>
      <c r="Q604">
        <v>20</v>
      </c>
      <c r="R604" t="s">
        <v>847</v>
      </c>
      <c r="S604" t="s">
        <v>1642</v>
      </c>
    </row>
    <row r="605" spans="1:19" customFormat="1">
      <c r="A605" t="s">
        <v>370</v>
      </c>
      <c r="B605" t="s">
        <v>1271</v>
      </c>
      <c r="C605">
        <v>18</v>
      </c>
      <c r="D605" t="s">
        <v>847</v>
      </c>
      <c r="E605" t="s">
        <v>1257</v>
      </c>
      <c r="Q605">
        <v>20</v>
      </c>
      <c r="R605" t="s">
        <v>888</v>
      </c>
      <c r="S605" t="s">
        <v>1631</v>
      </c>
    </row>
    <row r="606" spans="1:19" customFormat="1">
      <c r="A606" t="s">
        <v>370</v>
      </c>
      <c r="B606" t="s">
        <v>1272</v>
      </c>
      <c r="C606">
        <v>18</v>
      </c>
      <c r="D606" t="s">
        <v>847</v>
      </c>
      <c r="E606" t="s">
        <v>1174</v>
      </c>
      <c r="Q606">
        <v>20</v>
      </c>
      <c r="R606" t="s">
        <v>888</v>
      </c>
      <c r="S606" t="s">
        <v>1167</v>
      </c>
    </row>
    <row r="607" spans="1:19" customFormat="1">
      <c r="A607" t="s">
        <v>370</v>
      </c>
      <c r="B607" t="s">
        <v>1273</v>
      </c>
      <c r="C607">
        <v>18</v>
      </c>
      <c r="D607" t="s">
        <v>847</v>
      </c>
      <c r="E607" t="s">
        <v>969</v>
      </c>
      <c r="Q607">
        <v>20</v>
      </c>
      <c r="R607" t="s">
        <v>888</v>
      </c>
      <c r="S607" t="s">
        <v>1276</v>
      </c>
    </row>
    <row r="608" spans="1:19" customFormat="1">
      <c r="A608" t="s">
        <v>370</v>
      </c>
      <c r="B608" t="s">
        <v>1274</v>
      </c>
      <c r="C608">
        <v>18</v>
      </c>
      <c r="D608" t="s">
        <v>847</v>
      </c>
      <c r="E608" t="s">
        <v>1191</v>
      </c>
      <c r="Q608">
        <v>20</v>
      </c>
      <c r="R608" t="s">
        <v>888</v>
      </c>
      <c r="S608" t="s">
        <v>1207</v>
      </c>
    </row>
    <row r="609" spans="1:19" customFormat="1">
      <c r="A609" t="s">
        <v>370</v>
      </c>
      <c r="B609" t="s">
        <v>1275</v>
      </c>
      <c r="C609">
        <v>19</v>
      </c>
      <c r="D609" t="s">
        <v>847</v>
      </c>
      <c r="E609" t="s">
        <v>1276</v>
      </c>
      <c r="Q609">
        <v>20</v>
      </c>
      <c r="R609" t="s">
        <v>888</v>
      </c>
      <c r="S609" t="s">
        <v>1642</v>
      </c>
    </row>
    <row r="610" spans="1:19" customFormat="1">
      <c r="A610" t="s">
        <v>370</v>
      </c>
      <c r="B610" t="s">
        <v>1277</v>
      </c>
      <c r="C610">
        <v>19</v>
      </c>
      <c r="D610" t="s">
        <v>847</v>
      </c>
      <c r="E610" t="s">
        <v>1278</v>
      </c>
      <c r="Q610">
        <v>20</v>
      </c>
      <c r="R610" t="s">
        <v>888</v>
      </c>
      <c r="S610" t="s">
        <v>1595</v>
      </c>
    </row>
    <row r="611" spans="1:19" customFormat="1">
      <c r="A611" t="s">
        <v>370</v>
      </c>
      <c r="B611" t="s">
        <v>1279</v>
      </c>
      <c r="C611">
        <v>19</v>
      </c>
      <c r="D611" t="s">
        <v>847</v>
      </c>
      <c r="E611" t="s">
        <v>1276</v>
      </c>
      <c r="Q611">
        <v>20</v>
      </c>
      <c r="R611" t="s">
        <v>888</v>
      </c>
      <c r="S611" t="s">
        <v>1251</v>
      </c>
    </row>
    <row r="612" spans="1:19" customFormat="1">
      <c r="A612" t="s">
        <v>370</v>
      </c>
      <c r="B612" t="s">
        <v>1280</v>
      </c>
      <c r="C612">
        <v>19</v>
      </c>
      <c r="D612" t="s">
        <v>847</v>
      </c>
      <c r="E612" t="s">
        <v>1281</v>
      </c>
      <c r="Q612">
        <v>20</v>
      </c>
      <c r="R612" t="s">
        <v>888</v>
      </c>
      <c r="S612" t="s">
        <v>1580</v>
      </c>
    </row>
    <row r="613" spans="1:19" customFormat="1">
      <c r="A613" t="s">
        <v>370</v>
      </c>
      <c r="B613" t="s">
        <v>1282</v>
      </c>
      <c r="C613">
        <v>19</v>
      </c>
      <c r="D613" t="s">
        <v>847</v>
      </c>
      <c r="E613" t="s">
        <v>1257</v>
      </c>
      <c r="Q613">
        <v>20</v>
      </c>
      <c r="R613" t="s">
        <v>888</v>
      </c>
      <c r="S613" t="s">
        <v>1245</v>
      </c>
    </row>
    <row r="614" spans="1:19" customFormat="1">
      <c r="A614" t="s">
        <v>370</v>
      </c>
      <c r="B614" t="s">
        <v>1283</v>
      </c>
      <c r="C614">
        <v>19</v>
      </c>
      <c r="D614" t="s">
        <v>847</v>
      </c>
      <c r="E614" t="s">
        <v>885</v>
      </c>
      <c r="Q614">
        <v>20</v>
      </c>
      <c r="R614" t="s">
        <v>888</v>
      </c>
      <c r="S614" t="s">
        <v>1648</v>
      </c>
    </row>
    <row r="615" spans="1:19" customFormat="1">
      <c r="A615" t="s">
        <v>370</v>
      </c>
      <c r="B615" t="s">
        <v>1284</v>
      </c>
      <c r="C615">
        <v>19</v>
      </c>
      <c r="D615" t="s">
        <v>847</v>
      </c>
      <c r="E615" t="s">
        <v>1285</v>
      </c>
      <c r="Q615">
        <v>21</v>
      </c>
      <c r="R615" t="s">
        <v>888</v>
      </c>
      <c r="S615" t="s">
        <v>875</v>
      </c>
    </row>
    <row r="616" spans="1:19" customFormat="1">
      <c r="A616" t="s">
        <v>370</v>
      </c>
      <c r="B616" t="s">
        <v>1286</v>
      </c>
      <c r="C616">
        <v>19</v>
      </c>
      <c r="D616" t="s">
        <v>847</v>
      </c>
      <c r="E616" t="s">
        <v>875</v>
      </c>
      <c r="Q616">
        <v>21</v>
      </c>
      <c r="R616" t="s">
        <v>888</v>
      </c>
      <c r="S616" t="s">
        <v>1630</v>
      </c>
    </row>
    <row r="617" spans="1:19" customFormat="1">
      <c r="A617" t="s">
        <v>370</v>
      </c>
      <c r="B617" t="s">
        <v>1287</v>
      </c>
      <c r="C617">
        <v>19</v>
      </c>
      <c r="D617" t="s">
        <v>847</v>
      </c>
      <c r="E617" t="s">
        <v>1204</v>
      </c>
      <c r="Q617">
        <v>21</v>
      </c>
      <c r="R617" t="s">
        <v>888</v>
      </c>
      <c r="S617" t="s">
        <v>1251</v>
      </c>
    </row>
    <row r="618" spans="1:19" customFormat="1">
      <c r="A618" t="s">
        <v>370</v>
      </c>
      <c r="B618" t="s">
        <v>1288</v>
      </c>
      <c r="C618">
        <v>19</v>
      </c>
      <c r="D618" t="s">
        <v>847</v>
      </c>
      <c r="E618" t="s">
        <v>899</v>
      </c>
      <c r="Q618">
        <v>21</v>
      </c>
      <c r="R618" t="s">
        <v>888</v>
      </c>
      <c r="S618" t="s">
        <v>1649</v>
      </c>
    </row>
    <row r="619" spans="1:19" customFormat="1">
      <c r="A619" t="s">
        <v>370</v>
      </c>
      <c r="B619" t="s">
        <v>1289</v>
      </c>
      <c r="C619">
        <v>19</v>
      </c>
      <c r="D619" t="s">
        <v>847</v>
      </c>
      <c r="E619" t="s">
        <v>1290</v>
      </c>
      <c r="Q619">
        <v>21</v>
      </c>
      <c r="R619" t="s">
        <v>888</v>
      </c>
      <c r="S619" t="s">
        <v>1259</v>
      </c>
    </row>
    <row r="620" spans="1:19" customFormat="1">
      <c r="A620" t="s">
        <v>370</v>
      </c>
      <c r="B620" t="s">
        <v>1291</v>
      </c>
      <c r="C620">
        <v>19</v>
      </c>
      <c r="D620" t="s">
        <v>847</v>
      </c>
      <c r="E620" t="s">
        <v>969</v>
      </c>
      <c r="Q620">
        <v>21</v>
      </c>
      <c r="R620" t="s">
        <v>888</v>
      </c>
      <c r="S620" t="s">
        <v>875</v>
      </c>
    </row>
    <row r="621" spans="1:19" customFormat="1">
      <c r="A621" t="s">
        <v>370</v>
      </c>
      <c r="B621" t="s">
        <v>1292</v>
      </c>
      <c r="C621">
        <v>19</v>
      </c>
      <c r="D621" t="s">
        <v>847</v>
      </c>
      <c r="E621" t="s">
        <v>1293</v>
      </c>
      <c r="Q621">
        <v>21</v>
      </c>
      <c r="R621" t="s">
        <v>888</v>
      </c>
      <c r="S621" t="s">
        <v>1191</v>
      </c>
    </row>
    <row r="622" spans="1:19" customFormat="1">
      <c r="A622" t="s">
        <v>370</v>
      </c>
      <c r="B622" t="s">
        <v>1294</v>
      </c>
      <c r="C622">
        <v>19</v>
      </c>
      <c r="D622" t="s">
        <v>847</v>
      </c>
      <c r="E622" t="s">
        <v>1151</v>
      </c>
      <c r="Q622">
        <v>21</v>
      </c>
      <c r="R622" t="s">
        <v>847</v>
      </c>
      <c r="S622" t="s">
        <v>1268</v>
      </c>
    </row>
    <row r="623" spans="1:19" customFormat="1">
      <c r="A623" t="s">
        <v>370</v>
      </c>
      <c r="B623" t="s">
        <v>1295</v>
      </c>
      <c r="C623">
        <v>20</v>
      </c>
      <c r="D623" t="s">
        <v>847</v>
      </c>
      <c r="E623" t="s">
        <v>1263</v>
      </c>
      <c r="Q623">
        <v>21</v>
      </c>
      <c r="R623" t="s">
        <v>888</v>
      </c>
      <c r="S623" t="s">
        <v>1169</v>
      </c>
    </row>
    <row r="624" spans="1:19" customFormat="1">
      <c r="A624" t="s">
        <v>370</v>
      </c>
      <c r="B624" t="s">
        <v>1296</v>
      </c>
      <c r="C624">
        <v>20</v>
      </c>
      <c r="D624" t="s">
        <v>847</v>
      </c>
      <c r="E624" t="s">
        <v>1193</v>
      </c>
      <c r="Q624">
        <v>21</v>
      </c>
      <c r="R624" t="s">
        <v>888</v>
      </c>
      <c r="S624" t="s">
        <v>988</v>
      </c>
    </row>
    <row r="625" spans="1:22" customFormat="1">
      <c r="A625" t="s">
        <v>370</v>
      </c>
      <c r="B625" t="s">
        <v>1297</v>
      </c>
      <c r="C625">
        <v>20</v>
      </c>
      <c r="D625" t="s">
        <v>847</v>
      </c>
      <c r="E625" t="s">
        <v>1298</v>
      </c>
      <c r="Q625">
        <v>21</v>
      </c>
      <c r="R625" t="s">
        <v>888</v>
      </c>
      <c r="S625" t="s">
        <v>984</v>
      </c>
    </row>
    <row r="626" spans="1:22" customFormat="1">
      <c r="A626" t="s">
        <v>370</v>
      </c>
      <c r="B626" t="s">
        <v>1299</v>
      </c>
      <c r="C626">
        <v>20</v>
      </c>
      <c r="D626" t="s">
        <v>847</v>
      </c>
      <c r="E626" t="s">
        <v>1143</v>
      </c>
      <c r="Q626">
        <v>21</v>
      </c>
      <c r="R626" t="s">
        <v>888</v>
      </c>
      <c r="S626" t="s">
        <v>1606</v>
      </c>
    </row>
    <row r="627" spans="1:22" customFormat="1">
      <c r="A627" t="s">
        <v>370</v>
      </c>
      <c r="B627" t="s">
        <v>1300</v>
      </c>
      <c r="C627">
        <v>20</v>
      </c>
      <c r="D627" t="s">
        <v>888</v>
      </c>
      <c r="E627" t="s">
        <v>1301</v>
      </c>
      <c r="Q627">
        <v>21</v>
      </c>
      <c r="R627" t="s">
        <v>888</v>
      </c>
      <c r="S627" t="s">
        <v>1130</v>
      </c>
    </row>
    <row r="628" spans="1:22" customFormat="1">
      <c r="A628" t="s">
        <v>370</v>
      </c>
      <c r="B628" t="s">
        <v>1302</v>
      </c>
      <c r="C628">
        <v>20</v>
      </c>
      <c r="D628" t="s">
        <v>847</v>
      </c>
      <c r="E628" t="s">
        <v>1303</v>
      </c>
      <c r="Q628">
        <v>21</v>
      </c>
      <c r="R628" t="s">
        <v>888</v>
      </c>
      <c r="S628" t="s">
        <v>1573</v>
      </c>
    </row>
    <row r="629" spans="1:22" customFormat="1">
      <c r="A629" t="s">
        <v>370</v>
      </c>
      <c r="B629" t="s">
        <v>1304</v>
      </c>
      <c r="C629">
        <v>20</v>
      </c>
      <c r="D629" t="s">
        <v>847</v>
      </c>
      <c r="E629" t="s">
        <v>1305</v>
      </c>
    </row>
    <row r="630" spans="1:22" customFormat="1">
      <c r="A630" t="s">
        <v>370</v>
      </c>
      <c r="B630" t="s">
        <v>1306</v>
      </c>
      <c r="C630">
        <v>20</v>
      </c>
      <c r="D630" t="s">
        <v>847</v>
      </c>
      <c r="E630" t="s">
        <v>1234</v>
      </c>
      <c r="Q630" t="s">
        <v>1338</v>
      </c>
      <c r="R630" t="s">
        <v>1339</v>
      </c>
    </row>
    <row r="631" spans="1:22" customFormat="1">
      <c r="A631" t="s">
        <v>370</v>
      </c>
      <c r="B631" t="s">
        <v>1307</v>
      </c>
      <c r="C631">
        <v>20</v>
      </c>
      <c r="D631" t="s">
        <v>888</v>
      </c>
      <c r="E631" t="s">
        <v>1176</v>
      </c>
    </row>
    <row r="632" spans="1:22" customFormat="1">
      <c r="A632" t="s">
        <v>370</v>
      </c>
      <c r="B632" t="s">
        <v>1308</v>
      </c>
      <c r="C632">
        <v>20</v>
      </c>
      <c r="D632" t="s">
        <v>888</v>
      </c>
      <c r="E632" t="s">
        <v>1141</v>
      </c>
      <c r="Q632" t="s">
        <v>1342</v>
      </c>
      <c r="R632" t="s">
        <v>533</v>
      </c>
      <c r="S632" t="s">
        <v>472</v>
      </c>
      <c r="T632" t="s">
        <v>455</v>
      </c>
      <c r="U632" t="s">
        <v>1343</v>
      </c>
    </row>
    <row r="633" spans="1:22" customFormat="1">
      <c r="A633" t="s">
        <v>370</v>
      </c>
      <c r="B633" t="s">
        <v>1309</v>
      </c>
      <c r="C633">
        <v>20</v>
      </c>
      <c r="D633" t="s">
        <v>847</v>
      </c>
      <c r="E633" t="s">
        <v>1189</v>
      </c>
    </row>
    <row r="634" spans="1:22" customFormat="1">
      <c r="A634" t="s">
        <v>370</v>
      </c>
      <c r="B634" t="s">
        <v>1310</v>
      </c>
      <c r="C634">
        <v>20</v>
      </c>
      <c r="D634" t="s">
        <v>847</v>
      </c>
      <c r="E634" t="s">
        <v>1311</v>
      </c>
      <c r="Q634" t="s">
        <v>1346</v>
      </c>
      <c r="R634" t="s">
        <v>473</v>
      </c>
      <c r="S634" t="s">
        <v>481</v>
      </c>
      <c r="T634" t="s">
        <v>1347</v>
      </c>
      <c r="U634" t="s">
        <v>375</v>
      </c>
    </row>
    <row r="635" spans="1:22" customFormat="1">
      <c r="A635" t="s">
        <v>370</v>
      </c>
      <c r="B635" t="s">
        <v>1312</v>
      </c>
      <c r="C635">
        <v>20</v>
      </c>
      <c r="D635" t="s">
        <v>847</v>
      </c>
      <c r="E635" t="s">
        <v>1305</v>
      </c>
      <c r="Q635" t="s">
        <v>396</v>
      </c>
      <c r="R635" t="s">
        <v>485</v>
      </c>
      <c r="S635" t="s">
        <v>486</v>
      </c>
      <c r="T635" t="s">
        <v>487</v>
      </c>
      <c r="U635" t="s">
        <v>376</v>
      </c>
      <c r="V635" t="s">
        <v>1349</v>
      </c>
    </row>
    <row r="636" spans="1:22" customFormat="1">
      <c r="A636" t="s">
        <v>370</v>
      </c>
      <c r="B636" t="s">
        <v>1313</v>
      </c>
      <c r="C636">
        <v>20</v>
      </c>
      <c r="D636" t="s">
        <v>847</v>
      </c>
      <c r="E636" t="s">
        <v>1218</v>
      </c>
    </row>
    <row r="637" spans="1:22" customFormat="1">
      <c r="A637" t="s">
        <v>370</v>
      </c>
      <c r="B637" t="s">
        <v>1314</v>
      </c>
      <c r="C637">
        <v>21</v>
      </c>
      <c r="D637" t="s">
        <v>847</v>
      </c>
      <c r="E637" t="s">
        <v>1157</v>
      </c>
    </row>
    <row r="638" spans="1:22" customFormat="1">
      <c r="A638" t="s">
        <v>370</v>
      </c>
      <c r="B638" t="s">
        <v>1315</v>
      </c>
      <c r="C638">
        <v>21</v>
      </c>
      <c r="D638" t="s">
        <v>847</v>
      </c>
      <c r="E638" t="s">
        <v>1189</v>
      </c>
      <c r="P638" t="s">
        <v>381</v>
      </c>
    </row>
    <row r="639" spans="1:22" customFormat="1">
      <c r="A639" t="s">
        <v>370</v>
      </c>
      <c r="B639" t="s">
        <v>1316</v>
      </c>
      <c r="C639">
        <v>21</v>
      </c>
      <c r="D639" t="s">
        <v>847</v>
      </c>
      <c r="E639" t="s">
        <v>1317</v>
      </c>
    </row>
    <row r="640" spans="1:22" customFormat="1">
      <c r="A640" t="s">
        <v>370</v>
      </c>
      <c r="B640" t="s">
        <v>1318</v>
      </c>
      <c r="C640">
        <v>21</v>
      </c>
      <c r="D640" t="s">
        <v>847</v>
      </c>
      <c r="E640" t="s">
        <v>1319</v>
      </c>
    </row>
    <row r="641" spans="1:22" customFormat="1">
      <c r="A641" t="s">
        <v>370</v>
      </c>
      <c r="B641" t="s">
        <v>1320</v>
      </c>
      <c r="C641">
        <v>21</v>
      </c>
      <c r="D641" t="s">
        <v>847</v>
      </c>
      <c r="E641" t="s">
        <v>1321</v>
      </c>
      <c r="Q641" t="s">
        <v>39</v>
      </c>
      <c r="R641" t="s">
        <v>385</v>
      </c>
      <c r="S641" t="s">
        <v>386</v>
      </c>
      <c r="T641" t="s">
        <v>387</v>
      </c>
    </row>
    <row r="642" spans="1:22" customFormat="1">
      <c r="A642" t="s">
        <v>370</v>
      </c>
      <c r="B642" t="s">
        <v>1322</v>
      </c>
      <c r="C642">
        <v>21</v>
      </c>
      <c r="D642" t="s">
        <v>847</v>
      </c>
      <c r="E642" t="s">
        <v>1323</v>
      </c>
      <c r="Q642" t="s">
        <v>389</v>
      </c>
      <c r="R642" t="s">
        <v>390</v>
      </c>
      <c r="S642" t="s">
        <v>391</v>
      </c>
      <c r="T642" t="s">
        <v>392</v>
      </c>
    </row>
    <row r="643" spans="1:22" customFormat="1">
      <c r="A643" t="s">
        <v>370</v>
      </c>
      <c r="B643" t="s">
        <v>1324</v>
      </c>
      <c r="C643">
        <v>21</v>
      </c>
      <c r="D643" t="s">
        <v>847</v>
      </c>
      <c r="E643" t="s">
        <v>1325</v>
      </c>
      <c r="Q643" t="s">
        <v>394</v>
      </c>
      <c r="R643" t="s">
        <v>395</v>
      </c>
      <c r="S643" t="s">
        <v>396</v>
      </c>
      <c r="T643" t="s">
        <v>397</v>
      </c>
    </row>
    <row r="644" spans="1:22" customFormat="1">
      <c r="A644" t="s">
        <v>370</v>
      </c>
      <c r="B644" t="s">
        <v>1326</v>
      </c>
      <c r="C644">
        <v>21</v>
      </c>
      <c r="D644" t="s">
        <v>847</v>
      </c>
      <c r="E644" t="s">
        <v>1176</v>
      </c>
      <c r="Q644" t="s">
        <v>399</v>
      </c>
      <c r="R644" t="s">
        <v>400</v>
      </c>
      <c r="S644" t="s">
        <v>401</v>
      </c>
      <c r="T644" t="s">
        <v>1527</v>
      </c>
    </row>
    <row r="645" spans="1:22" customFormat="1">
      <c r="A645" t="s">
        <v>370</v>
      </c>
      <c r="B645" t="s">
        <v>1327</v>
      </c>
      <c r="C645">
        <v>21</v>
      </c>
      <c r="D645" t="s">
        <v>847</v>
      </c>
      <c r="E645" t="s">
        <v>1328</v>
      </c>
    </row>
    <row r="646" spans="1:22" customFormat="1">
      <c r="A646" t="s">
        <v>370</v>
      </c>
      <c r="B646" t="s">
        <v>1329</v>
      </c>
      <c r="C646">
        <v>21</v>
      </c>
      <c r="D646" t="s">
        <v>888</v>
      </c>
      <c r="E646" t="s">
        <v>1191</v>
      </c>
      <c r="Q646" t="s">
        <v>405</v>
      </c>
    </row>
    <row r="647" spans="1:22" customFormat="1">
      <c r="A647" t="s">
        <v>370</v>
      </c>
      <c r="B647" t="s">
        <v>1330</v>
      </c>
      <c r="C647">
        <v>21</v>
      </c>
      <c r="D647" t="s">
        <v>847</v>
      </c>
      <c r="E647" t="s">
        <v>1331</v>
      </c>
      <c r="Q647" t="s">
        <v>407</v>
      </c>
      <c r="R647" t="s">
        <v>408</v>
      </c>
      <c r="S647" t="s">
        <v>409</v>
      </c>
      <c r="T647" t="s">
        <v>407</v>
      </c>
    </row>
    <row r="648" spans="1:22" customFormat="1">
      <c r="A648" t="s">
        <v>370</v>
      </c>
      <c r="B648" t="s">
        <v>1332</v>
      </c>
      <c r="C648">
        <v>21</v>
      </c>
      <c r="D648" t="s">
        <v>847</v>
      </c>
      <c r="E648" t="s">
        <v>1290</v>
      </c>
      <c r="Q648" t="s">
        <v>411</v>
      </c>
    </row>
    <row r="649" spans="1:22" customFormat="1">
      <c r="A649" t="s">
        <v>370</v>
      </c>
      <c r="B649" t="s">
        <v>1333</v>
      </c>
      <c r="C649">
        <v>21</v>
      </c>
      <c r="D649" t="s">
        <v>847</v>
      </c>
      <c r="E649" t="s">
        <v>1328</v>
      </c>
      <c r="Q649" t="s">
        <v>413</v>
      </c>
      <c r="R649" t="s">
        <v>414</v>
      </c>
      <c r="S649">
        <v>23</v>
      </c>
      <c r="T649" s="190">
        <v>0.98873842592592598</v>
      </c>
      <c r="U649">
        <v>2024</v>
      </c>
    </row>
    <row r="650" spans="1:22" customFormat="1">
      <c r="A650" t="s">
        <v>370</v>
      </c>
      <c r="B650" t="s">
        <v>1334</v>
      </c>
      <c r="C650">
        <v>21</v>
      </c>
      <c r="D650" t="s">
        <v>847</v>
      </c>
      <c r="E650" t="s">
        <v>1335</v>
      </c>
    </row>
    <row r="651" spans="1:22" customFormat="1">
      <c r="A651" t="s">
        <v>370</v>
      </c>
      <c r="B651" t="s">
        <v>1336</v>
      </c>
      <c r="Q651" t="s">
        <v>417</v>
      </c>
      <c r="R651" t="s">
        <v>418</v>
      </c>
      <c r="S651" t="s">
        <v>301</v>
      </c>
      <c r="T651" t="s">
        <v>419</v>
      </c>
      <c r="U651" t="s">
        <v>420</v>
      </c>
      <c r="V651" t="s">
        <v>421</v>
      </c>
    </row>
    <row r="652" spans="1:22" customFormat="1">
      <c r="A652" t="s">
        <v>370</v>
      </c>
      <c r="B652" t="s">
        <v>1337</v>
      </c>
      <c r="C652" t="s">
        <v>1338</v>
      </c>
      <c r="D652" t="s">
        <v>1339</v>
      </c>
      <c r="Q652" t="s">
        <v>423</v>
      </c>
      <c r="R652" t="s">
        <v>424</v>
      </c>
      <c r="S652" t="s">
        <v>425</v>
      </c>
      <c r="T652" t="s">
        <v>426</v>
      </c>
      <c r="U652" t="s">
        <v>427</v>
      </c>
    </row>
    <row r="653" spans="1:22" customFormat="1">
      <c r="A653" t="s">
        <v>370</v>
      </c>
      <c r="B653" t="s">
        <v>1340</v>
      </c>
      <c r="Q653" t="s">
        <v>429</v>
      </c>
      <c r="R653" t="s">
        <v>430</v>
      </c>
      <c r="S653" t="s">
        <v>431</v>
      </c>
      <c r="T653" t="s">
        <v>432</v>
      </c>
      <c r="U653" t="s">
        <v>433</v>
      </c>
      <c r="V653" t="s">
        <v>434</v>
      </c>
    </row>
    <row r="654" spans="1:22" customFormat="1">
      <c r="A654" t="s">
        <v>370</v>
      </c>
      <c r="B654" t="s">
        <v>1341</v>
      </c>
      <c r="C654" t="s">
        <v>1342</v>
      </c>
      <c r="D654" t="s">
        <v>533</v>
      </c>
      <c r="E654" t="s">
        <v>472</v>
      </c>
      <c r="F654" t="s">
        <v>455</v>
      </c>
      <c r="G654" t="s">
        <v>1343</v>
      </c>
      <c r="Q654" t="s">
        <v>436</v>
      </c>
      <c r="R654" t="s">
        <v>437</v>
      </c>
      <c r="S654" t="s">
        <v>438</v>
      </c>
      <c r="T654" t="s">
        <v>439</v>
      </c>
      <c r="U654" t="s">
        <v>39</v>
      </c>
    </row>
    <row r="655" spans="1:22" customFormat="1">
      <c r="A655" t="s">
        <v>370</v>
      </c>
      <c r="B655" t="s">
        <v>1344</v>
      </c>
    </row>
    <row r="656" spans="1:22" customFormat="1">
      <c r="A656" t="s">
        <v>370</v>
      </c>
      <c r="B656" t="s">
        <v>1345</v>
      </c>
      <c r="C656" t="s">
        <v>1346</v>
      </c>
      <c r="D656" t="s">
        <v>473</v>
      </c>
      <c r="E656" t="s">
        <v>481</v>
      </c>
      <c r="F656" t="s">
        <v>1347</v>
      </c>
      <c r="G656" t="s">
        <v>375</v>
      </c>
      <c r="Q656" t="s">
        <v>442</v>
      </c>
      <c r="R656" t="s">
        <v>443</v>
      </c>
      <c r="S656">
        <v>3</v>
      </c>
    </row>
    <row r="657" spans="1:24" customFormat="1">
      <c r="A657" t="s">
        <v>370</v>
      </c>
      <c r="B657" t="s">
        <v>1348</v>
      </c>
      <c r="C657" t="s">
        <v>396</v>
      </c>
      <c r="D657" t="s">
        <v>485</v>
      </c>
      <c r="E657" t="s">
        <v>486</v>
      </c>
      <c r="F657" t="s">
        <v>487</v>
      </c>
      <c r="G657" t="s">
        <v>376</v>
      </c>
      <c r="H657" t="s">
        <v>1349</v>
      </c>
    </row>
    <row r="658" spans="1:24" customFormat="1">
      <c r="A658" t="s">
        <v>370</v>
      </c>
      <c r="B658" t="s">
        <v>1350</v>
      </c>
    </row>
    <row r="659" spans="1:24" customFormat="1">
      <c r="A659" t="s">
        <v>370</v>
      </c>
      <c r="B659" t="s">
        <v>1350</v>
      </c>
    </row>
    <row r="660" spans="1:24" customFormat="1">
      <c r="A660" t="s">
        <v>370</v>
      </c>
      <c r="B660" t="s">
        <v>1351</v>
      </c>
      <c r="C660" t="s">
        <v>381</v>
      </c>
      <c r="Q660" t="s">
        <v>1373</v>
      </c>
      <c r="R660" t="s">
        <v>495</v>
      </c>
      <c r="S660" t="s">
        <v>1374</v>
      </c>
    </row>
    <row r="661" spans="1:24" customFormat="1">
      <c r="A661" t="s">
        <v>370</v>
      </c>
      <c r="B661" t="s">
        <v>1352</v>
      </c>
      <c r="Q661" t="s">
        <v>1376</v>
      </c>
      <c r="R661" t="s">
        <v>1377</v>
      </c>
      <c r="S661" t="s">
        <v>1378</v>
      </c>
      <c r="T661" t="s">
        <v>1379</v>
      </c>
      <c r="U661" t="s">
        <v>443</v>
      </c>
      <c r="V661" t="s">
        <v>1380</v>
      </c>
    </row>
    <row r="662" spans="1:24" customFormat="1">
      <c r="A662" t="s">
        <v>370</v>
      </c>
      <c r="B662" t="s">
        <v>1353</v>
      </c>
      <c r="Q662" t="s">
        <v>1382</v>
      </c>
      <c r="R662" t="s">
        <v>1383</v>
      </c>
      <c r="S662" t="s">
        <v>1384</v>
      </c>
      <c r="T662" t="s">
        <v>1385</v>
      </c>
      <c r="U662" t="s">
        <v>1385</v>
      </c>
      <c r="V662" t="s">
        <v>1385</v>
      </c>
      <c r="W662" t="s">
        <v>1386</v>
      </c>
      <c r="X662" t="s">
        <v>1374</v>
      </c>
    </row>
    <row r="663" spans="1:24" customFormat="1">
      <c r="A663" t="s">
        <v>370</v>
      </c>
      <c r="B663" t="s">
        <v>1354</v>
      </c>
      <c r="C663" t="s">
        <v>39</v>
      </c>
      <c r="D663" t="s">
        <v>385</v>
      </c>
      <c r="E663" t="s">
        <v>386</v>
      </c>
      <c r="F663" t="s">
        <v>387</v>
      </c>
      <c r="Q663" t="s">
        <v>1388</v>
      </c>
      <c r="R663" t="s">
        <v>1389</v>
      </c>
      <c r="S663" t="s">
        <v>1390</v>
      </c>
      <c r="T663" t="s">
        <v>160</v>
      </c>
      <c r="U663">
        <v>16.8</v>
      </c>
      <c r="V663" t="s">
        <v>1391</v>
      </c>
    </row>
    <row r="664" spans="1:24" customFormat="1">
      <c r="A664" t="s">
        <v>370</v>
      </c>
      <c r="B664" t="s">
        <v>1355</v>
      </c>
      <c r="C664" t="s">
        <v>389</v>
      </c>
      <c r="D664" t="s">
        <v>390</v>
      </c>
      <c r="E664" t="s">
        <v>391</v>
      </c>
      <c r="F664" t="s">
        <v>392</v>
      </c>
    </row>
    <row r="665" spans="1:24" customFormat="1">
      <c r="A665" t="s">
        <v>370</v>
      </c>
      <c r="B665" t="s">
        <v>1356</v>
      </c>
      <c r="C665" t="s">
        <v>394</v>
      </c>
      <c r="D665" t="s">
        <v>395</v>
      </c>
      <c r="E665" t="s">
        <v>396</v>
      </c>
      <c r="F665" t="s">
        <v>397</v>
      </c>
      <c r="Q665" t="s">
        <v>1373</v>
      </c>
      <c r="R665" t="s">
        <v>495</v>
      </c>
      <c r="S665" t="s">
        <v>1374</v>
      </c>
    </row>
    <row r="666" spans="1:24" customFormat="1">
      <c r="A666" t="s">
        <v>370</v>
      </c>
      <c r="B666" t="s">
        <v>1357</v>
      </c>
      <c r="C666" t="s">
        <v>399</v>
      </c>
      <c r="D666" t="s">
        <v>400</v>
      </c>
      <c r="E666" t="s">
        <v>401</v>
      </c>
      <c r="F666" t="s">
        <v>402</v>
      </c>
      <c r="Q666" t="s">
        <v>1376</v>
      </c>
      <c r="R666" t="s">
        <v>1377</v>
      </c>
      <c r="S666" t="s">
        <v>1378</v>
      </c>
      <c r="T666" t="s">
        <v>1379</v>
      </c>
      <c r="U666" t="s">
        <v>443</v>
      </c>
      <c r="V666" t="s">
        <v>1380</v>
      </c>
    </row>
    <row r="667" spans="1:24" customFormat="1">
      <c r="A667" t="s">
        <v>370</v>
      </c>
      <c r="B667" t="s">
        <v>1358</v>
      </c>
      <c r="Q667" t="s">
        <v>1382</v>
      </c>
      <c r="R667" t="s">
        <v>1383</v>
      </c>
      <c r="S667" t="s">
        <v>1384</v>
      </c>
      <c r="T667" t="s">
        <v>1385</v>
      </c>
      <c r="U667" t="s">
        <v>1385</v>
      </c>
      <c r="V667" t="s">
        <v>1385</v>
      </c>
      <c r="W667" t="s">
        <v>1386</v>
      </c>
      <c r="X667" t="s">
        <v>1374</v>
      </c>
    </row>
    <row r="668" spans="1:24" customFormat="1">
      <c r="A668" t="s">
        <v>370</v>
      </c>
      <c r="B668" t="s">
        <v>1359</v>
      </c>
      <c r="C668" t="s">
        <v>405</v>
      </c>
      <c r="Q668" t="s">
        <v>1388</v>
      </c>
      <c r="R668" t="s">
        <v>1389</v>
      </c>
      <c r="S668" t="s">
        <v>1390</v>
      </c>
      <c r="T668" t="s">
        <v>160</v>
      </c>
      <c r="U668">
        <v>16.8</v>
      </c>
      <c r="V668" t="s">
        <v>1391</v>
      </c>
    </row>
    <row r="669" spans="1:24" customFormat="1">
      <c r="A669" t="s">
        <v>370</v>
      </c>
      <c r="B669" t="s">
        <v>1360</v>
      </c>
      <c r="C669" t="s">
        <v>407</v>
      </c>
      <c r="D669" t="s">
        <v>408</v>
      </c>
      <c r="E669" t="s">
        <v>409</v>
      </c>
      <c r="F669" t="s">
        <v>407</v>
      </c>
    </row>
    <row r="670" spans="1:24" customFormat="1">
      <c r="A670" t="s">
        <v>370</v>
      </c>
      <c r="B670" t="s">
        <v>1361</v>
      </c>
      <c r="C670" t="s">
        <v>411</v>
      </c>
      <c r="Q670" t="s">
        <v>1373</v>
      </c>
      <c r="R670" t="s">
        <v>495</v>
      </c>
      <c r="S670" t="s">
        <v>1374</v>
      </c>
    </row>
    <row r="671" spans="1:24" customFormat="1">
      <c r="A671" t="s">
        <v>370</v>
      </c>
      <c r="B671" t="s">
        <v>1362</v>
      </c>
      <c r="C671" t="s">
        <v>413</v>
      </c>
      <c r="D671" t="s">
        <v>414</v>
      </c>
      <c r="E671">
        <v>23</v>
      </c>
      <c r="F671" s="190">
        <v>0.95348379629629632</v>
      </c>
      <c r="G671">
        <v>2024</v>
      </c>
      <c r="Q671" t="s">
        <v>1376</v>
      </c>
      <c r="R671" t="s">
        <v>1377</v>
      </c>
      <c r="S671" t="s">
        <v>1378</v>
      </c>
      <c r="T671" t="s">
        <v>1379</v>
      </c>
      <c r="U671" t="s">
        <v>443</v>
      </c>
      <c r="V671" t="s">
        <v>1380</v>
      </c>
    </row>
    <row r="672" spans="1:24" customFormat="1">
      <c r="A672" t="s">
        <v>370</v>
      </c>
      <c r="B672" t="s">
        <v>1363</v>
      </c>
      <c r="Q672" t="s">
        <v>1382</v>
      </c>
      <c r="R672" t="s">
        <v>1383</v>
      </c>
      <c r="S672" t="s">
        <v>1384</v>
      </c>
      <c r="T672" t="s">
        <v>1385</v>
      </c>
      <c r="U672" t="s">
        <v>1385</v>
      </c>
      <c r="V672" t="s">
        <v>1385</v>
      </c>
      <c r="W672" t="s">
        <v>1386</v>
      </c>
      <c r="X672" t="s">
        <v>1374</v>
      </c>
    </row>
    <row r="673" spans="1:24" customFormat="1">
      <c r="A673" t="s">
        <v>370</v>
      </c>
      <c r="B673" t="s">
        <v>1364</v>
      </c>
      <c r="C673" t="s">
        <v>417</v>
      </c>
      <c r="D673" t="s">
        <v>418</v>
      </c>
      <c r="E673" t="s">
        <v>301</v>
      </c>
      <c r="F673" t="s">
        <v>419</v>
      </c>
      <c r="G673" t="s">
        <v>420</v>
      </c>
      <c r="H673" t="s">
        <v>421</v>
      </c>
      <c r="Q673" t="s">
        <v>1388</v>
      </c>
      <c r="R673" t="s">
        <v>1389</v>
      </c>
      <c r="S673" t="s">
        <v>1390</v>
      </c>
      <c r="T673" t="s">
        <v>160</v>
      </c>
      <c r="U673">
        <v>16.8</v>
      </c>
      <c r="V673" t="s">
        <v>1391</v>
      </c>
    </row>
    <row r="674" spans="1:24" customFormat="1">
      <c r="A674" t="s">
        <v>370</v>
      </c>
      <c r="B674" t="s">
        <v>1365</v>
      </c>
      <c r="C674" t="s">
        <v>423</v>
      </c>
      <c r="D674" t="s">
        <v>424</v>
      </c>
      <c r="E674" t="s">
        <v>425</v>
      </c>
      <c r="F674" t="s">
        <v>426</v>
      </c>
      <c r="G674" t="s">
        <v>427</v>
      </c>
    </row>
    <row r="675" spans="1:24" customFormat="1">
      <c r="A675" t="s">
        <v>370</v>
      </c>
      <c r="B675" t="s">
        <v>1366</v>
      </c>
      <c r="C675" t="s">
        <v>429</v>
      </c>
      <c r="D675" t="s">
        <v>430</v>
      </c>
      <c r="E675" t="s">
        <v>431</v>
      </c>
      <c r="F675" t="s">
        <v>432</v>
      </c>
      <c r="G675" t="s">
        <v>433</v>
      </c>
      <c r="H675" t="s">
        <v>434</v>
      </c>
      <c r="Q675" t="s">
        <v>1373</v>
      </c>
      <c r="R675" t="s">
        <v>495</v>
      </c>
      <c r="S675" t="s">
        <v>1374</v>
      </c>
    </row>
    <row r="676" spans="1:24" customFormat="1">
      <c r="A676" t="s">
        <v>370</v>
      </c>
      <c r="B676" t="s">
        <v>1367</v>
      </c>
      <c r="C676" t="s">
        <v>436</v>
      </c>
      <c r="D676" t="s">
        <v>437</v>
      </c>
      <c r="E676" t="s">
        <v>438</v>
      </c>
      <c r="F676" t="s">
        <v>439</v>
      </c>
      <c r="G676" t="s">
        <v>39</v>
      </c>
      <c r="Q676" t="s">
        <v>1376</v>
      </c>
      <c r="R676" t="s">
        <v>1377</v>
      </c>
      <c r="S676" t="s">
        <v>1378</v>
      </c>
      <c r="T676" t="s">
        <v>1379</v>
      </c>
      <c r="U676" t="s">
        <v>443</v>
      </c>
      <c r="V676" t="s">
        <v>1380</v>
      </c>
    </row>
    <row r="677" spans="1:24" customFormat="1">
      <c r="A677" t="s">
        <v>370</v>
      </c>
      <c r="B677" t="s">
        <v>1368</v>
      </c>
      <c r="Q677" t="s">
        <v>1382</v>
      </c>
      <c r="R677" t="s">
        <v>1383</v>
      </c>
      <c r="S677" t="s">
        <v>1384</v>
      </c>
      <c r="T677" t="s">
        <v>1385</v>
      </c>
      <c r="U677" t="s">
        <v>1385</v>
      </c>
      <c r="V677" t="s">
        <v>1385</v>
      </c>
      <c r="W677" t="s">
        <v>1386</v>
      </c>
      <c r="X677" t="s">
        <v>1374</v>
      </c>
    </row>
    <row r="678" spans="1:24" customFormat="1">
      <c r="A678" t="s">
        <v>370</v>
      </c>
      <c r="B678" t="s">
        <v>1369</v>
      </c>
      <c r="C678" t="s">
        <v>442</v>
      </c>
      <c r="D678" t="s">
        <v>443</v>
      </c>
      <c r="E678">
        <v>3</v>
      </c>
      <c r="Q678" t="s">
        <v>1388</v>
      </c>
      <c r="R678" t="s">
        <v>1389</v>
      </c>
      <c r="S678" t="s">
        <v>1390</v>
      </c>
      <c r="T678" t="s">
        <v>160</v>
      </c>
      <c r="U678">
        <v>16.7</v>
      </c>
      <c r="V678" t="s">
        <v>1391</v>
      </c>
    </row>
    <row r="679" spans="1:24" customFormat="1">
      <c r="A679" t="s">
        <v>370</v>
      </c>
      <c r="B679" t="s">
        <v>1370</v>
      </c>
    </row>
    <row r="680" spans="1:24" customFormat="1">
      <c r="A680" t="s">
        <v>370</v>
      </c>
      <c r="B680" t="s">
        <v>1371</v>
      </c>
      <c r="Q680" t="s">
        <v>1373</v>
      </c>
      <c r="R680" t="s">
        <v>495</v>
      </c>
      <c r="S680" t="s">
        <v>1374</v>
      </c>
    </row>
    <row r="681" spans="1:24" customFormat="1">
      <c r="A681" t="s">
        <v>370</v>
      </c>
      <c r="B681" t="s">
        <v>1371</v>
      </c>
      <c r="Q681" t="s">
        <v>1376</v>
      </c>
      <c r="R681" t="s">
        <v>1377</v>
      </c>
      <c r="S681" t="s">
        <v>1378</v>
      </c>
      <c r="T681" t="s">
        <v>1379</v>
      </c>
      <c r="U681" t="s">
        <v>443</v>
      </c>
      <c r="V681" t="s">
        <v>1380</v>
      </c>
    </row>
    <row r="682" spans="1:24" customFormat="1">
      <c r="A682" t="s">
        <v>370</v>
      </c>
      <c r="B682" t="s">
        <v>1372</v>
      </c>
      <c r="C682" t="s">
        <v>1373</v>
      </c>
      <c r="D682" t="s">
        <v>495</v>
      </c>
      <c r="E682" t="s">
        <v>1374</v>
      </c>
      <c r="Q682" t="s">
        <v>1382</v>
      </c>
      <c r="R682" t="s">
        <v>1383</v>
      </c>
      <c r="S682" t="s">
        <v>1384</v>
      </c>
      <c r="T682" t="s">
        <v>1385</v>
      </c>
      <c r="U682" t="s">
        <v>1385</v>
      </c>
      <c r="V682" t="s">
        <v>1385</v>
      </c>
      <c r="W682" t="s">
        <v>1386</v>
      </c>
      <c r="X682" t="s">
        <v>1374</v>
      </c>
    </row>
    <row r="683" spans="1:24" customFormat="1">
      <c r="A683" t="s">
        <v>370</v>
      </c>
      <c r="B683" t="s">
        <v>1375</v>
      </c>
      <c r="C683" t="s">
        <v>1376</v>
      </c>
      <c r="D683" t="s">
        <v>1377</v>
      </c>
      <c r="E683" t="s">
        <v>1378</v>
      </c>
      <c r="F683" t="s">
        <v>1379</v>
      </c>
      <c r="G683" t="s">
        <v>443</v>
      </c>
      <c r="H683" t="s">
        <v>1380</v>
      </c>
      <c r="Q683" t="s">
        <v>1388</v>
      </c>
      <c r="R683" t="s">
        <v>1389</v>
      </c>
      <c r="S683" t="s">
        <v>1390</v>
      </c>
      <c r="T683" t="s">
        <v>160</v>
      </c>
      <c r="U683">
        <v>16.7</v>
      </c>
      <c r="V683" t="s">
        <v>1391</v>
      </c>
    </row>
    <row r="684" spans="1:24" customFormat="1">
      <c r="A684" t="s">
        <v>370</v>
      </c>
      <c r="B684" t="s">
        <v>1381</v>
      </c>
      <c r="C684" t="s">
        <v>1382</v>
      </c>
      <c r="D684" t="s">
        <v>1383</v>
      </c>
      <c r="E684" t="s">
        <v>1384</v>
      </c>
      <c r="F684" t="s">
        <v>1385</v>
      </c>
      <c r="G684" t="s">
        <v>1385</v>
      </c>
      <c r="H684" t="s">
        <v>1385</v>
      </c>
      <c r="I684" t="s">
        <v>1386</v>
      </c>
      <c r="J684" t="s">
        <v>1374</v>
      </c>
    </row>
    <row r="685" spans="1:24" customFormat="1">
      <c r="A685" t="s">
        <v>370</v>
      </c>
      <c r="B685" t="s">
        <v>1387</v>
      </c>
      <c r="C685" t="s">
        <v>1388</v>
      </c>
      <c r="D685" t="s">
        <v>1389</v>
      </c>
      <c r="E685" t="s">
        <v>1390</v>
      </c>
      <c r="F685" t="s">
        <v>160</v>
      </c>
      <c r="G685">
        <v>16</v>
      </c>
      <c r="H685" t="s">
        <v>1391</v>
      </c>
      <c r="Q685" t="s">
        <v>1373</v>
      </c>
      <c r="R685" t="s">
        <v>495</v>
      </c>
      <c r="S685" t="s">
        <v>1374</v>
      </c>
    </row>
    <row r="686" spans="1:24" customFormat="1">
      <c r="A686" t="s">
        <v>370</v>
      </c>
      <c r="B686" t="s">
        <v>1392</v>
      </c>
      <c r="Q686" t="s">
        <v>1376</v>
      </c>
      <c r="R686" t="s">
        <v>1377</v>
      </c>
      <c r="S686" t="s">
        <v>1378</v>
      </c>
      <c r="T686" t="s">
        <v>1379</v>
      </c>
      <c r="U686" t="s">
        <v>443</v>
      </c>
      <c r="V686" t="s">
        <v>1380</v>
      </c>
    </row>
    <row r="687" spans="1:24" customFormat="1">
      <c r="A687" t="s">
        <v>370</v>
      </c>
      <c r="B687" t="s">
        <v>1393</v>
      </c>
      <c r="C687" t="s">
        <v>1373</v>
      </c>
      <c r="D687" t="s">
        <v>495</v>
      </c>
      <c r="E687" t="s">
        <v>1374</v>
      </c>
      <c r="Q687" t="s">
        <v>1382</v>
      </c>
      <c r="R687" t="s">
        <v>1383</v>
      </c>
      <c r="S687" t="s">
        <v>1384</v>
      </c>
      <c r="T687" t="s">
        <v>1385</v>
      </c>
      <c r="U687" t="s">
        <v>1385</v>
      </c>
      <c r="V687" t="s">
        <v>1385</v>
      </c>
      <c r="W687" t="s">
        <v>1386</v>
      </c>
      <c r="X687" t="s">
        <v>1374</v>
      </c>
    </row>
    <row r="688" spans="1:24" customFormat="1">
      <c r="A688" t="s">
        <v>370</v>
      </c>
      <c r="B688" t="s">
        <v>1394</v>
      </c>
      <c r="C688" t="s">
        <v>1376</v>
      </c>
      <c r="D688" t="s">
        <v>1377</v>
      </c>
      <c r="E688" t="s">
        <v>1378</v>
      </c>
      <c r="F688" t="s">
        <v>1379</v>
      </c>
      <c r="G688" t="s">
        <v>443</v>
      </c>
      <c r="H688" t="s">
        <v>1380</v>
      </c>
      <c r="Q688" t="s">
        <v>1388</v>
      </c>
      <c r="R688" t="s">
        <v>1389</v>
      </c>
      <c r="S688" t="s">
        <v>1390</v>
      </c>
      <c r="T688" t="s">
        <v>160</v>
      </c>
      <c r="U688">
        <v>16.600000000000001</v>
      </c>
      <c r="V688" t="s">
        <v>1391</v>
      </c>
    </row>
    <row r="689" spans="1:24" customFormat="1">
      <c r="A689" t="s">
        <v>370</v>
      </c>
      <c r="B689" t="s">
        <v>1395</v>
      </c>
      <c r="C689" t="s">
        <v>1382</v>
      </c>
      <c r="D689" t="s">
        <v>1383</v>
      </c>
      <c r="E689" t="s">
        <v>1384</v>
      </c>
      <c r="F689" t="s">
        <v>1385</v>
      </c>
      <c r="G689" t="s">
        <v>1385</v>
      </c>
      <c r="H689" t="s">
        <v>1385</v>
      </c>
      <c r="I689" t="s">
        <v>1386</v>
      </c>
      <c r="J689" t="s">
        <v>1374</v>
      </c>
    </row>
    <row r="690" spans="1:24" customFormat="1">
      <c r="A690" t="s">
        <v>370</v>
      </c>
      <c r="B690" t="s">
        <v>1396</v>
      </c>
      <c r="C690" t="s">
        <v>1388</v>
      </c>
      <c r="D690" t="s">
        <v>1389</v>
      </c>
      <c r="E690" t="s">
        <v>1390</v>
      </c>
      <c r="F690" t="s">
        <v>160</v>
      </c>
      <c r="G690">
        <v>16.2</v>
      </c>
      <c r="H690" t="s">
        <v>1391</v>
      </c>
      <c r="Q690" t="s">
        <v>1373</v>
      </c>
      <c r="R690" t="s">
        <v>495</v>
      </c>
      <c r="S690" t="s">
        <v>1374</v>
      </c>
    </row>
    <row r="691" spans="1:24" customFormat="1">
      <c r="A691" t="s">
        <v>370</v>
      </c>
      <c r="B691" t="s">
        <v>1397</v>
      </c>
      <c r="Q691" t="s">
        <v>1376</v>
      </c>
      <c r="R691" t="s">
        <v>1377</v>
      </c>
      <c r="S691" t="s">
        <v>1378</v>
      </c>
      <c r="T691" t="s">
        <v>1379</v>
      </c>
      <c r="U691" t="s">
        <v>443</v>
      </c>
      <c r="V691" t="s">
        <v>1380</v>
      </c>
    </row>
    <row r="692" spans="1:24" customFormat="1">
      <c r="A692" t="s">
        <v>370</v>
      </c>
      <c r="B692" t="s">
        <v>1398</v>
      </c>
      <c r="C692" t="s">
        <v>1373</v>
      </c>
      <c r="D692" t="s">
        <v>495</v>
      </c>
      <c r="E692" t="s">
        <v>1374</v>
      </c>
      <c r="Q692" t="s">
        <v>1382</v>
      </c>
      <c r="R692" t="s">
        <v>1383</v>
      </c>
      <c r="S692" t="s">
        <v>1384</v>
      </c>
      <c r="T692" t="s">
        <v>1385</v>
      </c>
      <c r="U692" t="s">
        <v>1385</v>
      </c>
      <c r="V692" t="s">
        <v>1385</v>
      </c>
      <c r="W692" t="s">
        <v>1386</v>
      </c>
      <c r="X692" t="s">
        <v>1374</v>
      </c>
    </row>
    <row r="693" spans="1:24" customFormat="1">
      <c r="A693" t="s">
        <v>370</v>
      </c>
      <c r="B693" t="s">
        <v>1399</v>
      </c>
      <c r="C693" t="s">
        <v>1376</v>
      </c>
      <c r="D693" t="s">
        <v>1377</v>
      </c>
      <c r="E693" t="s">
        <v>1378</v>
      </c>
      <c r="F693" t="s">
        <v>1379</v>
      </c>
      <c r="G693" t="s">
        <v>443</v>
      </c>
      <c r="H693" t="s">
        <v>1380</v>
      </c>
      <c r="Q693" t="s">
        <v>1388</v>
      </c>
      <c r="R693" t="s">
        <v>1389</v>
      </c>
      <c r="S693" t="s">
        <v>1390</v>
      </c>
      <c r="T693" t="s">
        <v>160</v>
      </c>
      <c r="U693">
        <v>16.600000000000001</v>
      </c>
      <c r="V693" t="s">
        <v>1391</v>
      </c>
    </row>
    <row r="694" spans="1:24" customFormat="1">
      <c r="A694" t="s">
        <v>370</v>
      </c>
      <c r="B694" t="s">
        <v>1400</v>
      </c>
      <c r="C694" t="s">
        <v>1382</v>
      </c>
      <c r="D694" t="s">
        <v>1383</v>
      </c>
      <c r="E694" t="s">
        <v>1384</v>
      </c>
      <c r="F694" t="s">
        <v>1385</v>
      </c>
      <c r="G694" t="s">
        <v>1385</v>
      </c>
      <c r="H694" t="s">
        <v>1385</v>
      </c>
      <c r="I694" t="s">
        <v>1386</v>
      </c>
      <c r="J694" t="s">
        <v>1374</v>
      </c>
    </row>
    <row r="695" spans="1:24" customFormat="1">
      <c r="A695" t="s">
        <v>370</v>
      </c>
      <c r="B695" t="s">
        <v>1401</v>
      </c>
      <c r="C695" t="s">
        <v>1388</v>
      </c>
      <c r="D695" t="s">
        <v>1389</v>
      </c>
      <c r="E695" t="s">
        <v>1390</v>
      </c>
      <c r="F695" t="s">
        <v>160</v>
      </c>
      <c r="G695">
        <v>16.100000000000001</v>
      </c>
      <c r="H695" t="s">
        <v>1391</v>
      </c>
      <c r="Q695" t="s">
        <v>1373</v>
      </c>
      <c r="R695" t="s">
        <v>495</v>
      </c>
      <c r="S695" t="s">
        <v>1374</v>
      </c>
    </row>
    <row r="696" spans="1:24" customFormat="1">
      <c r="A696" t="s">
        <v>370</v>
      </c>
      <c r="B696" t="s">
        <v>1402</v>
      </c>
      <c r="Q696" t="s">
        <v>1376</v>
      </c>
      <c r="R696" t="s">
        <v>1377</v>
      </c>
      <c r="S696" t="s">
        <v>1378</v>
      </c>
      <c r="T696" t="s">
        <v>1379</v>
      </c>
      <c r="U696" t="s">
        <v>443</v>
      </c>
      <c r="V696" t="s">
        <v>1380</v>
      </c>
    </row>
    <row r="697" spans="1:24" customFormat="1">
      <c r="A697" t="s">
        <v>370</v>
      </c>
      <c r="B697" t="s">
        <v>1403</v>
      </c>
      <c r="C697" t="s">
        <v>1373</v>
      </c>
      <c r="D697" t="s">
        <v>495</v>
      </c>
      <c r="E697" t="s">
        <v>1374</v>
      </c>
      <c r="Q697" t="s">
        <v>1382</v>
      </c>
      <c r="R697" t="s">
        <v>1383</v>
      </c>
      <c r="S697" t="s">
        <v>1384</v>
      </c>
      <c r="T697" t="s">
        <v>1385</v>
      </c>
      <c r="U697" t="s">
        <v>1385</v>
      </c>
      <c r="V697" t="s">
        <v>1385</v>
      </c>
      <c r="W697" t="s">
        <v>1386</v>
      </c>
      <c r="X697" t="s">
        <v>1374</v>
      </c>
    </row>
    <row r="698" spans="1:24" customFormat="1">
      <c r="A698" t="s">
        <v>370</v>
      </c>
      <c r="B698" t="s">
        <v>1404</v>
      </c>
      <c r="C698" t="s">
        <v>1376</v>
      </c>
      <c r="D698" t="s">
        <v>1377</v>
      </c>
      <c r="E698" t="s">
        <v>1378</v>
      </c>
      <c r="F698" t="s">
        <v>1379</v>
      </c>
      <c r="G698" t="s">
        <v>443</v>
      </c>
      <c r="H698" t="s">
        <v>1380</v>
      </c>
      <c r="Q698" t="s">
        <v>1388</v>
      </c>
      <c r="R698" t="s">
        <v>1389</v>
      </c>
      <c r="S698" t="s">
        <v>1390</v>
      </c>
      <c r="T698" t="s">
        <v>160</v>
      </c>
      <c r="U698">
        <v>16.7</v>
      </c>
      <c r="V698" t="s">
        <v>1391</v>
      </c>
    </row>
    <row r="699" spans="1:24" customFormat="1">
      <c r="A699" t="s">
        <v>370</v>
      </c>
      <c r="B699" t="s">
        <v>1405</v>
      </c>
      <c r="C699" t="s">
        <v>1382</v>
      </c>
      <c r="D699" t="s">
        <v>1383</v>
      </c>
      <c r="E699" t="s">
        <v>1384</v>
      </c>
      <c r="F699" t="s">
        <v>1385</v>
      </c>
      <c r="G699" t="s">
        <v>1385</v>
      </c>
      <c r="H699" t="s">
        <v>1385</v>
      </c>
      <c r="I699" t="s">
        <v>1386</v>
      </c>
      <c r="J699" t="s">
        <v>1374</v>
      </c>
    </row>
    <row r="700" spans="1:24" customFormat="1">
      <c r="A700" t="s">
        <v>370</v>
      </c>
      <c r="B700" t="s">
        <v>1406</v>
      </c>
      <c r="C700" t="s">
        <v>1388</v>
      </c>
      <c r="D700" t="s">
        <v>1389</v>
      </c>
      <c r="E700" t="s">
        <v>1390</v>
      </c>
      <c r="F700" t="s">
        <v>160</v>
      </c>
      <c r="G700">
        <v>16.100000000000001</v>
      </c>
      <c r="H700" t="s">
        <v>1391</v>
      </c>
      <c r="Q700" t="s">
        <v>1373</v>
      </c>
      <c r="R700" t="s">
        <v>495</v>
      </c>
      <c r="S700" t="s">
        <v>1374</v>
      </c>
    </row>
    <row r="701" spans="1:24" customFormat="1">
      <c r="A701" t="s">
        <v>370</v>
      </c>
      <c r="B701" t="s">
        <v>1407</v>
      </c>
      <c r="Q701" t="s">
        <v>1376</v>
      </c>
      <c r="R701" t="s">
        <v>1377</v>
      </c>
      <c r="S701" t="s">
        <v>1378</v>
      </c>
      <c r="T701" t="s">
        <v>1379</v>
      </c>
      <c r="U701" t="s">
        <v>443</v>
      </c>
      <c r="V701" t="s">
        <v>1380</v>
      </c>
    </row>
    <row r="702" spans="1:24" customFormat="1">
      <c r="A702" t="s">
        <v>370</v>
      </c>
      <c r="B702" t="s">
        <v>1408</v>
      </c>
      <c r="C702" t="s">
        <v>1373</v>
      </c>
      <c r="D702" t="s">
        <v>495</v>
      </c>
      <c r="E702" t="s">
        <v>1374</v>
      </c>
      <c r="Q702" t="s">
        <v>1382</v>
      </c>
      <c r="R702" t="s">
        <v>1383</v>
      </c>
      <c r="S702" t="s">
        <v>1384</v>
      </c>
      <c r="T702" t="s">
        <v>1385</v>
      </c>
      <c r="U702" t="s">
        <v>1385</v>
      </c>
      <c r="V702" t="s">
        <v>1385</v>
      </c>
      <c r="W702" t="s">
        <v>1386</v>
      </c>
      <c r="X702" t="s">
        <v>1374</v>
      </c>
    </row>
    <row r="703" spans="1:24" customFormat="1">
      <c r="A703" t="s">
        <v>370</v>
      </c>
      <c r="B703" t="s">
        <v>1409</v>
      </c>
      <c r="C703" t="s">
        <v>1376</v>
      </c>
      <c r="D703" t="s">
        <v>1377</v>
      </c>
      <c r="E703" t="s">
        <v>1378</v>
      </c>
      <c r="F703" t="s">
        <v>1379</v>
      </c>
      <c r="G703" t="s">
        <v>443</v>
      </c>
      <c r="H703" t="s">
        <v>1380</v>
      </c>
      <c r="Q703" t="s">
        <v>1388</v>
      </c>
      <c r="R703" t="s">
        <v>1389</v>
      </c>
      <c r="S703" t="s">
        <v>1390</v>
      </c>
      <c r="T703" t="s">
        <v>160</v>
      </c>
      <c r="U703">
        <v>16.600000000000001</v>
      </c>
      <c r="V703" t="s">
        <v>1391</v>
      </c>
    </row>
    <row r="704" spans="1:24" customFormat="1">
      <c r="A704" t="s">
        <v>370</v>
      </c>
      <c r="B704" t="s">
        <v>1410</v>
      </c>
      <c r="C704" t="s">
        <v>1382</v>
      </c>
      <c r="D704" t="s">
        <v>1383</v>
      </c>
      <c r="E704" t="s">
        <v>1384</v>
      </c>
      <c r="F704" t="s">
        <v>1385</v>
      </c>
      <c r="G704" t="s">
        <v>1385</v>
      </c>
      <c r="H704" t="s">
        <v>1385</v>
      </c>
      <c r="I704" t="s">
        <v>1386</v>
      </c>
      <c r="J704" t="s">
        <v>1374</v>
      </c>
    </row>
    <row r="705" spans="1:24" customFormat="1">
      <c r="A705" t="s">
        <v>370</v>
      </c>
      <c r="B705" t="s">
        <v>1411</v>
      </c>
      <c r="C705" t="s">
        <v>1388</v>
      </c>
      <c r="D705" t="s">
        <v>1389</v>
      </c>
      <c r="E705" t="s">
        <v>1390</v>
      </c>
      <c r="F705" t="s">
        <v>160</v>
      </c>
      <c r="G705">
        <v>16</v>
      </c>
      <c r="H705" t="s">
        <v>1391</v>
      </c>
      <c r="Q705" t="s">
        <v>1373</v>
      </c>
      <c r="R705" t="s">
        <v>495</v>
      </c>
      <c r="S705" t="s">
        <v>1374</v>
      </c>
    </row>
    <row r="706" spans="1:24" customFormat="1">
      <c r="A706" t="s">
        <v>370</v>
      </c>
      <c r="B706" t="s">
        <v>1412</v>
      </c>
      <c r="Q706" t="s">
        <v>1376</v>
      </c>
      <c r="R706" t="s">
        <v>1377</v>
      </c>
      <c r="S706" t="s">
        <v>1378</v>
      </c>
      <c r="T706" t="s">
        <v>1379</v>
      </c>
      <c r="U706" t="s">
        <v>443</v>
      </c>
      <c r="V706" t="s">
        <v>1380</v>
      </c>
    </row>
    <row r="707" spans="1:24" customFormat="1">
      <c r="A707" t="s">
        <v>370</v>
      </c>
      <c r="B707" t="s">
        <v>1413</v>
      </c>
      <c r="C707" t="s">
        <v>1373</v>
      </c>
      <c r="D707" t="s">
        <v>495</v>
      </c>
      <c r="E707" t="s">
        <v>1374</v>
      </c>
      <c r="Q707" t="s">
        <v>1382</v>
      </c>
      <c r="R707" t="s">
        <v>1383</v>
      </c>
      <c r="S707" t="s">
        <v>1384</v>
      </c>
      <c r="T707" t="s">
        <v>1385</v>
      </c>
      <c r="U707" t="s">
        <v>1385</v>
      </c>
      <c r="V707" t="s">
        <v>1385</v>
      </c>
      <c r="W707" t="s">
        <v>1386</v>
      </c>
      <c r="X707" t="s">
        <v>1374</v>
      </c>
    </row>
    <row r="708" spans="1:24" customFormat="1">
      <c r="A708" t="s">
        <v>370</v>
      </c>
      <c r="B708" t="s">
        <v>1414</v>
      </c>
      <c r="C708" t="s">
        <v>1376</v>
      </c>
      <c r="D708" t="s">
        <v>1377</v>
      </c>
      <c r="E708" t="s">
        <v>1378</v>
      </c>
      <c r="F708" t="s">
        <v>1379</v>
      </c>
      <c r="G708" t="s">
        <v>443</v>
      </c>
      <c r="H708" t="s">
        <v>1380</v>
      </c>
      <c r="Q708" t="s">
        <v>1388</v>
      </c>
      <c r="R708" t="s">
        <v>1389</v>
      </c>
      <c r="S708" t="s">
        <v>1390</v>
      </c>
      <c r="T708" t="s">
        <v>160</v>
      </c>
      <c r="U708">
        <v>16.600000000000001</v>
      </c>
      <c r="V708" t="s">
        <v>1391</v>
      </c>
    </row>
    <row r="709" spans="1:24" customFormat="1">
      <c r="A709" t="s">
        <v>370</v>
      </c>
      <c r="B709" t="s">
        <v>1415</v>
      </c>
      <c r="C709" t="s">
        <v>1382</v>
      </c>
      <c r="D709" t="s">
        <v>1383</v>
      </c>
      <c r="E709" t="s">
        <v>1384</v>
      </c>
      <c r="F709" t="s">
        <v>1385</v>
      </c>
      <c r="G709" t="s">
        <v>1385</v>
      </c>
      <c r="H709" t="s">
        <v>1385</v>
      </c>
      <c r="I709" t="s">
        <v>1386</v>
      </c>
      <c r="J709" t="s">
        <v>1374</v>
      </c>
    </row>
    <row r="710" spans="1:24" customFormat="1">
      <c r="A710" t="s">
        <v>370</v>
      </c>
      <c r="B710" t="s">
        <v>1416</v>
      </c>
      <c r="C710" t="s">
        <v>1388</v>
      </c>
      <c r="D710" t="s">
        <v>1389</v>
      </c>
      <c r="E710" t="s">
        <v>1390</v>
      </c>
      <c r="F710" t="s">
        <v>160</v>
      </c>
      <c r="G710">
        <v>15.8</v>
      </c>
      <c r="H710" t="s">
        <v>1391</v>
      </c>
      <c r="Q710" t="s">
        <v>1373</v>
      </c>
      <c r="R710" t="s">
        <v>495</v>
      </c>
      <c r="S710" t="s">
        <v>1374</v>
      </c>
    </row>
    <row r="711" spans="1:24" customFormat="1">
      <c r="A711" t="s">
        <v>370</v>
      </c>
      <c r="B711" t="s">
        <v>1417</v>
      </c>
      <c r="Q711" t="s">
        <v>1376</v>
      </c>
      <c r="R711" t="s">
        <v>1377</v>
      </c>
      <c r="S711" t="s">
        <v>1378</v>
      </c>
      <c r="T711" t="s">
        <v>1379</v>
      </c>
      <c r="U711" t="s">
        <v>443</v>
      </c>
      <c r="V711" t="s">
        <v>1380</v>
      </c>
    </row>
    <row r="712" spans="1:24" customFormat="1">
      <c r="A712" t="s">
        <v>370</v>
      </c>
      <c r="B712" t="s">
        <v>1418</v>
      </c>
      <c r="C712" t="s">
        <v>1373</v>
      </c>
      <c r="D712" t="s">
        <v>495</v>
      </c>
      <c r="E712" t="s">
        <v>1374</v>
      </c>
      <c r="Q712" t="s">
        <v>1382</v>
      </c>
      <c r="R712" t="s">
        <v>1383</v>
      </c>
      <c r="S712" t="s">
        <v>1384</v>
      </c>
      <c r="T712" t="s">
        <v>1385</v>
      </c>
      <c r="U712" t="s">
        <v>1385</v>
      </c>
      <c r="V712" t="s">
        <v>1385</v>
      </c>
      <c r="W712" t="s">
        <v>1386</v>
      </c>
      <c r="X712" t="s">
        <v>1374</v>
      </c>
    </row>
    <row r="713" spans="1:24" customFormat="1">
      <c r="A713" t="s">
        <v>370</v>
      </c>
      <c r="B713" t="s">
        <v>1419</v>
      </c>
      <c r="C713" t="s">
        <v>1376</v>
      </c>
      <c r="D713" t="s">
        <v>1377</v>
      </c>
      <c r="E713" t="s">
        <v>1378</v>
      </c>
      <c r="F713" t="s">
        <v>1379</v>
      </c>
      <c r="G713" t="s">
        <v>443</v>
      </c>
      <c r="H713" t="s">
        <v>1380</v>
      </c>
      <c r="Q713" t="s">
        <v>1388</v>
      </c>
      <c r="R713" t="s">
        <v>1389</v>
      </c>
      <c r="S713" t="s">
        <v>1390</v>
      </c>
      <c r="T713" t="s">
        <v>160</v>
      </c>
      <c r="U713">
        <v>16.5</v>
      </c>
      <c r="V713" t="s">
        <v>1391</v>
      </c>
    </row>
    <row r="714" spans="1:24" customFormat="1">
      <c r="A714" t="s">
        <v>370</v>
      </c>
      <c r="B714" t="s">
        <v>1420</v>
      </c>
      <c r="C714" t="s">
        <v>1382</v>
      </c>
      <c r="D714" t="s">
        <v>1383</v>
      </c>
      <c r="E714" t="s">
        <v>1384</v>
      </c>
      <c r="F714" t="s">
        <v>1385</v>
      </c>
      <c r="G714" t="s">
        <v>1385</v>
      </c>
      <c r="H714" t="s">
        <v>1385</v>
      </c>
      <c r="I714" t="s">
        <v>1386</v>
      </c>
      <c r="J714" t="s">
        <v>1374</v>
      </c>
    </row>
    <row r="715" spans="1:24" customFormat="1">
      <c r="A715" t="s">
        <v>370</v>
      </c>
      <c r="B715" t="s">
        <v>1421</v>
      </c>
      <c r="C715" t="s">
        <v>1388</v>
      </c>
      <c r="D715" t="s">
        <v>1389</v>
      </c>
      <c r="E715" t="s">
        <v>1390</v>
      </c>
      <c r="F715" t="s">
        <v>160</v>
      </c>
      <c r="G715">
        <v>15.9</v>
      </c>
      <c r="H715" t="s">
        <v>1391</v>
      </c>
      <c r="Q715" t="s">
        <v>1373</v>
      </c>
      <c r="R715" t="s">
        <v>495</v>
      </c>
      <c r="S715" t="s">
        <v>1374</v>
      </c>
    </row>
    <row r="716" spans="1:24" customFormat="1">
      <c r="A716" t="s">
        <v>370</v>
      </c>
      <c r="B716" t="s">
        <v>1422</v>
      </c>
      <c r="Q716" t="s">
        <v>1376</v>
      </c>
      <c r="R716" t="s">
        <v>1377</v>
      </c>
      <c r="S716" t="s">
        <v>1378</v>
      </c>
      <c r="T716" t="s">
        <v>1379</v>
      </c>
      <c r="U716" t="s">
        <v>443</v>
      </c>
      <c r="V716" t="s">
        <v>1380</v>
      </c>
    </row>
    <row r="717" spans="1:24" customFormat="1">
      <c r="A717" t="s">
        <v>370</v>
      </c>
      <c r="B717" t="s">
        <v>1423</v>
      </c>
      <c r="C717" t="s">
        <v>1373</v>
      </c>
      <c r="D717" t="s">
        <v>495</v>
      </c>
      <c r="E717" t="s">
        <v>1374</v>
      </c>
      <c r="Q717" t="s">
        <v>1382</v>
      </c>
      <c r="R717" t="s">
        <v>1383</v>
      </c>
      <c r="S717" t="s">
        <v>1384</v>
      </c>
      <c r="T717" t="s">
        <v>1385</v>
      </c>
      <c r="U717" t="s">
        <v>1385</v>
      </c>
      <c r="V717" t="s">
        <v>1385</v>
      </c>
      <c r="W717" t="s">
        <v>1386</v>
      </c>
      <c r="X717" t="s">
        <v>1374</v>
      </c>
    </row>
    <row r="718" spans="1:24" customFormat="1">
      <c r="A718" t="s">
        <v>370</v>
      </c>
      <c r="B718" t="s">
        <v>1424</v>
      </c>
      <c r="C718" t="s">
        <v>1376</v>
      </c>
      <c r="D718" t="s">
        <v>1377</v>
      </c>
      <c r="E718" t="s">
        <v>1378</v>
      </c>
      <c r="F718" t="s">
        <v>1379</v>
      </c>
      <c r="G718" t="s">
        <v>443</v>
      </c>
      <c r="H718" t="s">
        <v>1380</v>
      </c>
      <c r="Q718" t="s">
        <v>1388</v>
      </c>
      <c r="R718" t="s">
        <v>1389</v>
      </c>
      <c r="S718" t="s">
        <v>1390</v>
      </c>
      <c r="T718" t="s">
        <v>160</v>
      </c>
      <c r="U718">
        <v>16.399999999999999</v>
      </c>
      <c r="V718" t="s">
        <v>1391</v>
      </c>
    </row>
    <row r="719" spans="1:24" customFormat="1">
      <c r="A719" t="s">
        <v>370</v>
      </c>
      <c r="B719" t="s">
        <v>1425</v>
      </c>
      <c r="C719" t="s">
        <v>1382</v>
      </c>
      <c r="D719" t="s">
        <v>1383</v>
      </c>
      <c r="E719" t="s">
        <v>1384</v>
      </c>
      <c r="F719" t="s">
        <v>1385</v>
      </c>
      <c r="G719" t="s">
        <v>1385</v>
      </c>
      <c r="H719" t="s">
        <v>1385</v>
      </c>
      <c r="I719" t="s">
        <v>1386</v>
      </c>
      <c r="J719" t="s">
        <v>1374</v>
      </c>
    </row>
    <row r="720" spans="1:24" customFormat="1">
      <c r="A720" t="s">
        <v>370</v>
      </c>
      <c r="B720" t="s">
        <v>1426</v>
      </c>
      <c r="C720" t="s">
        <v>1388</v>
      </c>
      <c r="D720" t="s">
        <v>1389</v>
      </c>
      <c r="E720" t="s">
        <v>1390</v>
      </c>
      <c r="F720" t="s">
        <v>160</v>
      </c>
      <c r="G720">
        <v>15.8</v>
      </c>
      <c r="H720" t="s">
        <v>1391</v>
      </c>
      <c r="Q720" t="s">
        <v>1373</v>
      </c>
      <c r="R720" t="s">
        <v>495</v>
      </c>
      <c r="S720" t="s">
        <v>1374</v>
      </c>
    </row>
    <row r="721" spans="1:24" customFormat="1">
      <c r="A721" t="s">
        <v>370</v>
      </c>
      <c r="B721" t="s">
        <v>1427</v>
      </c>
      <c r="Q721" t="s">
        <v>1376</v>
      </c>
      <c r="R721" t="s">
        <v>1377</v>
      </c>
      <c r="S721" t="s">
        <v>1378</v>
      </c>
      <c r="T721" t="s">
        <v>1379</v>
      </c>
      <c r="U721" t="s">
        <v>443</v>
      </c>
      <c r="V721" t="s">
        <v>1380</v>
      </c>
    </row>
    <row r="722" spans="1:24" customFormat="1">
      <c r="A722" t="s">
        <v>370</v>
      </c>
      <c r="B722" t="s">
        <v>1428</v>
      </c>
      <c r="C722" t="s">
        <v>1373</v>
      </c>
      <c r="D722" t="s">
        <v>495</v>
      </c>
      <c r="E722" t="s">
        <v>1374</v>
      </c>
      <c r="Q722" t="s">
        <v>1382</v>
      </c>
      <c r="R722" t="s">
        <v>1383</v>
      </c>
      <c r="S722" t="s">
        <v>1384</v>
      </c>
      <c r="T722" t="s">
        <v>1385</v>
      </c>
      <c r="U722" t="s">
        <v>1385</v>
      </c>
      <c r="V722" t="s">
        <v>1385</v>
      </c>
      <c r="W722" t="s">
        <v>1386</v>
      </c>
      <c r="X722" t="s">
        <v>1374</v>
      </c>
    </row>
    <row r="723" spans="1:24" customFormat="1">
      <c r="A723" t="s">
        <v>370</v>
      </c>
      <c r="B723" t="s">
        <v>1429</v>
      </c>
      <c r="C723" t="s">
        <v>1376</v>
      </c>
      <c r="D723" t="s">
        <v>1377</v>
      </c>
      <c r="E723" t="s">
        <v>1378</v>
      </c>
      <c r="F723" t="s">
        <v>1379</v>
      </c>
      <c r="G723" t="s">
        <v>443</v>
      </c>
      <c r="H723" t="s">
        <v>1380</v>
      </c>
      <c r="Q723" t="s">
        <v>1388</v>
      </c>
      <c r="R723" t="s">
        <v>1389</v>
      </c>
      <c r="S723" t="s">
        <v>1390</v>
      </c>
      <c r="T723" t="s">
        <v>160</v>
      </c>
      <c r="U723">
        <v>16.399999999999999</v>
      </c>
      <c r="V723" t="s">
        <v>1391</v>
      </c>
    </row>
    <row r="724" spans="1:24" customFormat="1">
      <c r="A724" t="s">
        <v>370</v>
      </c>
      <c r="B724" t="s">
        <v>1430</v>
      </c>
      <c r="C724" t="s">
        <v>1382</v>
      </c>
      <c r="D724" t="s">
        <v>1383</v>
      </c>
      <c r="E724" t="s">
        <v>1384</v>
      </c>
      <c r="F724" t="s">
        <v>1385</v>
      </c>
      <c r="G724" t="s">
        <v>1385</v>
      </c>
      <c r="H724" t="s">
        <v>1385</v>
      </c>
      <c r="I724" t="s">
        <v>1386</v>
      </c>
      <c r="J724" t="s">
        <v>1374</v>
      </c>
    </row>
    <row r="725" spans="1:24" customFormat="1">
      <c r="A725" t="s">
        <v>370</v>
      </c>
      <c r="B725" t="s">
        <v>1431</v>
      </c>
      <c r="C725" t="s">
        <v>1388</v>
      </c>
      <c r="D725" t="s">
        <v>1389</v>
      </c>
      <c r="E725" t="s">
        <v>1390</v>
      </c>
      <c r="F725" t="s">
        <v>160</v>
      </c>
      <c r="G725">
        <v>15.8</v>
      </c>
      <c r="H725" t="s">
        <v>1391</v>
      </c>
      <c r="Q725" t="s">
        <v>1373</v>
      </c>
      <c r="R725" t="s">
        <v>495</v>
      </c>
      <c r="S725" t="s">
        <v>1374</v>
      </c>
    </row>
    <row r="726" spans="1:24" customFormat="1">
      <c r="A726" t="s">
        <v>370</v>
      </c>
      <c r="B726" t="s">
        <v>1432</v>
      </c>
      <c r="Q726" t="s">
        <v>1376</v>
      </c>
      <c r="R726" t="s">
        <v>1377</v>
      </c>
      <c r="S726" t="s">
        <v>1378</v>
      </c>
      <c r="T726" t="s">
        <v>1379</v>
      </c>
      <c r="U726" t="s">
        <v>443</v>
      </c>
      <c r="V726" t="s">
        <v>1380</v>
      </c>
    </row>
    <row r="727" spans="1:24" customFormat="1">
      <c r="A727" t="s">
        <v>370</v>
      </c>
      <c r="B727" t="s">
        <v>1433</v>
      </c>
      <c r="C727" t="s">
        <v>1373</v>
      </c>
      <c r="D727" t="s">
        <v>495</v>
      </c>
      <c r="E727" t="s">
        <v>1374</v>
      </c>
      <c r="Q727" t="s">
        <v>1382</v>
      </c>
      <c r="R727" t="s">
        <v>1383</v>
      </c>
      <c r="S727" t="s">
        <v>1384</v>
      </c>
      <c r="T727" t="s">
        <v>1385</v>
      </c>
      <c r="U727" t="s">
        <v>1385</v>
      </c>
      <c r="V727" t="s">
        <v>1385</v>
      </c>
      <c r="W727" t="s">
        <v>1386</v>
      </c>
      <c r="X727" t="s">
        <v>1374</v>
      </c>
    </row>
    <row r="728" spans="1:24" customFormat="1">
      <c r="A728" t="s">
        <v>370</v>
      </c>
      <c r="B728" t="s">
        <v>1434</v>
      </c>
      <c r="C728" t="s">
        <v>1376</v>
      </c>
      <c r="D728" t="s">
        <v>1377</v>
      </c>
      <c r="E728" t="s">
        <v>1378</v>
      </c>
      <c r="F728" t="s">
        <v>1379</v>
      </c>
      <c r="G728" t="s">
        <v>443</v>
      </c>
      <c r="H728" t="s">
        <v>1380</v>
      </c>
      <c r="Q728" t="s">
        <v>1388</v>
      </c>
      <c r="R728" t="s">
        <v>1389</v>
      </c>
      <c r="S728" t="s">
        <v>1390</v>
      </c>
      <c r="T728" t="s">
        <v>160</v>
      </c>
      <c r="U728">
        <v>16.3</v>
      </c>
      <c r="V728" t="s">
        <v>1391</v>
      </c>
    </row>
    <row r="729" spans="1:24" customFormat="1">
      <c r="A729" t="s">
        <v>370</v>
      </c>
      <c r="B729" t="s">
        <v>1435</v>
      </c>
      <c r="C729" t="s">
        <v>1382</v>
      </c>
      <c r="D729" t="s">
        <v>1383</v>
      </c>
      <c r="E729" t="s">
        <v>1384</v>
      </c>
      <c r="F729" t="s">
        <v>1385</v>
      </c>
      <c r="G729" t="s">
        <v>1385</v>
      </c>
      <c r="H729" t="s">
        <v>1385</v>
      </c>
      <c r="I729" t="s">
        <v>1386</v>
      </c>
      <c r="J729" t="s">
        <v>1374</v>
      </c>
    </row>
    <row r="730" spans="1:24" customFormat="1">
      <c r="A730" t="s">
        <v>370</v>
      </c>
      <c r="B730" t="s">
        <v>1436</v>
      </c>
      <c r="C730" t="s">
        <v>1388</v>
      </c>
      <c r="D730" t="s">
        <v>1389</v>
      </c>
      <c r="E730" t="s">
        <v>1390</v>
      </c>
      <c r="F730" t="s">
        <v>160</v>
      </c>
      <c r="G730">
        <v>15.8</v>
      </c>
      <c r="H730" t="s">
        <v>1391</v>
      </c>
      <c r="Q730" t="s">
        <v>1373</v>
      </c>
      <c r="R730" t="s">
        <v>495</v>
      </c>
      <c r="S730" t="s">
        <v>1374</v>
      </c>
    </row>
    <row r="731" spans="1:24" customFormat="1">
      <c r="A731" t="s">
        <v>370</v>
      </c>
      <c r="B731" t="s">
        <v>1437</v>
      </c>
      <c r="Q731" t="s">
        <v>1376</v>
      </c>
      <c r="R731" t="s">
        <v>1377</v>
      </c>
      <c r="S731" t="s">
        <v>1378</v>
      </c>
      <c r="T731" t="s">
        <v>1379</v>
      </c>
      <c r="U731" t="s">
        <v>443</v>
      </c>
      <c r="V731" t="s">
        <v>1380</v>
      </c>
    </row>
    <row r="732" spans="1:24" customFormat="1">
      <c r="A732" t="s">
        <v>370</v>
      </c>
      <c r="B732" t="s">
        <v>1438</v>
      </c>
      <c r="C732" t="s">
        <v>1373</v>
      </c>
      <c r="D732" t="s">
        <v>495</v>
      </c>
      <c r="E732" t="s">
        <v>1374</v>
      </c>
      <c r="Q732" t="s">
        <v>1382</v>
      </c>
      <c r="R732" t="s">
        <v>1383</v>
      </c>
      <c r="S732" t="s">
        <v>1384</v>
      </c>
      <c r="T732" t="s">
        <v>1385</v>
      </c>
      <c r="U732" t="s">
        <v>1385</v>
      </c>
      <c r="V732" t="s">
        <v>1385</v>
      </c>
      <c r="W732" t="s">
        <v>1386</v>
      </c>
      <c r="X732" t="s">
        <v>1374</v>
      </c>
    </row>
    <row r="733" spans="1:24" customFormat="1">
      <c r="A733" t="s">
        <v>370</v>
      </c>
      <c r="B733" t="s">
        <v>1439</v>
      </c>
      <c r="C733" t="s">
        <v>1376</v>
      </c>
      <c r="D733" t="s">
        <v>1377</v>
      </c>
      <c r="E733" t="s">
        <v>1378</v>
      </c>
      <c r="F733" t="s">
        <v>1379</v>
      </c>
      <c r="G733" t="s">
        <v>443</v>
      </c>
      <c r="H733" t="s">
        <v>1380</v>
      </c>
      <c r="Q733" t="s">
        <v>1388</v>
      </c>
      <c r="R733" t="s">
        <v>1389</v>
      </c>
      <c r="S733" t="s">
        <v>1390</v>
      </c>
      <c r="T733" t="s">
        <v>160</v>
      </c>
      <c r="U733">
        <v>16.3</v>
      </c>
      <c r="V733" t="s">
        <v>1391</v>
      </c>
    </row>
    <row r="734" spans="1:24" customFormat="1">
      <c r="A734" t="s">
        <v>370</v>
      </c>
      <c r="B734" t="s">
        <v>1440</v>
      </c>
      <c r="C734" t="s">
        <v>1382</v>
      </c>
      <c r="D734" t="s">
        <v>1383</v>
      </c>
      <c r="E734" t="s">
        <v>1384</v>
      </c>
      <c r="F734" t="s">
        <v>1385</v>
      </c>
      <c r="G734" t="s">
        <v>1385</v>
      </c>
      <c r="H734" t="s">
        <v>1385</v>
      </c>
      <c r="I734" t="s">
        <v>1386</v>
      </c>
      <c r="J734" t="s">
        <v>1374</v>
      </c>
    </row>
    <row r="735" spans="1:24" customFormat="1">
      <c r="A735" t="s">
        <v>370</v>
      </c>
      <c r="B735" t="s">
        <v>1441</v>
      </c>
      <c r="C735" t="s">
        <v>1388</v>
      </c>
      <c r="D735" t="s">
        <v>1389</v>
      </c>
      <c r="E735" t="s">
        <v>1390</v>
      </c>
      <c r="F735" t="s">
        <v>160</v>
      </c>
      <c r="G735">
        <v>15.9</v>
      </c>
      <c r="H735" t="s">
        <v>1391</v>
      </c>
      <c r="Q735" t="s">
        <v>1373</v>
      </c>
      <c r="R735" t="s">
        <v>495</v>
      </c>
      <c r="S735" t="s">
        <v>1374</v>
      </c>
    </row>
    <row r="736" spans="1:24" customFormat="1">
      <c r="A736" t="s">
        <v>370</v>
      </c>
      <c r="B736" t="s">
        <v>1442</v>
      </c>
      <c r="Q736" t="s">
        <v>1376</v>
      </c>
      <c r="R736" t="s">
        <v>1377</v>
      </c>
      <c r="S736" t="s">
        <v>1378</v>
      </c>
      <c r="T736" t="s">
        <v>1379</v>
      </c>
      <c r="U736" t="s">
        <v>443</v>
      </c>
      <c r="V736" t="s">
        <v>1380</v>
      </c>
    </row>
    <row r="737" spans="1:24" customFormat="1">
      <c r="A737" t="s">
        <v>370</v>
      </c>
      <c r="B737" t="s">
        <v>1443</v>
      </c>
      <c r="C737" t="s">
        <v>1373</v>
      </c>
      <c r="D737" t="s">
        <v>495</v>
      </c>
      <c r="E737" t="s">
        <v>1374</v>
      </c>
      <c r="Q737" t="s">
        <v>1382</v>
      </c>
      <c r="R737" t="s">
        <v>1383</v>
      </c>
      <c r="S737" t="s">
        <v>1384</v>
      </c>
      <c r="T737" t="s">
        <v>1385</v>
      </c>
      <c r="U737" t="s">
        <v>1385</v>
      </c>
      <c r="V737" t="s">
        <v>1385</v>
      </c>
      <c r="W737" t="s">
        <v>1386</v>
      </c>
      <c r="X737" t="s">
        <v>1374</v>
      </c>
    </row>
    <row r="738" spans="1:24" customFormat="1">
      <c r="A738" t="s">
        <v>370</v>
      </c>
      <c r="B738" t="s">
        <v>1444</v>
      </c>
      <c r="C738" t="s">
        <v>1376</v>
      </c>
      <c r="D738" t="s">
        <v>1377</v>
      </c>
      <c r="E738" t="s">
        <v>1378</v>
      </c>
      <c r="F738" t="s">
        <v>1379</v>
      </c>
      <c r="G738" t="s">
        <v>443</v>
      </c>
      <c r="H738" t="s">
        <v>1380</v>
      </c>
      <c r="Q738" t="s">
        <v>1388</v>
      </c>
      <c r="R738" t="s">
        <v>1389</v>
      </c>
      <c r="S738" t="s">
        <v>1390</v>
      </c>
      <c r="T738" t="s">
        <v>160</v>
      </c>
      <c r="U738">
        <v>16.3</v>
      </c>
      <c r="V738" t="s">
        <v>1391</v>
      </c>
    </row>
    <row r="739" spans="1:24" customFormat="1">
      <c r="A739" t="s">
        <v>370</v>
      </c>
      <c r="B739" t="s">
        <v>1445</v>
      </c>
      <c r="C739" t="s">
        <v>1382</v>
      </c>
      <c r="D739" t="s">
        <v>1383</v>
      </c>
      <c r="E739" t="s">
        <v>1384</v>
      </c>
      <c r="F739" t="s">
        <v>1385</v>
      </c>
      <c r="G739" t="s">
        <v>1385</v>
      </c>
      <c r="H739" t="s">
        <v>1385</v>
      </c>
      <c r="I739" t="s">
        <v>1386</v>
      </c>
      <c r="J739" t="s">
        <v>1374</v>
      </c>
    </row>
    <row r="740" spans="1:24" customFormat="1">
      <c r="A740" t="s">
        <v>370</v>
      </c>
      <c r="B740" t="s">
        <v>1446</v>
      </c>
      <c r="C740" t="s">
        <v>1388</v>
      </c>
      <c r="D740" t="s">
        <v>1389</v>
      </c>
      <c r="E740" t="s">
        <v>1390</v>
      </c>
      <c r="F740" t="s">
        <v>160</v>
      </c>
      <c r="G740">
        <v>15.8</v>
      </c>
      <c r="H740" t="s">
        <v>1391</v>
      </c>
      <c r="Q740" t="s">
        <v>1373</v>
      </c>
      <c r="R740" t="s">
        <v>495</v>
      </c>
      <c r="S740" t="s">
        <v>1374</v>
      </c>
    </row>
    <row r="741" spans="1:24" customFormat="1">
      <c r="A741" t="s">
        <v>370</v>
      </c>
      <c r="B741" t="s">
        <v>1447</v>
      </c>
      <c r="Q741" t="s">
        <v>1376</v>
      </c>
      <c r="R741" t="s">
        <v>1377</v>
      </c>
      <c r="S741" t="s">
        <v>1378</v>
      </c>
      <c r="T741" t="s">
        <v>1379</v>
      </c>
      <c r="U741" t="s">
        <v>443</v>
      </c>
      <c r="V741" t="s">
        <v>1380</v>
      </c>
    </row>
    <row r="742" spans="1:24" customFormat="1">
      <c r="A742" t="s">
        <v>370</v>
      </c>
      <c r="B742" t="s">
        <v>1448</v>
      </c>
      <c r="C742" t="s">
        <v>1373</v>
      </c>
      <c r="D742" t="s">
        <v>495</v>
      </c>
      <c r="E742" t="s">
        <v>1374</v>
      </c>
      <c r="Q742" t="s">
        <v>1382</v>
      </c>
      <c r="R742" t="s">
        <v>1383</v>
      </c>
      <c r="S742" t="s">
        <v>1384</v>
      </c>
      <c r="T742" t="s">
        <v>1385</v>
      </c>
      <c r="U742" t="s">
        <v>1385</v>
      </c>
      <c r="V742" t="s">
        <v>1385</v>
      </c>
      <c r="W742" t="s">
        <v>1386</v>
      </c>
      <c r="X742" t="s">
        <v>1374</v>
      </c>
    </row>
    <row r="743" spans="1:24" customFormat="1">
      <c r="A743" t="s">
        <v>370</v>
      </c>
      <c r="B743" t="s">
        <v>1449</v>
      </c>
      <c r="C743" t="s">
        <v>1376</v>
      </c>
      <c r="D743" t="s">
        <v>1377</v>
      </c>
      <c r="E743" t="s">
        <v>1378</v>
      </c>
      <c r="F743" t="s">
        <v>1379</v>
      </c>
      <c r="G743" t="s">
        <v>443</v>
      </c>
      <c r="H743" t="s">
        <v>1380</v>
      </c>
      <c r="Q743" t="s">
        <v>1388</v>
      </c>
      <c r="R743" t="s">
        <v>1389</v>
      </c>
      <c r="S743" t="s">
        <v>1390</v>
      </c>
      <c r="T743" t="s">
        <v>160</v>
      </c>
      <c r="U743">
        <v>16.3</v>
      </c>
      <c r="V743" t="s">
        <v>1391</v>
      </c>
    </row>
    <row r="744" spans="1:24" customFormat="1">
      <c r="A744" t="s">
        <v>370</v>
      </c>
      <c r="B744" t="s">
        <v>1450</v>
      </c>
      <c r="C744" t="s">
        <v>1382</v>
      </c>
      <c r="D744" t="s">
        <v>1383</v>
      </c>
      <c r="E744" t="s">
        <v>1384</v>
      </c>
      <c r="F744" t="s">
        <v>1385</v>
      </c>
      <c r="G744" t="s">
        <v>1385</v>
      </c>
      <c r="H744" t="s">
        <v>1385</v>
      </c>
      <c r="I744" t="s">
        <v>1386</v>
      </c>
      <c r="J744" t="s">
        <v>1374</v>
      </c>
    </row>
    <row r="745" spans="1:24" customFormat="1">
      <c r="A745" t="s">
        <v>370</v>
      </c>
      <c r="B745" t="s">
        <v>1451</v>
      </c>
      <c r="C745" t="s">
        <v>1388</v>
      </c>
      <c r="D745" t="s">
        <v>1389</v>
      </c>
      <c r="E745" t="s">
        <v>1390</v>
      </c>
      <c r="F745" t="s">
        <v>160</v>
      </c>
      <c r="G745">
        <v>15.7</v>
      </c>
      <c r="H745" t="s">
        <v>1391</v>
      </c>
      <c r="Q745" t="s">
        <v>1373</v>
      </c>
      <c r="R745" t="s">
        <v>495</v>
      </c>
      <c r="S745" t="s">
        <v>1374</v>
      </c>
    </row>
    <row r="746" spans="1:24" customFormat="1">
      <c r="A746" t="s">
        <v>370</v>
      </c>
      <c r="B746" t="s">
        <v>1452</v>
      </c>
      <c r="Q746" t="s">
        <v>1376</v>
      </c>
      <c r="R746" t="s">
        <v>1377</v>
      </c>
      <c r="S746" t="s">
        <v>1378</v>
      </c>
      <c r="T746" t="s">
        <v>1379</v>
      </c>
      <c r="U746" t="s">
        <v>443</v>
      </c>
      <c r="V746" t="s">
        <v>1380</v>
      </c>
    </row>
    <row r="747" spans="1:24" customFormat="1">
      <c r="A747" t="s">
        <v>370</v>
      </c>
      <c r="B747" t="s">
        <v>1453</v>
      </c>
      <c r="C747" t="s">
        <v>1373</v>
      </c>
      <c r="D747" t="s">
        <v>495</v>
      </c>
      <c r="E747" t="s">
        <v>1374</v>
      </c>
      <c r="Q747" t="s">
        <v>1382</v>
      </c>
      <c r="R747" t="s">
        <v>1383</v>
      </c>
      <c r="S747" t="s">
        <v>1384</v>
      </c>
      <c r="T747" t="s">
        <v>1385</v>
      </c>
      <c r="U747" t="s">
        <v>1385</v>
      </c>
      <c r="V747" t="s">
        <v>1385</v>
      </c>
      <c r="W747" t="s">
        <v>1386</v>
      </c>
      <c r="X747" t="s">
        <v>1374</v>
      </c>
    </row>
    <row r="748" spans="1:24" customFormat="1">
      <c r="A748" t="s">
        <v>370</v>
      </c>
      <c r="B748" t="s">
        <v>1454</v>
      </c>
      <c r="C748" t="s">
        <v>1376</v>
      </c>
      <c r="D748" t="s">
        <v>1377</v>
      </c>
      <c r="E748" t="s">
        <v>1378</v>
      </c>
      <c r="F748" t="s">
        <v>1379</v>
      </c>
      <c r="G748" t="s">
        <v>443</v>
      </c>
      <c r="H748" t="s">
        <v>1380</v>
      </c>
      <c r="Q748" t="s">
        <v>1388</v>
      </c>
      <c r="R748" t="s">
        <v>1389</v>
      </c>
      <c r="S748" t="s">
        <v>1390</v>
      </c>
      <c r="T748" t="s">
        <v>160</v>
      </c>
      <c r="U748">
        <v>16.2</v>
      </c>
      <c r="V748" t="s">
        <v>1391</v>
      </c>
    </row>
    <row r="749" spans="1:24" customFormat="1">
      <c r="A749" t="s">
        <v>370</v>
      </c>
      <c r="B749" t="s">
        <v>1455</v>
      </c>
      <c r="C749" t="s">
        <v>1382</v>
      </c>
      <c r="D749" t="s">
        <v>1383</v>
      </c>
      <c r="E749" t="s">
        <v>1384</v>
      </c>
      <c r="F749" t="s">
        <v>1385</v>
      </c>
      <c r="G749" t="s">
        <v>1385</v>
      </c>
      <c r="H749" t="s">
        <v>1385</v>
      </c>
      <c r="I749" t="s">
        <v>1386</v>
      </c>
      <c r="J749" t="s">
        <v>1374</v>
      </c>
    </row>
    <row r="750" spans="1:24" customFormat="1">
      <c r="A750" t="s">
        <v>370</v>
      </c>
      <c r="B750" t="s">
        <v>1456</v>
      </c>
      <c r="C750" t="s">
        <v>1388</v>
      </c>
      <c r="D750" t="s">
        <v>1389</v>
      </c>
      <c r="E750" t="s">
        <v>1390</v>
      </c>
      <c r="F750" t="s">
        <v>160</v>
      </c>
      <c r="G750">
        <v>15.7</v>
      </c>
      <c r="H750" t="s">
        <v>1391</v>
      </c>
      <c r="Q750" t="s">
        <v>1373</v>
      </c>
      <c r="R750" t="s">
        <v>495</v>
      </c>
      <c r="S750" t="s">
        <v>1374</v>
      </c>
    </row>
    <row r="751" spans="1:24" customFormat="1">
      <c r="A751" t="s">
        <v>370</v>
      </c>
      <c r="B751" t="s">
        <v>1457</v>
      </c>
      <c r="Q751" t="s">
        <v>1376</v>
      </c>
      <c r="R751" t="s">
        <v>1377</v>
      </c>
      <c r="S751" t="s">
        <v>1378</v>
      </c>
      <c r="T751" t="s">
        <v>1379</v>
      </c>
      <c r="U751" t="s">
        <v>443</v>
      </c>
      <c r="V751" t="s">
        <v>1380</v>
      </c>
    </row>
    <row r="752" spans="1:24" customFormat="1">
      <c r="A752" t="s">
        <v>370</v>
      </c>
      <c r="B752" t="s">
        <v>1458</v>
      </c>
      <c r="C752" t="s">
        <v>1373</v>
      </c>
      <c r="D752" t="s">
        <v>495</v>
      </c>
      <c r="E752" t="s">
        <v>1374</v>
      </c>
      <c r="Q752" t="s">
        <v>1382</v>
      </c>
      <c r="R752" t="s">
        <v>1383</v>
      </c>
      <c r="S752" t="s">
        <v>1384</v>
      </c>
      <c r="T752" t="s">
        <v>1385</v>
      </c>
      <c r="U752" t="s">
        <v>1385</v>
      </c>
      <c r="V752" t="s">
        <v>1385</v>
      </c>
      <c r="W752" t="s">
        <v>1386</v>
      </c>
      <c r="X752" t="s">
        <v>1374</v>
      </c>
    </row>
    <row r="753" spans="1:24" customFormat="1">
      <c r="A753" t="s">
        <v>370</v>
      </c>
      <c r="B753" t="s">
        <v>1459</v>
      </c>
      <c r="C753" t="s">
        <v>1376</v>
      </c>
      <c r="D753" t="s">
        <v>1377</v>
      </c>
      <c r="E753" t="s">
        <v>1378</v>
      </c>
      <c r="F753" t="s">
        <v>1379</v>
      </c>
      <c r="G753" t="s">
        <v>443</v>
      </c>
      <c r="H753" t="s">
        <v>1380</v>
      </c>
      <c r="Q753" t="s">
        <v>1388</v>
      </c>
      <c r="R753" t="s">
        <v>1389</v>
      </c>
      <c r="S753" t="s">
        <v>1390</v>
      </c>
      <c r="T753" t="s">
        <v>160</v>
      </c>
      <c r="U753">
        <v>16.100000000000001</v>
      </c>
      <c r="V753" t="s">
        <v>1391</v>
      </c>
    </row>
    <row r="754" spans="1:24" customFormat="1">
      <c r="A754" t="s">
        <v>370</v>
      </c>
      <c r="B754" t="s">
        <v>1460</v>
      </c>
      <c r="C754" t="s">
        <v>1382</v>
      </c>
      <c r="D754" t="s">
        <v>1383</v>
      </c>
      <c r="E754" t="s">
        <v>1384</v>
      </c>
      <c r="F754" t="s">
        <v>1385</v>
      </c>
      <c r="G754" t="s">
        <v>1385</v>
      </c>
      <c r="H754" t="s">
        <v>1385</v>
      </c>
      <c r="I754" t="s">
        <v>1386</v>
      </c>
      <c r="J754" t="s">
        <v>1374</v>
      </c>
    </row>
    <row r="755" spans="1:24" customFormat="1">
      <c r="A755" t="s">
        <v>370</v>
      </c>
      <c r="B755" t="s">
        <v>1461</v>
      </c>
      <c r="C755" t="s">
        <v>1388</v>
      </c>
      <c r="D755" t="s">
        <v>1389</v>
      </c>
      <c r="E755" t="s">
        <v>1390</v>
      </c>
      <c r="F755" t="s">
        <v>160</v>
      </c>
      <c r="G755">
        <v>15.6</v>
      </c>
      <c r="H755" t="s">
        <v>1391</v>
      </c>
      <c r="Q755" t="s">
        <v>1373</v>
      </c>
      <c r="R755" t="s">
        <v>495</v>
      </c>
      <c r="S755" t="s">
        <v>1374</v>
      </c>
    </row>
    <row r="756" spans="1:24" customFormat="1">
      <c r="A756" t="s">
        <v>370</v>
      </c>
      <c r="B756" t="s">
        <v>1462</v>
      </c>
      <c r="Q756" t="s">
        <v>1376</v>
      </c>
      <c r="R756" t="s">
        <v>1377</v>
      </c>
      <c r="S756" t="s">
        <v>1378</v>
      </c>
      <c r="T756" t="s">
        <v>1379</v>
      </c>
      <c r="U756" t="s">
        <v>443</v>
      </c>
      <c r="V756" t="s">
        <v>1380</v>
      </c>
    </row>
    <row r="757" spans="1:24" customFormat="1">
      <c r="A757" t="s">
        <v>370</v>
      </c>
      <c r="B757" t="s">
        <v>1463</v>
      </c>
      <c r="C757" t="s">
        <v>1373</v>
      </c>
      <c r="D757" t="s">
        <v>495</v>
      </c>
      <c r="E757" t="s">
        <v>1374</v>
      </c>
      <c r="Q757" t="s">
        <v>1382</v>
      </c>
      <c r="R757" t="s">
        <v>1383</v>
      </c>
      <c r="S757" t="s">
        <v>1384</v>
      </c>
      <c r="T757" t="s">
        <v>1385</v>
      </c>
      <c r="U757" t="s">
        <v>1385</v>
      </c>
      <c r="V757" t="s">
        <v>1385</v>
      </c>
      <c r="W757" t="s">
        <v>1386</v>
      </c>
      <c r="X757" t="s">
        <v>1374</v>
      </c>
    </row>
    <row r="758" spans="1:24" customFormat="1">
      <c r="A758" t="s">
        <v>370</v>
      </c>
      <c r="B758" t="s">
        <v>1464</v>
      </c>
      <c r="C758" t="s">
        <v>1376</v>
      </c>
      <c r="D758" t="s">
        <v>1377</v>
      </c>
      <c r="E758" t="s">
        <v>1378</v>
      </c>
      <c r="F758" t="s">
        <v>1379</v>
      </c>
      <c r="G758" t="s">
        <v>443</v>
      </c>
      <c r="H758" t="s">
        <v>1380</v>
      </c>
      <c r="Q758" t="s">
        <v>1388</v>
      </c>
      <c r="R758" t="s">
        <v>1389</v>
      </c>
      <c r="S758" t="s">
        <v>1390</v>
      </c>
      <c r="T758" t="s">
        <v>160</v>
      </c>
      <c r="U758">
        <v>16.100000000000001</v>
      </c>
      <c r="V758" t="s">
        <v>1391</v>
      </c>
    </row>
    <row r="759" spans="1:24" customFormat="1">
      <c r="A759" t="s">
        <v>370</v>
      </c>
      <c r="B759" t="s">
        <v>1465</v>
      </c>
      <c r="C759" t="s">
        <v>1382</v>
      </c>
      <c r="D759" t="s">
        <v>1383</v>
      </c>
      <c r="E759" t="s">
        <v>1384</v>
      </c>
      <c r="F759" t="s">
        <v>1385</v>
      </c>
      <c r="G759" t="s">
        <v>1385</v>
      </c>
      <c r="H759" t="s">
        <v>1385</v>
      </c>
      <c r="I759" t="s">
        <v>1386</v>
      </c>
      <c r="J759" t="s">
        <v>1374</v>
      </c>
    </row>
    <row r="760" spans="1:24" customFormat="1">
      <c r="A760" t="s">
        <v>370</v>
      </c>
      <c r="B760" t="s">
        <v>1466</v>
      </c>
      <c r="C760" t="s">
        <v>1388</v>
      </c>
      <c r="D760" t="s">
        <v>1389</v>
      </c>
      <c r="E760" t="s">
        <v>1390</v>
      </c>
      <c r="F760" t="s">
        <v>160</v>
      </c>
      <c r="G760">
        <v>15.6</v>
      </c>
      <c r="H760" t="s">
        <v>1391</v>
      </c>
      <c r="Q760" t="s">
        <v>1373</v>
      </c>
      <c r="R760" t="s">
        <v>495</v>
      </c>
      <c r="S760" t="s">
        <v>1374</v>
      </c>
    </row>
    <row r="761" spans="1:24" customFormat="1">
      <c r="A761" t="s">
        <v>370</v>
      </c>
      <c r="B761" t="s">
        <v>1467</v>
      </c>
      <c r="Q761" t="s">
        <v>1376</v>
      </c>
      <c r="R761" t="s">
        <v>1377</v>
      </c>
      <c r="S761" t="s">
        <v>1378</v>
      </c>
      <c r="T761" t="s">
        <v>1379</v>
      </c>
      <c r="U761" t="s">
        <v>443</v>
      </c>
      <c r="V761" t="s">
        <v>1380</v>
      </c>
    </row>
    <row r="762" spans="1:24" customFormat="1">
      <c r="A762" t="s">
        <v>370</v>
      </c>
      <c r="B762" t="s">
        <v>1468</v>
      </c>
      <c r="C762" t="s">
        <v>1373</v>
      </c>
      <c r="D762" t="s">
        <v>495</v>
      </c>
      <c r="E762" t="s">
        <v>1374</v>
      </c>
      <c r="Q762" t="s">
        <v>1382</v>
      </c>
      <c r="R762" t="s">
        <v>1383</v>
      </c>
      <c r="S762" t="s">
        <v>1384</v>
      </c>
      <c r="T762" t="s">
        <v>1385</v>
      </c>
      <c r="U762" t="s">
        <v>1385</v>
      </c>
      <c r="V762" t="s">
        <v>1385</v>
      </c>
      <c r="W762" t="s">
        <v>1386</v>
      </c>
      <c r="X762" t="s">
        <v>1374</v>
      </c>
    </row>
    <row r="763" spans="1:24" customFormat="1">
      <c r="A763" t="s">
        <v>370</v>
      </c>
      <c r="B763" t="s">
        <v>1469</v>
      </c>
      <c r="C763" t="s">
        <v>1376</v>
      </c>
      <c r="D763" t="s">
        <v>1377</v>
      </c>
      <c r="E763" t="s">
        <v>1378</v>
      </c>
      <c r="F763" t="s">
        <v>1379</v>
      </c>
      <c r="G763" t="s">
        <v>443</v>
      </c>
      <c r="H763" t="s">
        <v>1380</v>
      </c>
      <c r="Q763" t="s">
        <v>1388</v>
      </c>
      <c r="R763" t="s">
        <v>1389</v>
      </c>
      <c r="S763" t="s">
        <v>1390</v>
      </c>
      <c r="T763" t="s">
        <v>160</v>
      </c>
      <c r="U763">
        <v>16.2</v>
      </c>
      <c r="V763" t="s">
        <v>1391</v>
      </c>
    </row>
    <row r="764" spans="1:24" customFormat="1">
      <c r="A764" t="s">
        <v>370</v>
      </c>
      <c r="B764" t="s">
        <v>1470</v>
      </c>
      <c r="C764" t="s">
        <v>1382</v>
      </c>
      <c r="D764" t="s">
        <v>1383</v>
      </c>
      <c r="E764" t="s">
        <v>1384</v>
      </c>
      <c r="F764" t="s">
        <v>1385</v>
      </c>
      <c r="G764" t="s">
        <v>1385</v>
      </c>
      <c r="H764" t="s">
        <v>1385</v>
      </c>
      <c r="I764" t="s">
        <v>1386</v>
      </c>
      <c r="J764" t="s">
        <v>1374</v>
      </c>
    </row>
    <row r="765" spans="1:24" customFormat="1">
      <c r="A765" t="s">
        <v>370</v>
      </c>
      <c r="B765" t="s">
        <v>1471</v>
      </c>
      <c r="C765" t="s">
        <v>1388</v>
      </c>
      <c r="D765" t="s">
        <v>1389</v>
      </c>
      <c r="E765" t="s">
        <v>1390</v>
      </c>
      <c r="F765" t="s">
        <v>160</v>
      </c>
      <c r="G765">
        <v>15.6</v>
      </c>
      <c r="H765" t="s">
        <v>1391</v>
      </c>
      <c r="Q765" t="s">
        <v>1373</v>
      </c>
      <c r="R765" t="s">
        <v>495</v>
      </c>
      <c r="S765" t="s">
        <v>1374</v>
      </c>
    </row>
    <row r="766" spans="1:24" customFormat="1">
      <c r="A766" t="s">
        <v>370</v>
      </c>
      <c r="B766" t="s">
        <v>1472</v>
      </c>
      <c r="Q766" t="s">
        <v>1376</v>
      </c>
      <c r="R766" t="s">
        <v>1377</v>
      </c>
      <c r="S766" t="s">
        <v>1378</v>
      </c>
      <c r="T766" t="s">
        <v>1379</v>
      </c>
      <c r="U766" t="s">
        <v>443</v>
      </c>
      <c r="V766" t="s">
        <v>1380</v>
      </c>
    </row>
    <row r="767" spans="1:24" customFormat="1">
      <c r="A767" t="s">
        <v>370</v>
      </c>
      <c r="B767" t="s">
        <v>1473</v>
      </c>
      <c r="C767" t="s">
        <v>1373</v>
      </c>
      <c r="D767" t="s">
        <v>495</v>
      </c>
      <c r="E767" t="s">
        <v>1374</v>
      </c>
      <c r="Q767" t="s">
        <v>1382</v>
      </c>
      <c r="R767" t="s">
        <v>1383</v>
      </c>
      <c r="S767" t="s">
        <v>1384</v>
      </c>
      <c r="T767" t="s">
        <v>1385</v>
      </c>
      <c r="U767" t="s">
        <v>1385</v>
      </c>
      <c r="V767" t="s">
        <v>1385</v>
      </c>
      <c r="W767" t="s">
        <v>1386</v>
      </c>
      <c r="X767" t="s">
        <v>1374</v>
      </c>
    </row>
    <row r="768" spans="1:24" customFormat="1">
      <c r="A768" t="s">
        <v>370</v>
      </c>
      <c r="B768" t="s">
        <v>1474</v>
      </c>
      <c r="C768" t="s">
        <v>1376</v>
      </c>
      <c r="D768" t="s">
        <v>1377</v>
      </c>
      <c r="E768" t="s">
        <v>1378</v>
      </c>
      <c r="F768" t="s">
        <v>1379</v>
      </c>
      <c r="G768" t="s">
        <v>443</v>
      </c>
      <c r="H768" t="s">
        <v>1380</v>
      </c>
      <c r="Q768" t="s">
        <v>1388</v>
      </c>
      <c r="R768" t="s">
        <v>1389</v>
      </c>
      <c r="S768" t="s">
        <v>1390</v>
      </c>
      <c r="T768" t="s">
        <v>160</v>
      </c>
      <c r="U768">
        <v>16.2</v>
      </c>
      <c r="V768" t="s">
        <v>1391</v>
      </c>
    </row>
    <row r="769" spans="1:22" customFormat="1">
      <c r="A769" t="s">
        <v>370</v>
      </c>
      <c r="B769" t="s">
        <v>1475</v>
      </c>
      <c r="C769" t="s">
        <v>1382</v>
      </c>
      <c r="D769" t="s">
        <v>1383</v>
      </c>
      <c r="E769" t="s">
        <v>1384</v>
      </c>
      <c r="F769" t="s">
        <v>1385</v>
      </c>
      <c r="G769" t="s">
        <v>1385</v>
      </c>
      <c r="H769" t="s">
        <v>1385</v>
      </c>
      <c r="I769" t="s">
        <v>1386</v>
      </c>
      <c r="J769" t="s">
        <v>1374</v>
      </c>
    </row>
    <row r="770" spans="1:22" customFormat="1">
      <c r="A770" t="s">
        <v>370</v>
      </c>
      <c r="B770" t="s">
        <v>1476</v>
      </c>
      <c r="C770" t="s">
        <v>1388</v>
      </c>
      <c r="D770" t="s">
        <v>1389</v>
      </c>
      <c r="E770" t="s">
        <v>1390</v>
      </c>
      <c r="F770" t="s">
        <v>160</v>
      </c>
      <c r="G770">
        <v>15.5</v>
      </c>
      <c r="H770" t="s">
        <v>1391</v>
      </c>
      <c r="Q770" t="s">
        <v>1373</v>
      </c>
      <c r="R770" t="s">
        <v>495</v>
      </c>
      <c r="S770" t="s">
        <v>1374</v>
      </c>
    </row>
    <row r="771" spans="1:22" customFormat="1">
      <c r="A771" t="s">
        <v>370</v>
      </c>
      <c r="B771" t="s">
        <v>1477</v>
      </c>
      <c r="Q771" t="s">
        <v>1376</v>
      </c>
      <c r="R771" t="s">
        <v>1377</v>
      </c>
      <c r="S771" t="s">
        <v>1378</v>
      </c>
      <c r="T771" t="s">
        <v>1379</v>
      </c>
      <c r="U771" t="s">
        <v>443</v>
      </c>
      <c r="V771" t="s">
        <v>1500</v>
      </c>
    </row>
    <row r="772" spans="1:22" customFormat="1">
      <c r="A772" t="s">
        <v>370</v>
      </c>
      <c r="B772" t="s">
        <v>1478</v>
      </c>
      <c r="C772" t="s">
        <v>1373</v>
      </c>
      <c r="D772" t="s">
        <v>495</v>
      </c>
      <c r="E772" t="s">
        <v>1374</v>
      </c>
    </row>
    <row r="773" spans="1:22" customFormat="1">
      <c r="A773" t="s">
        <v>370</v>
      </c>
      <c r="B773" t="s">
        <v>1479</v>
      </c>
      <c r="C773" t="s">
        <v>1376</v>
      </c>
      <c r="D773" t="s">
        <v>1377</v>
      </c>
      <c r="E773" t="s">
        <v>1378</v>
      </c>
      <c r="F773" t="s">
        <v>1379</v>
      </c>
      <c r="G773" t="s">
        <v>443</v>
      </c>
      <c r="H773" t="s">
        <v>1380</v>
      </c>
      <c r="P773" t="s">
        <v>381</v>
      </c>
    </row>
    <row r="774" spans="1:22" customFormat="1">
      <c r="A774" t="s">
        <v>370</v>
      </c>
      <c r="B774" t="s">
        <v>1480</v>
      </c>
      <c r="C774" t="s">
        <v>1382</v>
      </c>
      <c r="D774" t="s">
        <v>1383</v>
      </c>
      <c r="E774" t="s">
        <v>1384</v>
      </c>
      <c r="F774" t="s">
        <v>1385</v>
      </c>
      <c r="G774" t="s">
        <v>1385</v>
      </c>
      <c r="H774" t="s">
        <v>1385</v>
      </c>
      <c r="I774" t="s">
        <v>1386</v>
      </c>
      <c r="J774" t="s">
        <v>1374</v>
      </c>
    </row>
    <row r="775" spans="1:22" customFormat="1">
      <c r="A775" t="s">
        <v>370</v>
      </c>
      <c r="B775" t="s">
        <v>1481</v>
      </c>
      <c r="C775" t="s">
        <v>1388</v>
      </c>
      <c r="D775" t="s">
        <v>1389</v>
      </c>
      <c r="E775" t="s">
        <v>1390</v>
      </c>
      <c r="F775" t="s">
        <v>160</v>
      </c>
      <c r="G775">
        <v>15.5</v>
      </c>
      <c r="H775" t="s">
        <v>1391</v>
      </c>
    </row>
    <row r="776" spans="1:22" customFormat="1">
      <c r="A776" t="s">
        <v>370</v>
      </c>
      <c r="B776" t="s">
        <v>1482</v>
      </c>
      <c r="Q776" t="s">
        <v>39</v>
      </c>
      <c r="R776" t="s">
        <v>385</v>
      </c>
      <c r="S776" t="s">
        <v>386</v>
      </c>
      <c r="T776" t="s">
        <v>387</v>
      </c>
    </row>
    <row r="777" spans="1:22" customFormat="1">
      <c r="A777" t="s">
        <v>370</v>
      </c>
      <c r="B777" t="s">
        <v>1483</v>
      </c>
      <c r="C777" t="s">
        <v>1373</v>
      </c>
      <c r="D777" t="s">
        <v>495</v>
      </c>
      <c r="E777" t="s">
        <v>1374</v>
      </c>
      <c r="Q777" t="s">
        <v>389</v>
      </c>
      <c r="R777" t="s">
        <v>390</v>
      </c>
      <c r="S777" t="s">
        <v>391</v>
      </c>
      <c r="T777" t="s">
        <v>392</v>
      </c>
    </row>
    <row r="778" spans="1:22" customFormat="1">
      <c r="A778" t="s">
        <v>370</v>
      </c>
      <c r="B778" t="s">
        <v>1484</v>
      </c>
      <c r="C778" t="s">
        <v>1376</v>
      </c>
      <c r="D778" t="s">
        <v>1377</v>
      </c>
      <c r="E778" t="s">
        <v>1378</v>
      </c>
      <c r="F778" t="s">
        <v>1379</v>
      </c>
      <c r="G778" t="s">
        <v>443</v>
      </c>
      <c r="H778" t="s">
        <v>1380</v>
      </c>
      <c r="Q778" t="s">
        <v>394</v>
      </c>
      <c r="R778" t="s">
        <v>395</v>
      </c>
      <c r="S778" t="s">
        <v>396</v>
      </c>
      <c r="T778" t="s">
        <v>397</v>
      </c>
    </row>
    <row r="779" spans="1:22" customFormat="1">
      <c r="A779" t="s">
        <v>370</v>
      </c>
      <c r="B779" t="s">
        <v>1485</v>
      </c>
      <c r="C779" t="s">
        <v>1382</v>
      </c>
      <c r="D779" t="s">
        <v>1383</v>
      </c>
      <c r="E779" t="s">
        <v>1384</v>
      </c>
      <c r="F779" t="s">
        <v>1385</v>
      </c>
      <c r="G779" t="s">
        <v>1385</v>
      </c>
      <c r="H779" t="s">
        <v>1385</v>
      </c>
      <c r="I779" t="s">
        <v>1386</v>
      </c>
      <c r="J779" t="s">
        <v>1374</v>
      </c>
      <c r="Q779" t="s">
        <v>399</v>
      </c>
      <c r="R779" t="s">
        <v>400</v>
      </c>
      <c r="S779" t="s">
        <v>401</v>
      </c>
      <c r="T779" t="s">
        <v>1527</v>
      </c>
    </row>
    <row r="780" spans="1:22" customFormat="1">
      <c r="A780" t="s">
        <v>370</v>
      </c>
      <c r="B780" t="s">
        <v>1486</v>
      </c>
      <c r="C780" t="s">
        <v>1388</v>
      </c>
      <c r="D780" t="s">
        <v>1389</v>
      </c>
      <c r="E780" t="s">
        <v>1390</v>
      </c>
      <c r="F780" t="s">
        <v>160</v>
      </c>
      <c r="G780">
        <v>15.4</v>
      </c>
      <c r="H780" t="s">
        <v>1391</v>
      </c>
    </row>
    <row r="781" spans="1:22" customFormat="1">
      <c r="A781" t="s">
        <v>370</v>
      </c>
      <c r="B781" t="s">
        <v>1487</v>
      </c>
      <c r="Q781" t="s">
        <v>405</v>
      </c>
    </row>
    <row r="782" spans="1:22" customFormat="1">
      <c r="A782" t="s">
        <v>370</v>
      </c>
      <c r="B782" t="s">
        <v>1488</v>
      </c>
      <c r="C782" t="s">
        <v>1373</v>
      </c>
      <c r="D782" t="s">
        <v>495</v>
      </c>
      <c r="E782" t="s">
        <v>1374</v>
      </c>
      <c r="Q782" t="s">
        <v>407</v>
      </c>
      <c r="R782" t="s">
        <v>408</v>
      </c>
      <c r="S782" t="s">
        <v>409</v>
      </c>
      <c r="T782" t="s">
        <v>407</v>
      </c>
    </row>
    <row r="783" spans="1:22" customFormat="1">
      <c r="A783" t="s">
        <v>370</v>
      </c>
      <c r="B783" t="s">
        <v>1489</v>
      </c>
      <c r="C783" t="s">
        <v>1376</v>
      </c>
      <c r="D783" t="s">
        <v>1377</v>
      </c>
      <c r="E783" t="s">
        <v>1378</v>
      </c>
      <c r="F783" t="s">
        <v>1379</v>
      </c>
      <c r="G783" t="s">
        <v>443</v>
      </c>
      <c r="H783" t="s">
        <v>1380</v>
      </c>
      <c r="Q783" t="s">
        <v>411</v>
      </c>
    </row>
    <row r="784" spans="1:22" customFormat="1">
      <c r="A784" t="s">
        <v>370</v>
      </c>
      <c r="B784" t="s">
        <v>1490</v>
      </c>
      <c r="C784" t="s">
        <v>1382</v>
      </c>
      <c r="D784" t="s">
        <v>1383</v>
      </c>
      <c r="E784" t="s">
        <v>1384</v>
      </c>
      <c r="F784" t="s">
        <v>1385</v>
      </c>
      <c r="G784" t="s">
        <v>1385</v>
      </c>
      <c r="H784" t="s">
        <v>1385</v>
      </c>
      <c r="I784" t="s">
        <v>1386</v>
      </c>
      <c r="J784" t="s">
        <v>1374</v>
      </c>
      <c r="Q784" t="s">
        <v>1650</v>
      </c>
      <c r="R784" t="s">
        <v>414</v>
      </c>
      <c r="S784">
        <v>24</v>
      </c>
      <c r="T784" s="190">
        <v>2.627314814814815E-3</v>
      </c>
      <c r="U784">
        <v>2024</v>
      </c>
    </row>
    <row r="785" spans="1:22" customFormat="1">
      <c r="A785" t="s">
        <v>370</v>
      </c>
      <c r="B785" t="s">
        <v>1491</v>
      </c>
      <c r="C785" t="s">
        <v>1388</v>
      </c>
      <c r="D785" t="s">
        <v>1389</v>
      </c>
      <c r="E785" t="s">
        <v>1390</v>
      </c>
      <c r="F785" t="s">
        <v>160</v>
      </c>
      <c r="G785">
        <v>15.4</v>
      </c>
      <c r="H785" t="s">
        <v>1391</v>
      </c>
    </row>
    <row r="786" spans="1:22" customFormat="1">
      <c r="A786" t="s">
        <v>370</v>
      </c>
      <c r="B786" t="s">
        <v>1492</v>
      </c>
      <c r="Q786" t="s">
        <v>417</v>
      </c>
      <c r="R786" t="s">
        <v>418</v>
      </c>
      <c r="S786" t="s">
        <v>301</v>
      </c>
      <c r="T786" t="s">
        <v>419</v>
      </c>
      <c r="U786" t="s">
        <v>420</v>
      </c>
      <c r="V786" t="s">
        <v>421</v>
      </c>
    </row>
    <row r="787" spans="1:22" customFormat="1">
      <c r="A787" t="s">
        <v>370</v>
      </c>
      <c r="B787" t="s">
        <v>1493</v>
      </c>
      <c r="C787" t="s">
        <v>1373</v>
      </c>
      <c r="D787" t="s">
        <v>495</v>
      </c>
      <c r="E787" t="s">
        <v>1374</v>
      </c>
      <c r="Q787" t="s">
        <v>423</v>
      </c>
      <c r="R787" t="s">
        <v>424</v>
      </c>
      <c r="S787" t="s">
        <v>425</v>
      </c>
      <c r="T787" t="s">
        <v>426</v>
      </c>
      <c r="U787" t="s">
        <v>427</v>
      </c>
    </row>
    <row r="788" spans="1:22" customFormat="1">
      <c r="A788" t="s">
        <v>370</v>
      </c>
      <c r="B788" t="s">
        <v>1494</v>
      </c>
      <c r="C788" t="s">
        <v>1376</v>
      </c>
      <c r="D788" t="s">
        <v>1377</v>
      </c>
      <c r="E788" t="s">
        <v>1378</v>
      </c>
      <c r="F788" t="s">
        <v>1379</v>
      </c>
      <c r="G788" t="s">
        <v>443</v>
      </c>
      <c r="H788" t="s">
        <v>1380</v>
      </c>
      <c r="Q788" t="s">
        <v>429</v>
      </c>
      <c r="R788" t="s">
        <v>430</v>
      </c>
      <c r="S788" t="s">
        <v>431</v>
      </c>
      <c r="T788" t="s">
        <v>432</v>
      </c>
      <c r="U788" t="s">
        <v>433</v>
      </c>
      <c r="V788" t="s">
        <v>434</v>
      </c>
    </row>
    <row r="789" spans="1:22" customFormat="1">
      <c r="A789" t="s">
        <v>370</v>
      </c>
      <c r="B789" t="s">
        <v>1495</v>
      </c>
      <c r="C789" t="s">
        <v>1382</v>
      </c>
      <c r="D789" t="s">
        <v>1383</v>
      </c>
      <c r="E789" t="s">
        <v>1384</v>
      </c>
      <c r="F789" t="s">
        <v>1385</v>
      </c>
      <c r="G789" t="s">
        <v>1385</v>
      </c>
      <c r="H789" t="s">
        <v>1385</v>
      </c>
      <c r="I789" t="s">
        <v>1386</v>
      </c>
      <c r="J789" t="s">
        <v>1374</v>
      </c>
      <c r="Q789" t="s">
        <v>436</v>
      </c>
      <c r="R789" t="s">
        <v>437</v>
      </c>
      <c r="S789" t="s">
        <v>438</v>
      </c>
      <c r="T789" t="s">
        <v>439</v>
      </c>
      <c r="U789" t="s">
        <v>39</v>
      </c>
    </row>
    <row r="790" spans="1:22" customFormat="1">
      <c r="A790" t="s">
        <v>370</v>
      </c>
      <c r="B790" t="s">
        <v>1496</v>
      </c>
      <c r="C790" t="s">
        <v>1388</v>
      </c>
      <c r="D790" t="s">
        <v>1389</v>
      </c>
      <c r="E790" t="s">
        <v>1390</v>
      </c>
      <c r="F790" t="s">
        <v>160</v>
      </c>
      <c r="G790">
        <v>15.5</v>
      </c>
      <c r="H790" t="s">
        <v>1391</v>
      </c>
    </row>
    <row r="791" spans="1:22" customFormat="1">
      <c r="A791" t="s">
        <v>370</v>
      </c>
      <c r="B791" t="s">
        <v>1497</v>
      </c>
      <c r="Q791" t="s">
        <v>442</v>
      </c>
      <c r="R791" t="s">
        <v>443</v>
      </c>
      <c r="S791">
        <v>4</v>
      </c>
    </row>
    <row r="792" spans="1:22" customFormat="1">
      <c r="A792" t="s">
        <v>370</v>
      </c>
      <c r="B792" t="s">
        <v>1498</v>
      </c>
      <c r="C792" t="s">
        <v>1373</v>
      </c>
      <c r="D792" t="s">
        <v>495</v>
      </c>
      <c r="E792" t="s">
        <v>1374</v>
      </c>
    </row>
    <row r="793" spans="1:22" customFormat="1">
      <c r="A793" t="s">
        <v>370</v>
      </c>
      <c r="B793" t="s">
        <v>1499</v>
      </c>
      <c r="C793" t="s">
        <v>1376</v>
      </c>
      <c r="D793" t="s">
        <v>1377</v>
      </c>
      <c r="E793" t="s">
        <v>1378</v>
      </c>
      <c r="F793" t="s">
        <v>1379</v>
      </c>
      <c r="G793" t="s">
        <v>443</v>
      </c>
      <c r="H793" t="s">
        <v>1500</v>
      </c>
      <c r="Q793" t="s">
        <v>1651</v>
      </c>
      <c r="R793" t="s">
        <v>1652</v>
      </c>
      <c r="S793" t="s">
        <v>1525</v>
      </c>
      <c r="T793" t="s">
        <v>1385</v>
      </c>
      <c r="U793" t="s">
        <v>1385</v>
      </c>
      <c r="V793" t="s">
        <v>1385</v>
      </c>
    </row>
    <row r="794" spans="1:22" customFormat="1">
      <c r="A794" t="s">
        <v>370</v>
      </c>
      <c r="B794" t="s">
        <v>1501</v>
      </c>
    </row>
    <row r="795" spans="1:22" customFormat="1">
      <c r="A795" t="s">
        <v>370</v>
      </c>
      <c r="B795" t="s">
        <v>1502</v>
      </c>
      <c r="C795" t="s">
        <v>381</v>
      </c>
    </row>
    <row r="796" spans="1:22" customFormat="1">
      <c r="A796" t="s">
        <v>370</v>
      </c>
      <c r="B796" t="s">
        <v>1503</v>
      </c>
    </row>
    <row r="797" spans="1:22" customFormat="1">
      <c r="A797" t="s">
        <v>370</v>
      </c>
      <c r="B797" t="s">
        <v>1504</v>
      </c>
    </row>
    <row r="798" spans="1:22" customFormat="1">
      <c r="A798" t="s">
        <v>370</v>
      </c>
      <c r="B798" t="s">
        <v>1505</v>
      </c>
      <c r="C798" t="s">
        <v>39</v>
      </c>
      <c r="D798" t="s">
        <v>385</v>
      </c>
      <c r="E798" t="s">
        <v>386</v>
      </c>
      <c r="F798" t="s">
        <v>387</v>
      </c>
    </row>
    <row r="799" spans="1:22" customFormat="1">
      <c r="A799" t="s">
        <v>370</v>
      </c>
      <c r="B799" t="s">
        <v>1506</v>
      </c>
      <c r="C799" t="s">
        <v>389</v>
      </c>
      <c r="D799" t="s">
        <v>390</v>
      </c>
      <c r="E799" t="s">
        <v>391</v>
      </c>
      <c r="F799" t="s">
        <v>392</v>
      </c>
    </row>
    <row r="800" spans="1:22" customFormat="1">
      <c r="A800" t="s">
        <v>370</v>
      </c>
      <c r="B800" t="s">
        <v>1507</v>
      </c>
      <c r="C800" t="s">
        <v>394</v>
      </c>
      <c r="D800" t="s">
        <v>395</v>
      </c>
      <c r="E800" t="s">
        <v>396</v>
      </c>
      <c r="F800" t="s">
        <v>397</v>
      </c>
    </row>
    <row r="801" spans="1:8" customFormat="1">
      <c r="A801" t="s">
        <v>370</v>
      </c>
      <c r="B801" t="s">
        <v>1508</v>
      </c>
      <c r="C801" t="s">
        <v>399</v>
      </c>
      <c r="D801" t="s">
        <v>400</v>
      </c>
      <c r="E801" t="s">
        <v>401</v>
      </c>
      <c r="F801" t="s">
        <v>402</v>
      </c>
    </row>
    <row r="802" spans="1:8" customFormat="1">
      <c r="A802" t="s">
        <v>370</v>
      </c>
      <c r="B802" t="s">
        <v>1509</v>
      </c>
    </row>
    <row r="803" spans="1:8" customFormat="1">
      <c r="A803" t="s">
        <v>370</v>
      </c>
      <c r="B803" t="s">
        <v>1510</v>
      </c>
      <c r="C803" t="s">
        <v>405</v>
      </c>
    </row>
    <row r="804" spans="1:8" customFormat="1">
      <c r="A804" t="s">
        <v>370</v>
      </c>
      <c r="B804" t="s">
        <v>1511</v>
      </c>
      <c r="C804" t="s">
        <v>407</v>
      </c>
      <c r="D804" t="s">
        <v>408</v>
      </c>
      <c r="E804" t="s">
        <v>409</v>
      </c>
      <c r="F804" t="s">
        <v>407</v>
      </c>
    </row>
    <row r="805" spans="1:8" customFormat="1">
      <c r="A805" t="s">
        <v>370</v>
      </c>
      <c r="B805" t="s">
        <v>1512</v>
      </c>
      <c r="C805" t="s">
        <v>411</v>
      </c>
    </row>
    <row r="806" spans="1:8" customFormat="1">
      <c r="A806" t="s">
        <v>370</v>
      </c>
      <c r="B806" t="s">
        <v>1513</v>
      </c>
      <c r="C806" t="s">
        <v>413</v>
      </c>
      <c r="D806" t="s">
        <v>414</v>
      </c>
      <c r="E806">
        <v>23</v>
      </c>
      <c r="F806" s="190">
        <v>0.97059027777777773</v>
      </c>
      <c r="G806">
        <v>2024</v>
      </c>
    </row>
    <row r="807" spans="1:8" customFormat="1">
      <c r="A807" t="s">
        <v>370</v>
      </c>
      <c r="B807" t="s">
        <v>1514</v>
      </c>
    </row>
    <row r="808" spans="1:8" customFormat="1">
      <c r="A808" t="s">
        <v>370</v>
      </c>
      <c r="B808" t="s">
        <v>1515</v>
      </c>
      <c r="C808" t="s">
        <v>417</v>
      </c>
      <c r="D808" t="s">
        <v>418</v>
      </c>
      <c r="E808" t="s">
        <v>301</v>
      </c>
      <c r="F808" t="s">
        <v>419</v>
      </c>
      <c r="G808" t="s">
        <v>420</v>
      </c>
      <c r="H808" t="s">
        <v>421</v>
      </c>
    </row>
    <row r="809" spans="1:8" customFormat="1">
      <c r="A809" t="s">
        <v>370</v>
      </c>
      <c r="B809" t="s">
        <v>1516</v>
      </c>
      <c r="C809" t="s">
        <v>423</v>
      </c>
      <c r="D809" t="s">
        <v>424</v>
      </c>
      <c r="E809" t="s">
        <v>425</v>
      </c>
      <c r="F809" t="s">
        <v>426</v>
      </c>
      <c r="G809" t="s">
        <v>427</v>
      </c>
    </row>
    <row r="810" spans="1:8" customFormat="1">
      <c r="A810" t="s">
        <v>370</v>
      </c>
      <c r="B810" t="s">
        <v>1517</v>
      </c>
      <c r="C810" t="s">
        <v>429</v>
      </c>
      <c r="D810" t="s">
        <v>430</v>
      </c>
      <c r="E810" t="s">
        <v>431</v>
      </c>
      <c r="F810" t="s">
        <v>432</v>
      </c>
      <c r="G810" t="s">
        <v>433</v>
      </c>
      <c r="H810" t="s">
        <v>434</v>
      </c>
    </row>
    <row r="811" spans="1:8" customFormat="1">
      <c r="A811" t="s">
        <v>370</v>
      </c>
      <c r="B811" t="s">
        <v>1518</v>
      </c>
      <c r="C811" t="s">
        <v>436</v>
      </c>
      <c r="D811" t="s">
        <v>437</v>
      </c>
      <c r="E811" t="s">
        <v>438</v>
      </c>
      <c r="F811" t="s">
        <v>439</v>
      </c>
      <c r="G811" t="s">
        <v>39</v>
      </c>
    </row>
    <row r="812" spans="1:8" customFormat="1">
      <c r="A812" t="s">
        <v>370</v>
      </c>
      <c r="B812" t="s">
        <v>1519</v>
      </c>
    </row>
    <row r="813" spans="1:8" customFormat="1">
      <c r="A813" t="s">
        <v>370</v>
      </c>
      <c r="B813" t="s">
        <v>1520</v>
      </c>
      <c r="C813" t="s">
        <v>442</v>
      </c>
      <c r="D813" t="s">
        <v>443</v>
      </c>
      <c r="E813">
        <v>4</v>
      </c>
    </row>
    <row r="814" spans="1:8" customFormat="1">
      <c r="A814" t="s">
        <v>370</v>
      </c>
      <c r="B814" t="s">
        <v>1521</v>
      </c>
    </row>
    <row r="815" spans="1:8" customFormat="1">
      <c r="A815" t="s">
        <v>370</v>
      </c>
      <c r="B815" t="s">
        <v>1522</v>
      </c>
      <c r="C815" t="s">
        <v>1523</v>
      </c>
      <c r="D815" t="s">
        <v>1524</v>
      </c>
      <c r="E815" t="s">
        <v>1525</v>
      </c>
      <c r="F815" t="s">
        <v>1385</v>
      </c>
      <c r="G815" t="s">
        <v>1385</v>
      </c>
      <c r="H815" t="s">
        <v>1385</v>
      </c>
    </row>
  </sheetData>
  <pageMargins left="0.7" right="0.7" top="0.75" bottom="0.75" header="0.3" footer="0.3"/>
  <pageSetup paperSize="9" scale="79" orientation="landscape" r:id="rId1"/>
  <headerFooter>
    <oddHeader>&amp;C&amp;"Aptos"&amp;12&amp;KFF0000 UNOFFICIAL&amp;1#_x000D_</oddHeader>
    <oddFooter>&amp;C_x000D_&amp;1#&amp;"Aptos"&amp;12&amp;KFF0000 UNOFFICIAL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EF7C-5953-4638-AD10-C6907F5670A1}">
  <dimension ref="A1:F10"/>
  <sheetViews>
    <sheetView workbookViewId="0">
      <selection activeCell="J56" sqref="J56"/>
    </sheetView>
  </sheetViews>
  <sheetFormatPr defaultRowHeight="15"/>
  <cols>
    <col min="2" max="2" width="10.42578125" bestFit="1" customWidth="1"/>
    <col min="4" max="4" width="10.42578125" bestFit="1" customWidth="1"/>
    <col min="6" max="6" width="10.42578125" bestFit="1" customWidth="1"/>
  </cols>
  <sheetData>
    <row r="1" spans="1:6">
      <c r="A1" t="str">
        <f>'prep brines'!A6</f>
        <v>Salts are added to filtered seawater= IN2023_V03 FSW stored 4C.</v>
      </c>
    </row>
    <row r="3" spans="1:6">
      <c r="A3" t="s">
        <v>179</v>
      </c>
    </row>
    <row r="4" spans="1:6">
      <c r="A4" t="s">
        <v>180</v>
      </c>
      <c r="B4" s="85"/>
      <c r="D4" s="85"/>
      <c r="F4" s="85"/>
    </row>
    <row r="5" spans="1:6">
      <c r="A5" t="s">
        <v>181</v>
      </c>
      <c r="B5" s="86"/>
      <c r="D5" s="86"/>
      <c r="F5" s="86"/>
    </row>
    <row r="6" spans="1:6">
      <c r="A6" t="s">
        <v>182</v>
      </c>
    </row>
    <row r="7" spans="1:6">
      <c r="A7" t="s">
        <v>183</v>
      </c>
    </row>
    <row r="10" spans="1:6">
      <c r="A10">
        <f>63*300</f>
        <v>18900</v>
      </c>
    </row>
  </sheetData>
  <pageMargins left="0.7" right="0.7" top="0.75" bottom="0.75" header="0.3" footer="0.3"/>
  <headerFooter>
    <oddHeader>&amp;C&amp;"Aptos"&amp;12&amp;KFF0000 UNOFFICIAL&amp;1#_x000D_</oddHeader>
    <oddFooter>&amp;C_x000D_&amp;1#&amp;"Aptos"&amp;12&amp;KFF0000 UNOFFICIAL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FE001-5D6E-4690-89CD-5135036F7C46}">
  <dimension ref="A1:AR75"/>
  <sheetViews>
    <sheetView workbookViewId="0">
      <selection activeCell="G37" sqref="G37"/>
    </sheetView>
  </sheetViews>
  <sheetFormatPr defaultRowHeight="15"/>
  <cols>
    <col min="1" max="1" width="33.5703125" customWidth="1"/>
    <col min="6" max="6" width="19.42578125" customWidth="1"/>
    <col min="7" max="7" width="43.85546875" bestFit="1" customWidth="1"/>
  </cols>
  <sheetData>
    <row r="1" spans="1:44">
      <c r="A1" s="1" t="s">
        <v>217</v>
      </c>
      <c r="B1" s="1" t="s">
        <v>216</v>
      </c>
      <c r="C1" s="1" t="s">
        <v>215</v>
      </c>
      <c r="D1" s="117" t="s">
        <v>214</v>
      </c>
      <c r="E1" s="116" t="s">
        <v>213</v>
      </c>
      <c r="F1" s="116" t="s">
        <v>212</v>
      </c>
      <c r="G1" s="1" t="s">
        <v>211</v>
      </c>
      <c r="H1" s="37" t="s">
        <v>210</v>
      </c>
    </row>
    <row r="2" spans="1:44">
      <c r="A2" s="123" t="s">
        <v>218</v>
      </c>
      <c r="D2" s="120" t="s">
        <v>209</v>
      </c>
      <c r="E2" s="122" t="s">
        <v>208</v>
      </c>
      <c r="F2" s="122"/>
    </row>
    <row r="3" spans="1:44">
      <c r="A3" s="121"/>
      <c r="D3" s="120"/>
      <c r="E3" s="119" t="s">
        <v>207</v>
      </c>
      <c r="F3" s="119"/>
      <c r="H3" s="43"/>
      <c r="T3" t="s">
        <v>206</v>
      </c>
    </row>
    <row r="4" spans="1:44">
      <c r="A4" s="118" t="s">
        <v>284</v>
      </c>
      <c r="B4" s="23"/>
      <c r="C4" s="1"/>
      <c r="D4" s="117" t="s">
        <v>205</v>
      </c>
      <c r="E4" s="116" t="s">
        <v>204</v>
      </c>
      <c r="F4" s="116"/>
      <c r="H4" s="43" t="s">
        <v>203</v>
      </c>
      <c r="T4" t="s">
        <v>202</v>
      </c>
    </row>
    <row r="5" spans="1:44" s="97" customFormat="1">
      <c r="A5" s="98" t="s">
        <v>282</v>
      </c>
      <c r="B5" s="99" t="s">
        <v>285</v>
      </c>
      <c r="C5" s="101"/>
      <c r="E5" s="115"/>
      <c r="F5" s="114"/>
      <c r="G5" s="101"/>
      <c r="H5" s="113"/>
      <c r="I5" s="98" t="s">
        <v>201</v>
      </c>
      <c r="J5" s="101"/>
      <c r="K5" s="101"/>
      <c r="L5" s="101"/>
      <c r="M5" s="112"/>
      <c r="N5" s="112"/>
      <c r="O5" s="112"/>
      <c r="P5" s="112"/>
      <c r="Q5" s="111"/>
      <c r="R5" s="101"/>
      <c r="S5" s="101"/>
      <c r="T5" s="110"/>
      <c r="U5" s="110"/>
      <c r="V5" s="109"/>
      <c r="W5" s="108"/>
      <c r="X5" s="107"/>
      <c r="Y5" s="106"/>
      <c r="Z5" s="101"/>
      <c r="AA5" s="101"/>
      <c r="AB5" s="105"/>
      <c r="AC5" s="105"/>
      <c r="AD5" s="104"/>
      <c r="AE5" s="104"/>
      <c r="AG5" s="104"/>
      <c r="AH5" s="101"/>
      <c r="AJ5" s="101"/>
      <c r="AL5" s="101"/>
      <c r="AM5" s="103"/>
      <c r="AN5" s="102"/>
      <c r="AO5" s="101"/>
      <c r="AP5" s="101"/>
      <c r="AQ5" s="101"/>
      <c r="AR5" s="101"/>
    </row>
    <row r="6" spans="1:44">
      <c r="A6">
        <v>2023</v>
      </c>
      <c r="B6" t="s">
        <v>37</v>
      </c>
      <c r="C6" s="43" t="s">
        <v>219</v>
      </c>
      <c r="D6">
        <v>5</v>
      </c>
      <c r="F6" s="85">
        <v>45588</v>
      </c>
      <c r="H6" t="s">
        <v>1692</v>
      </c>
    </row>
    <row r="7" spans="1:44">
      <c r="A7">
        <v>2023</v>
      </c>
      <c r="B7" t="s">
        <v>37</v>
      </c>
      <c r="C7" t="s">
        <v>220</v>
      </c>
      <c r="D7">
        <v>6</v>
      </c>
      <c r="F7" s="85">
        <v>45588</v>
      </c>
      <c r="H7" t="s">
        <v>1692</v>
      </c>
    </row>
    <row r="8" spans="1:44">
      <c r="A8">
        <v>2023</v>
      </c>
      <c r="B8" t="s">
        <v>37</v>
      </c>
      <c r="C8" t="s">
        <v>221</v>
      </c>
      <c r="D8">
        <v>3</v>
      </c>
      <c r="F8" s="85">
        <v>45588</v>
      </c>
      <c r="H8" t="s">
        <v>1692</v>
      </c>
    </row>
    <row r="9" spans="1:44">
      <c r="A9">
        <v>2023</v>
      </c>
      <c r="B9" t="s">
        <v>37</v>
      </c>
      <c r="C9" s="43" t="s">
        <v>222</v>
      </c>
      <c r="D9">
        <v>5</v>
      </c>
      <c r="F9" s="85">
        <v>45588</v>
      </c>
      <c r="G9" s="100"/>
      <c r="H9" t="s">
        <v>1692</v>
      </c>
    </row>
    <row r="10" spans="1:44">
      <c r="A10">
        <v>2023</v>
      </c>
      <c r="B10" t="s">
        <v>37</v>
      </c>
      <c r="C10" t="s">
        <v>223</v>
      </c>
      <c r="D10">
        <v>3</v>
      </c>
      <c r="F10" s="85">
        <v>45588</v>
      </c>
      <c r="H10" t="s">
        <v>1692</v>
      </c>
    </row>
    <row r="11" spans="1:44">
      <c r="A11">
        <v>2023</v>
      </c>
      <c r="B11" t="s">
        <v>37</v>
      </c>
      <c r="C11" t="s">
        <v>224</v>
      </c>
      <c r="D11">
        <v>2</v>
      </c>
      <c r="F11" s="85">
        <v>45588</v>
      </c>
      <c r="H11" t="s">
        <v>1692</v>
      </c>
    </row>
    <row r="12" spans="1:44">
      <c r="A12">
        <v>2023</v>
      </c>
      <c r="B12" t="s">
        <v>37</v>
      </c>
      <c r="C12" s="43" t="s">
        <v>225</v>
      </c>
      <c r="D12">
        <v>2</v>
      </c>
      <c r="F12" s="85">
        <v>45588</v>
      </c>
      <c r="H12" t="s">
        <v>1692</v>
      </c>
    </row>
    <row r="13" spans="1:44">
      <c r="A13">
        <v>2023</v>
      </c>
      <c r="B13" t="s">
        <v>37</v>
      </c>
      <c r="C13" t="s">
        <v>226</v>
      </c>
      <c r="D13">
        <v>4</v>
      </c>
      <c r="F13" s="85">
        <v>45588</v>
      </c>
      <c r="H13" t="s">
        <v>1692</v>
      </c>
    </row>
    <row r="14" spans="1:44">
      <c r="A14">
        <v>2023</v>
      </c>
      <c r="B14" t="s">
        <v>37</v>
      </c>
      <c r="C14" t="s">
        <v>227</v>
      </c>
      <c r="D14">
        <v>3</v>
      </c>
      <c r="F14" s="85">
        <v>45588</v>
      </c>
      <c r="H14" t="s">
        <v>1692</v>
      </c>
    </row>
    <row r="15" spans="1:44">
      <c r="A15">
        <v>2023</v>
      </c>
      <c r="B15" t="s">
        <v>37</v>
      </c>
      <c r="C15" s="43" t="s">
        <v>228</v>
      </c>
      <c r="D15">
        <v>3</v>
      </c>
      <c r="F15" s="85">
        <v>45590</v>
      </c>
      <c r="H15" t="s">
        <v>1692</v>
      </c>
    </row>
    <row r="16" spans="1:44">
      <c r="A16">
        <v>2023</v>
      </c>
      <c r="B16" t="s">
        <v>37</v>
      </c>
      <c r="C16" t="s">
        <v>229</v>
      </c>
      <c r="D16">
        <v>4</v>
      </c>
      <c r="F16" s="85">
        <v>45590</v>
      </c>
      <c r="H16" t="s">
        <v>1692</v>
      </c>
    </row>
    <row r="17" spans="1:9">
      <c r="A17">
        <v>2023</v>
      </c>
      <c r="B17" t="s">
        <v>37</v>
      </c>
      <c r="C17" t="s">
        <v>230</v>
      </c>
      <c r="D17">
        <v>8</v>
      </c>
      <c r="F17" s="85">
        <v>45590</v>
      </c>
      <c r="H17" t="s">
        <v>1692</v>
      </c>
    </row>
    <row r="18" spans="1:9">
      <c r="A18">
        <v>2023</v>
      </c>
      <c r="B18" t="s">
        <v>37</v>
      </c>
      <c r="C18" s="43" t="s">
        <v>231</v>
      </c>
      <c r="D18">
        <v>12</v>
      </c>
      <c r="F18" s="85">
        <v>45590</v>
      </c>
      <c r="H18" t="s">
        <v>1692</v>
      </c>
    </row>
    <row r="19" spans="1:9">
      <c r="A19">
        <v>2023</v>
      </c>
      <c r="B19" t="s">
        <v>37</v>
      </c>
      <c r="C19" t="s">
        <v>232</v>
      </c>
      <c r="D19">
        <v>9</v>
      </c>
      <c r="F19" s="85">
        <v>45590</v>
      </c>
      <c r="H19" t="s">
        <v>1692</v>
      </c>
    </row>
    <row r="20" spans="1:9">
      <c r="A20">
        <v>2023</v>
      </c>
      <c r="B20" t="s">
        <v>37</v>
      </c>
      <c r="C20" t="s">
        <v>233</v>
      </c>
      <c r="D20">
        <v>5</v>
      </c>
      <c r="F20" s="85">
        <v>45590</v>
      </c>
      <c r="H20" t="s">
        <v>1692</v>
      </c>
    </row>
    <row r="21" spans="1:9">
      <c r="A21">
        <v>2023</v>
      </c>
      <c r="B21" t="s">
        <v>37</v>
      </c>
      <c r="C21" s="43" t="s">
        <v>234</v>
      </c>
      <c r="D21">
        <v>5</v>
      </c>
      <c r="F21" s="85">
        <v>45590</v>
      </c>
      <c r="H21" t="s">
        <v>1692</v>
      </c>
    </row>
    <row r="22" spans="1:9">
      <c r="A22">
        <v>2023</v>
      </c>
      <c r="B22" t="s">
        <v>37</v>
      </c>
      <c r="C22" t="s">
        <v>235</v>
      </c>
      <c r="D22">
        <v>9</v>
      </c>
      <c r="F22" s="85">
        <v>45590</v>
      </c>
      <c r="H22" t="s">
        <v>1692</v>
      </c>
    </row>
    <row r="23" spans="1:9">
      <c r="A23">
        <v>2023</v>
      </c>
      <c r="B23" t="s">
        <v>37</v>
      </c>
      <c r="C23" t="s">
        <v>236</v>
      </c>
      <c r="D23">
        <v>8</v>
      </c>
      <c r="F23" s="85">
        <v>45590</v>
      </c>
      <c r="G23" t="s">
        <v>2333</v>
      </c>
      <c r="H23" t="s">
        <v>1692</v>
      </c>
    </row>
    <row r="24" spans="1:9">
      <c r="A24">
        <v>2023</v>
      </c>
      <c r="B24" t="s">
        <v>37</v>
      </c>
      <c r="C24" s="43" t="s">
        <v>237</v>
      </c>
      <c r="D24">
        <v>5</v>
      </c>
      <c r="F24" s="85">
        <v>45593</v>
      </c>
      <c r="H24" t="s">
        <v>1692</v>
      </c>
    </row>
    <row r="25" spans="1:9">
      <c r="A25">
        <v>2023</v>
      </c>
      <c r="B25" t="s">
        <v>37</v>
      </c>
      <c r="C25" t="s">
        <v>239</v>
      </c>
      <c r="D25">
        <v>6</v>
      </c>
      <c r="F25" s="85">
        <v>45593</v>
      </c>
      <c r="H25" t="s">
        <v>1692</v>
      </c>
    </row>
    <row r="26" spans="1:9">
      <c r="A26">
        <v>2023</v>
      </c>
      <c r="B26" t="s">
        <v>37</v>
      </c>
      <c r="C26" t="s">
        <v>238</v>
      </c>
      <c r="D26">
        <v>4</v>
      </c>
      <c r="F26" s="85">
        <v>45593</v>
      </c>
      <c r="H26" t="s">
        <v>1692</v>
      </c>
    </row>
    <row r="27" spans="1:9">
      <c r="A27" s="61" t="s">
        <v>283</v>
      </c>
      <c r="H27" t="s">
        <v>1692</v>
      </c>
    </row>
    <row r="28" spans="1:9">
      <c r="A28" s="61"/>
    </row>
    <row r="29" spans="1:9" s="97" customFormat="1">
      <c r="A29" s="98" t="s">
        <v>282</v>
      </c>
      <c r="B29" s="99" t="s">
        <v>286</v>
      </c>
      <c r="I29" s="98" t="s">
        <v>201</v>
      </c>
    </row>
    <row r="30" spans="1:9">
      <c r="A30">
        <v>2023</v>
      </c>
      <c r="B30" t="s">
        <v>40</v>
      </c>
      <c r="C30" s="43" t="s">
        <v>240</v>
      </c>
      <c r="D30">
        <v>12</v>
      </c>
      <c r="F30" s="85">
        <v>45567</v>
      </c>
      <c r="G30" t="s">
        <v>290</v>
      </c>
      <c r="H30" t="s">
        <v>289</v>
      </c>
    </row>
    <row r="31" spans="1:9">
      <c r="A31">
        <v>2023</v>
      </c>
      <c r="B31" t="s">
        <v>40</v>
      </c>
      <c r="C31" t="s">
        <v>241</v>
      </c>
      <c r="D31">
        <v>9</v>
      </c>
      <c r="F31" s="85">
        <v>45567</v>
      </c>
      <c r="G31" t="s">
        <v>291</v>
      </c>
      <c r="H31" t="s">
        <v>289</v>
      </c>
    </row>
    <row r="32" spans="1:9">
      <c r="A32">
        <v>2023</v>
      </c>
      <c r="B32" t="s">
        <v>40</v>
      </c>
      <c r="C32" s="43" t="s">
        <v>242</v>
      </c>
      <c r="D32">
        <v>2</v>
      </c>
      <c r="F32" s="85">
        <v>45567</v>
      </c>
      <c r="H32" t="s">
        <v>289</v>
      </c>
    </row>
    <row r="33" spans="1:8">
      <c r="A33">
        <v>2023</v>
      </c>
      <c r="B33" t="s">
        <v>40</v>
      </c>
      <c r="C33" t="s">
        <v>243</v>
      </c>
      <c r="D33">
        <v>1</v>
      </c>
      <c r="F33" s="85">
        <v>45567</v>
      </c>
      <c r="H33" t="s">
        <v>289</v>
      </c>
    </row>
    <row r="34" spans="1:8">
      <c r="A34">
        <v>2023</v>
      </c>
      <c r="B34" t="s">
        <v>40</v>
      </c>
      <c r="C34" s="43" t="s">
        <v>244</v>
      </c>
      <c r="D34">
        <v>5</v>
      </c>
      <c r="F34" s="85">
        <v>45567</v>
      </c>
      <c r="H34" t="s">
        <v>289</v>
      </c>
    </row>
    <row r="35" spans="1:8">
      <c r="A35">
        <v>2023</v>
      </c>
      <c r="B35" t="s">
        <v>40</v>
      </c>
      <c r="C35" t="s">
        <v>245</v>
      </c>
      <c r="D35">
        <v>2</v>
      </c>
      <c r="F35" s="85">
        <v>45567</v>
      </c>
      <c r="G35" t="s">
        <v>298</v>
      </c>
      <c r="H35" t="s">
        <v>289</v>
      </c>
    </row>
    <row r="36" spans="1:8">
      <c r="A36">
        <v>2023</v>
      </c>
      <c r="B36" t="s">
        <v>40</v>
      </c>
      <c r="C36" s="43" t="s">
        <v>246</v>
      </c>
      <c r="D36">
        <v>1</v>
      </c>
      <c r="F36" s="85">
        <v>45567</v>
      </c>
      <c r="G36" t="s">
        <v>292</v>
      </c>
      <c r="H36" t="s">
        <v>289</v>
      </c>
    </row>
    <row r="37" spans="1:8">
      <c r="A37">
        <v>2023</v>
      </c>
      <c r="B37" t="s">
        <v>40</v>
      </c>
      <c r="C37" t="s">
        <v>247</v>
      </c>
      <c r="D37">
        <v>2</v>
      </c>
      <c r="F37" s="85">
        <v>45567</v>
      </c>
      <c r="G37" t="s">
        <v>293</v>
      </c>
      <c r="H37" t="s">
        <v>289</v>
      </c>
    </row>
    <row r="38" spans="1:8">
      <c r="A38">
        <v>2023</v>
      </c>
      <c r="B38" t="s">
        <v>40</v>
      </c>
      <c r="C38" s="43" t="s">
        <v>248</v>
      </c>
      <c r="D38">
        <v>3</v>
      </c>
      <c r="F38" s="85">
        <v>45567</v>
      </c>
      <c r="H38" t="s">
        <v>289</v>
      </c>
    </row>
    <row r="39" spans="1:8">
      <c r="A39">
        <v>2023</v>
      </c>
      <c r="B39" t="s">
        <v>40</v>
      </c>
      <c r="C39" t="s">
        <v>249</v>
      </c>
      <c r="D39" t="s">
        <v>288</v>
      </c>
      <c r="F39" s="85">
        <v>45567</v>
      </c>
      <c r="H39" t="s">
        <v>289</v>
      </c>
    </row>
    <row r="40" spans="1:8">
      <c r="A40">
        <v>2023</v>
      </c>
      <c r="B40" t="s">
        <v>40</v>
      </c>
      <c r="C40" s="43" t="s">
        <v>250</v>
      </c>
      <c r="D40" t="s">
        <v>288</v>
      </c>
      <c r="F40" s="85">
        <v>45567</v>
      </c>
      <c r="G40" t="s">
        <v>294</v>
      </c>
      <c r="H40" t="s">
        <v>289</v>
      </c>
    </row>
    <row r="41" spans="1:8">
      <c r="A41">
        <v>2023</v>
      </c>
      <c r="B41" t="s">
        <v>40</v>
      </c>
      <c r="C41" t="s">
        <v>251</v>
      </c>
      <c r="D41" t="s">
        <v>288</v>
      </c>
      <c r="F41" s="85">
        <v>45567</v>
      </c>
      <c r="G41" t="s">
        <v>295</v>
      </c>
      <c r="H41" t="s">
        <v>289</v>
      </c>
    </row>
    <row r="42" spans="1:8">
      <c r="A42">
        <v>2023</v>
      </c>
      <c r="B42" t="s">
        <v>40</v>
      </c>
      <c r="C42" s="43" t="s">
        <v>252</v>
      </c>
      <c r="D42" t="s">
        <v>288</v>
      </c>
      <c r="F42" s="85">
        <v>45567</v>
      </c>
      <c r="H42" t="s">
        <v>289</v>
      </c>
    </row>
    <row r="43" spans="1:8">
      <c r="A43">
        <v>2023</v>
      </c>
      <c r="B43" t="s">
        <v>40</v>
      </c>
      <c r="C43" s="43" t="s">
        <v>253</v>
      </c>
      <c r="D43" t="s">
        <v>288</v>
      </c>
      <c r="F43" s="85">
        <v>45567</v>
      </c>
      <c r="G43" t="s">
        <v>295</v>
      </c>
      <c r="H43" t="s">
        <v>289</v>
      </c>
    </row>
    <row r="44" spans="1:8">
      <c r="A44">
        <v>2023</v>
      </c>
      <c r="B44" t="s">
        <v>40</v>
      </c>
      <c r="C44" s="43" t="s">
        <v>254</v>
      </c>
      <c r="D44" t="s">
        <v>288</v>
      </c>
      <c r="F44" s="85">
        <v>45567</v>
      </c>
      <c r="G44" t="s">
        <v>295</v>
      </c>
      <c r="H44" t="s">
        <v>289</v>
      </c>
    </row>
    <row r="45" spans="1:8">
      <c r="A45">
        <v>2023</v>
      </c>
      <c r="B45" t="s">
        <v>40</v>
      </c>
      <c r="C45" s="43" t="s">
        <v>255</v>
      </c>
      <c r="D45" t="s">
        <v>288</v>
      </c>
      <c r="F45" s="85">
        <v>45567</v>
      </c>
      <c r="H45" t="s">
        <v>289</v>
      </c>
    </row>
    <row r="46" spans="1:8">
      <c r="A46">
        <v>2023</v>
      </c>
      <c r="B46" t="s">
        <v>40</v>
      </c>
      <c r="C46" s="43" t="s">
        <v>256</v>
      </c>
      <c r="D46" t="s">
        <v>288</v>
      </c>
      <c r="F46" s="85">
        <v>45567</v>
      </c>
      <c r="G46" t="s">
        <v>295</v>
      </c>
      <c r="H46" t="s">
        <v>289</v>
      </c>
    </row>
    <row r="47" spans="1:8">
      <c r="A47">
        <v>2023</v>
      </c>
      <c r="B47" t="s">
        <v>40</v>
      </c>
      <c r="C47" s="43" t="s">
        <v>257</v>
      </c>
      <c r="D47" t="s">
        <v>288</v>
      </c>
      <c r="F47" s="85">
        <v>45567</v>
      </c>
      <c r="G47" t="s">
        <v>295</v>
      </c>
      <c r="H47" t="s">
        <v>289</v>
      </c>
    </row>
    <row r="48" spans="1:8">
      <c r="A48">
        <v>2023</v>
      </c>
      <c r="B48" t="s">
        <v>40</v>
      </c>
      <c r="C48" s="43" t="s">
        <v>258</v>
      </c>
      <c r="D48" t="s">
        <v>288</v>
      </c>
      <c r="F48" s="85">
        <v>45567</v>
      </c>
      <c r="G48" t="s">
        <v>296</v>
      </c>
      <c r="H48" t="s">
        <v>289</v>
      </c>
    </row>
    <row r="49" spans="1:9">
      <c r="A49">
        <v>2023</v>
      </c>
      <c r="B49" t="s">
        <v>40</v>
      </c>
      <c r="C49" s="43" t="s">
        <v>259</v>
      </c>
      <c r="D49" t="s">
        <v>288</v>
      </c>
      <c r="F49" s="85">
        <v>45567</v>
      </c>
      <c r="G49" t="s">
        <v>295</v>
      </c>
      <c r="H49" t="s">
        <v>289</v>
      </c>
    </row>
    <row r="50" spans="1:9">
      <c r="A50">
        <v>2023</v>
      </c>
      <c r="B50" t="s">
        <v>40</v>
      </c>
      <c r="C50" s="43" t="s">
        <v>260</v>
      </c>
      <c r="D50" t="s">
        <v>288</v>
      </c>
      <c r="F50" s="85">
        <v>45567</v>
      </c>
      <c r="G50" t="s">
        <v>297</v>
      </c>
      <c r="H50" t="s">
        <v>289</v>
      </c>
    </row>
    <row r="51" spans="1:9">
      <c r="A51" s="61" t="s">
        <v>283</v>
      </c>
    </row>
    <row r="53" spans="1:9" s="97" customFormat="1">
      <c r="A53" s="98" t="s">
        <v>282</v>
      </c>
      <c r="B53" s="99" t="s">
        <v>287</v>
      </c>
      <c r="I53" s="98" t="s">
        <v>201</v>
      </c>
    </row>
    <row r="54" spans="1:9">
      <c r="A54">
        <v>2023</v>
      </c>
      <c r="B54" t="s">
        <v>41</v>
      </c>
      <c r="C54" s="43" t="s">
        <v>261</v>
      </c>
      <c r="D54">
        <v>15</v>
      </c>
      <c r="F54" s="85">
        <v>45440</v>
      </c>
      <c r="H54" t="s">
        <v>1692</v>
      </c>
    </row>
    <row r="55" spans="1:9">
      <c r="A55">
        <v>2023</v>
      </c>
      <c r="B55" t="s">
        <v>41</v>
      </c>
      <c r="C55" t="s">
        <v>262</v>
      </c>
      <c r="D55">
        <v>7</v>
      </c>
      <c r="F55" s="85">
        <v>45440</v>
      </c>
      <c r="H55" t="s">
        <v>1692</v>
      </c>
    </row>
    <row r="56" spans="1:9">
      <c r="A56">
        <v>2023</v>
      </c>
      <c r="B56" t="s">
        <v>41</v>
      </c>
      <c r="C56" t="s">
        <v>263</v>
      </c>
      <c r="D56">
        <v>2</v>
      </c>
      <c r="F56" s="85">
        <v>45440</v>
      </c>
      <c r="H56" t="s">
        <v>1692</v>
      </c>
    </row>
    <row r="57" spans="1:9">
      <c r="A57">
        <v>2023</v>
      </c>
      <c r="B57" t="s">
        <v>41</v>
      </c>
      <c r="C57" s="43" t="s">
        <v>264</v>
      </c>
      <c r="D57">
        <v>4</v>
      </c>
      <c r="F57" s="85">
        <v>45440</v>
      </c>
      <c r="H57" t="s">
        <v>1693</v>
      </c>
    </row>
    <row r="58" spans="1:9">
      <c r="A58">
        <v>2023</v>
      </c>
      <c r="B58" t="s">
        <v>41</v>
      </c>
      <c r="C58" t="s">
        <v>265</v>
      </c>
      <c r="D58">
        <v>3</v>
      </c>
      <c r="F58" s="85">
        <v>45440</v>
      </c>
      <c r="H58" t="s">
        <v>1693</v>
      </c>
    </row>
    <row r="59" spans="1:9">
      <c r="A59">
        <v>2023</v>
      </c>
      <c r="B59" t="s">
        <v>41</v>
      </c>
      <c r="C59" t="s">
        <v>266</v>
      </c>
      <c r="D59">
        <v>3</v>
      </c>
      <c r="F59" s="85">
        <v>45440</v>
      </c>
      <c r="H59" t="s">
        <v>1693</v>
      </c>
    </row>
    <row r="60" spans="1:9">
      <c r="A60">
        <v>2023</v>
      </c>
      <c r="B60" t="s">
        <v>41</v>
      </c>
      <c r="C60" s="43" t="s">
        <v>267</v>
      </c>
      <c r="D60">
        <v>3</v>
      </c>
      <c r="F60" s="85">
        <v>45440</v>
      </c>
      <c r="H60" t="s">
        <v>1693</v>
      </c>
    </row>
    <row r="61" spans="1:9">
      <c r="A61">
        <v>2023</v>
      </c>
      <c r="B61" t="s">
        <v>41</v>
      </c>
      <c r="C61" t="s">
        <v>268</v>
      </c>
      <c r="D61">
        <v>4</v>
      </c>
      <c r="F61" s="85">
        <v>45440</v>
      </c>
      <c r="H61" t="s">
        <v>1693</v>
      </c>
    </row>
    <row r="62" spans="1:9">
      <c r="A62">
        <v>2023</v>
      </c>
      <c r="B62" t="s">
        <v>41</v>
      </c>
      <c r="C62" t="s">
        <v>269</v>
      </c>
      <c r="D62">
        <v>2</v>
      </c>
      <c r="F62" s="85">
        <v>45440</v>
      </c>
      <c r="H62" t="s">
        <v>1693</v>
      </c>
    </row>
    <row r="63" spans="1:9">
      <c r="A63">
        <v>2023</v>
      </c>
      <c r="B63" t="s">
        <v>41</v>
      </c>
      <c r="C63" s="43" t="s">
        <v>270</v>
      </c>
      <c r="D63">
        <v>3</v>
      </c>
      <c r="F63" s="85">
        <v>45440</v>
      </c>
      <c r="H63" t="s">
        <v>1693</v>
      </c>
    </row>
    <row r="64" spans="1:9">
      <c r="A64">
        <v>2023</v>
      </c>
      <c r="B64" t="s">
        <v>41</v>
      </c>
      <c r="C64" t="s">
        <v>271</v>
      </c>
      <c r="D64">
        <v>3</v>
      </c>
      <c r="F64" s="85">
        <v>45440</v>
      </c>
      <c r="H64" t="s">
        <v>1693</v>
      </c>
    </row>
    <row r="65" spans="1:8">
      <c r="A65">
        <v>2023</v>
      </c>
      <c r="B65" t="s">
        <v>41</v>
      </c>
      <c r="C65" t="s">
        <v>272</v>
      </c>
      <c r="D65">
        <v>5</v>
      </c>
      <c r="F65" s="85">
        <v>45440</v>
      </c>
      <c r="H65" t="s">
        <v>1693</v>
      </c>
    </row>
    <row r="66" spans="1:8">
      <c r="A66">
        <v>2023</v>
      </c>
      <c r="B66" t="s">
        <v>41</v>
      </c>
      <c r="C66" s="43" t="s">
        <v>273</v>
      </c>
      <c r="D66">
        <v>18</v>
      </c>
      <c r="F66" s="85">
        <v>45440</v>
      </c>
      <c r="H66" t="s">
        <v>1693</v>
      </c>
    </row>
    <row r="67" spans="1:8">
      <c r="A67">
        <v>2023</v>
      </c>
      <c r="B67" t="s">
        <v>41</v>
      </c>
      <c r="C67" t="s">
        <v>274</v>
      </c>
      <c r="D67">
        <v>23</v>
      </c>
      <c r="F67" s="85">
        <v>45594</v>
      </c>
      <c r="H67" t="s">
        <v>1693</v>
      </c>
    </row>
    <row r="68" spans="1:8">
      <c r="A68">
        <v>2023</v>
      </c>
      <c r="B68" t="s">
        <v>41</v>
      </c>
      <c r="C68" t="s">
        <v>275</v>
      </c>
      <c r="D68">
        <v>17</v>
      </c>
      <c r="F68" s="85">
        <v>45594</v>
      </c>
      <c r="H68" t="s">
        <v>1693</v>
      </c>
    </row>
    <row r="69" spans="1:8">
      <c r="A69">
        <v>2023</v>
      </c>
      <c r="B69" t="s">
        <v>41</v>
      </c>
      <c r="C69" s="43" t="s">
        <v>276</v>
      </c>
      <c r="D69">
        <v>6</v>
      </c>
      <c r="F69" s="85">
        <v>45594</v>
      </c>
      <c r="H69" t="s">
        <v>1693</v>
      </c>
    </row>
    <row r="70" spans="1:8">
      <c r="A70">
        <v>2023</v>
      </c>
      <c r="B70" t="s">
        <v>41</v>
      </c>
      <c r="C70" t="s">
        <v>277</v>
      </c>
      <c r="D70">
        <v>8</v>
      </c>
      <c r="F70" s="85">
        <v>45594</v>
      </c>
      <c r="H70" t="s">
        <v>1693</v>
      </c>
    </row>
    <row r="71" spans="1:8">
      <c r="A71">
        <v>2023</v>
      </c>
      <c r="B71" t="s">
        <v>41</v>
      </c>
      <c r="C71" t="s">
        <v>278</v>
      </c>
      <c r="D71">
        <v>5</v>
      </c>
      <c r="F71" s="85">
        <v>45594</v>
      </c>
      <c r="H71" t="s">
        <v>1693</v>
      </c>
    </row>
    <row r="72" spans="1:8">
      <c r="A72">
        <v>2023</v>
      </c>
      <c r="B72" t="s">
        <v>41</v>
      </c>
      <c r="C72" s="43" t="s">
        <v>279</v>
      </c>
      <c r="D72">
        <v>4</v>
      </c>
      <c r="F72" s="85">
        <v>45594</v>
      </c>
      <c r="H72" t="s">
        <v>1693</v>
      </c>
    </row>
    <row r="73" spans="1:8">
      <c r="A73">
        <v>2023</v>
      </c>
      <c r="B73" t="s">
        <v>41</v>
      </c>
      <c r="C73" t="s">
        <v>280</v>
      </c>
      <c r="D73">
        <v>3</v>
      </c>
      <c r="F73" s="85">
        <v>45594</v>
      </c>
      <c r="H73" t="s">
        <v>1693</v>
      </c>
    </row>
    <row r="74" spans="1:8">
      <c r="A74">
        <v>2023</v>
      </c>
      <c r="B74" t="s">
        <v>41</v>
      </c>
      <c r="C74" t="s">
        <v>281</v>
      </c>
      <c r="D74">
        <v>4</v>
      </c>
      <c r="F74" s="85">
        <v>45594</v>
      </c>
      <c r="H74" t="s">
        <v>1693</v>
      </c>
    </row>
    <row r="75" spans="1:8">
      <c r="A75" s="61" t="s">
        <v>283</v>
      </c>
    </row>
  </sheetData>
  <pageMargins left="0.7" right="0.7" top="0.75" bottom="0.75" header="0.3" footer="0.3"/>
  <pageSetup paperSize="9" orientation="portrait" r:id="rId1"/>
  <headerFooter>
    <oddHeader>&amp;C&amp;"Aptos"&amp;12&amp;KFF0000 UNOFFICIAL&amp;1#_x000D_</oddHeader>
    <oddFooter>&amp;C_x000D_&amp;1#&amp;"Aptos"&amp;12&amp;KFF0000 UNOFFICIAL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203A-8ADB-4912-B1A1-694A4745FA6E}">
  <dimension ref="A1:AC71"/>
  <sheetViews>
    <sheetView zoomScale="80" zoomScaleNormal="80" workbookViewId="0">
      <selection activeCell="U68" sqref="U68"/>
    </sheetView>
  </sheetViews>
  <sheetFormatPr defaultRowHeight="15"/>
  <cols>
    <col min="4" max="4" width="9.140625" style="122"/>
    <col min="6" max="6" width="11.5703125" customWidth="1"/>
    <col min="12" max="12" width="9.140625" style="138"/>
    <col min="13" max="13" width="11.5703125" bestFit="1" customWidth="1"/>
    <col min="20" max="20" width="39.85546875" bestFit="1" customWidth="1"/>
    <col min="22" max="22" width="13.42578125" bestFit="1" customWidth="1"/>
    <col min="25" max="25" width="10" bestFit="1" customWidth="1"/>
  </cols>
  <sheetData>
    <row r="1" spans="1:28" ht="15.75">
      <c r="A1" s="244" t="s">
        <v>217</v>
      </c>
      <c r="B1" s="244" t="s">
        <v>216</v>
      </c>
      <c r="C1" s="244" t="s">
        <v>215</v>
      </c>
      <c r="D1" s="245" t="s">
        <v>310</v>
      </c>
      <c r="E1" s="245" t="s">
        <v>1663</v>
      </c>
      <c r="F1" s="245" t="s">
        <v>1705</v>
      </c>
      <c r="G1" s="246" t="s">
        <v>1706</v>
      </c>
      <c r="H1" s="247" t="s">
        <v>1707</v>
      </c>
      <c r="I1" s="246" t="s">
        <v>310</v>
      </c>
      <c r="J1" s="248" t="s">
        <v>353</v>
      </c>
      <c r="K1" s="249" t="s">
        <v>311</v>
      </c>
      <c r="L1" s="247" t="s">
        <v>1707</v>
      </c>
      <c r="M1" s="250" t="s">
        <v>311</v>
      </c>
      <c r="N1" s="245" t="s">
        <v>311</v>
      </c>
      <c r="O1" s="247" t="s">
        <v>1707</v>
      </c>
      <c r="P1" s="246" t="s">
        <v>311</v>
      </c>
      <c r="Q1" s="248" t="s">
        <v>353</v>
      </c>
      <c r="R1" s="247" t="s">
        <v>1708</v>
      </c>
      <c r="S1" s="244" t="s">
        <v>1709</v>
      </c>
      <c r="T1" s="246" t="s">
        <v>1710</v>
      </c>
      <c r="U1" s="246" t="s">
        <v>1711</v>
      </c>
      <c r="V1" s="246"/>
      <c r="W1" s="246"/>
      <c r="X1" s="246"/>
      <c r="Y1" s="246"/>
      <c r="Z1" s="246"/>
      <c r="AA1" s="246"/>
      <c r="AB1" s="246"/>
    </row>
    <row r="2" spans="1:28" ht="15.75">
      <c r="A2" s="244"/>
      <c r="B2" s="244" t="s">
        <v>1712</v>
      </c>
      <c r="C2" s="244"/>
      <c r="D2" s="245" t="s">
        <v>1713</v>
      </c>
      <c r="E2" s="251" t="s">
        <v>1714</v>
      </c>
      <c r="F2" s="251"/>
      <c r="G2" s="246" t="s">
        <v>1713</v>
      </c>
      <c r="H2" s="251" t="s">
        <v>1714</v>
      </c>
      <c r="I2" s="246" t="s">
        <v>1716</v>
      </c>
      <c r="J2" s="248" t="s">
        <v>1716</v>
      </c>
      <c r="K2" s="252"/>
      <c r="L2" s="251" t="s">
        <v>1714</v>
      </c>
      <c r="M2" s="248" t="s">
        <v>1660</v>
      </c>
      <c r="N2" s="245" t="s">
        <v>1715</v>
      </c>
      <c r="O2" s="251" t="s">
        <v>1714</v>
      </c>
      <c r="P2" s="246" t="s">
        <v>1716</v>
      </c>
      <c r="Q2" s="248" t="s">
        <v>1716</v>
      </c>
      <c r="R2" s="247"/>
      <c r="S2" s="244"/>
      <c r="T2" s="244"/>
      <c r="U2" s="244" t="s">
        <v>1717</v>
      </c>
      <c r="V2" s="244"/>
      <c r="W2" s="246"/>
      <c r="X2" s="246"/>
      <c r="Y2" s="246"/>
      <c r="Z2" s="253"/>
      <c r="AA2" s="253"/>
      <c r="AB2" s="246"/>
    </row>
    <row r="3" spans="1:28" ht="15.75">
      <c r="A3" s="52">
        <v>2023</v>
      </c>
      <c r="B3" s="52">
        <v>1000</v>
      </c>
      <c r="C3" s="52">
        <v>1</v>
      </c>
      <c r="D3" s="132">
        <v>40.659999999999997</v>
      </c>
      <c r="E3" s="52">
        <v>25.4</v>
      </c>
      <c r="F3" s="85">
        <v>45673</v>
      </c>
      <c r="K3">
        <v>8.49</v>
      </c>
      <c r="L3" s="138">
        <v>25.1</v>
      </c>
      <c r="M3" s="85">
        <f t="shared" ref="M3:M38" si="0">F3</f>
        <v>45673</v>
      </c>
      <c r="R3" t="s">
        <v>196</v>
      </c>
      <c r="S3" s="254"/>
      <c r="T3" s="52" t="s">
        <v>1718</v>
      </c>
      <c r="U3" s="255"/>
      <c r="V3" s="256">
        <v>45673</v>
      </c>
      <c r="W3" s="255"/>
      <c r="X3" s="255"/>
      <c r="Y3" s="52"/>
      <c r="Z3" s="52"/>
      <c r="AA3" s="52"/>
      <c r="AB3" s="52"/>
    </row>
    <row r="4" spans="1:28" ht="15.75">
      <c r="A4" s="52">
        <v>2023</v>
      </c>
      <c r="B4" s="52">
        <v>1000</v>
      </c>
      <c r="C4" s="255">
        <v>2</v>
      </c>
      <c r="D4" s="132">
        <v>39.58</v>
      </c>
      <c r="E4">
        <v>25.9</v>
      </c>
      <c r="F4" s="85">
        <v>45673</v>
      </c>
      <c r="K4">
        <v>8.59</v>
      </c>
      <c r="L4" s="138">
        <v>25.4</v>
      </c>
      <c r="M4" s="85">
        <f t="shared" si="0"/>
        <v>45673</v>
      </c>
      <c r="R4" t="s">
        <v>196</v>
      </c>
      <c r="S4" s="254"/>
      <c r="T4" s="161" t="s">
        <v>1719</v>
      </c>
      <c r="U4" s="51"/>
      <c r="V4" s="255"/>
      <c r="W4" s="255" t="s">
        <v>1720</v>
      </c>
      <c r="X4" s="255"/>
      <c r="Y4" s="255"/>
      <c r="Z4" s="255"/>
      <c r="AA4" s="255"/>
      <c r="AB4" s="255"/>
    </row>
    <row r="5" spans="1:28" ht="15.75">
      <c r="A5" s="52">
        <v>2023</v>
      </c>
      <c r="B5" s="52">
        <v>1000</v>
      </c>
      <c r="C5" s="255">
        <v>3</v>
      </c>
      <c r="D5" s="132">
        <v>38.840000000000003</v>
      </c>
      <c r="E5">
        <v>25.9</v>
      </c>
      <c r="F5" s="85">
        <v>45673</v>
      </c>
      <c r="G5">
        <v>38.85</v>
      </c>
      <c r="H5">
        <v>25.4</v>
      </c>
      <c r="I5" s="122">
        <f>G5-D5</f>
        <v>9.9999999999980105E-3</v>
      </c>
      <c r="J5" s="258">
        <f>(I5/AVERAGE(G5,D5))*100</f>
        <v>2.5743338911051641E-2</v>
      </c>
      <c r="K5">
        <v>8.48</v>
      </c>
      <c r="L5" s="138">
        <v>25.5</v>
      </c>
      <c r="M5" s="85">
        <f t="shared" si="0"/>
        <v>45673</v>
      </c>
      <c r="N5">
        <v>8.4600000000000009</v>
      </c>
      <c r="O5">
        <v>25.3</v>
      </c>
      <c r="P5">
        <f>K5-N5</f>
        <v>1.9999999999999574E-2</v>
      </c>
      <c r="Q5" s="258">
        <f>(P5/AVERAGE(N5,K5))*100</f>
        <v>0.23612750885477654</v>
      </c>
      <c r="R5" t="s">
        <v>196</v>
      </c>
      <c r="S5" s="254"/>
      <c r="T5" s="52" t="s">
        <v>1721</v>
      </c>
      <c r="U5" s="52" t="s">
        <v>1722</v>
      </c>
      <c r="V5" s="255"/>
      <c r="W5" s="52" t="s">
        <v>1723</v>
      </c>
      <c r="X5" s="255"/>
      <c r="Y5" s="255" t="s">
        <v>1724</v>
      </c>
      <c r="Z5" s="255" t="s">
        <v>1725</v>
      </c>
      <c r="AA5" s="255"/>
      <c r="AB5" s="255"/>
    </row>
    <row r="6" spans="1:28" ht="15.75">
      <c r="A6" s="52">
        <v>2023</v>
      </c>
      <c r="B6" s="52">
        <v>1000</v>
      </c>
      <c r="C6" s="255">
        <v>4</v>
      </c>
      <c r="D6" s="132">
        <v>40.18</v>
      </c>
      <c r="E6">
        <v>25.9</v>
      </c>
      <c r="F6" s="85">
        <v>45673</v>
      </c>
      <c r="I6" s="138">
        <f>D5-G5</f>
        <v>-9.9999999999980105E-3</v>
      </c>
      <c r="J6" s="258">
        <f>(I6/AVERAGE(G5,D5))*100</f>
        <v>-2.5743338911051641E-2</v>
      </c>
      <c r="K6">
        <v>8.5</v>
      </c>
      <c r="L6" s="138">
        <v>25.6</v>
      </c>
      <c r="M6" s="85">
        <f t="shared" si="0"/>
        <v>45673</v>
      </c>
      <c r="Q6" s="258"/>
      <c r="R6" t="s">
        <v>196</v>
      </c>
      <c r="S6" s="254"/>
      <c r="T6" s="52"/>
      <c r="U6" s="257"/>
      <c r="V6" s="259"/>
      <c r="W6" s="255"/>
      <c r="X6" s="255"/>
      <c r="Y6" s="257"/>
      <c r="Z6" s="255">
        <f>_xlfn.STDEV.P(Y7:Y9,Y12:Y14)</f>
        <v>1.1006651227431268E-2</v>
      </c>
      <c r="AA6" s="255">
        <f>Z6/SQRT(COUNT(Y7:Y9,Y12:Y14))</f>
        <v>4.4934465473307952E-3</v>
      </c>
      <c r="AB6" s="260">
        <f>AA6</f>
        <v>4.4934465473307952E-3</v>
      </c>
    </row>
    <row r="7" spans="1:28" ht="15.75">
      <c r="A7" s="52">
        <v>2023</v>
      </c>
      <c r="B7" s="52">
        <v>1000</v>
      </c>
      <c r="C7" s="255">
        <v>5</v>
      </c>
      <c r="D7" s="132">
        <v>40.21</v>
      </c>
      <c r="E7">
        <v>25.6</v>
      </c>
      <c r="F7" s="85">
        <v>45673</v>
      </c>
      <c r="J7" s="258"/>
      <c r="K7">
        <v>8.5399999999999991</v>
      </c>
      <c r="L7" s="138">
        <v>25.4</v>
      </c>
      <c r="M7" s="85">
        <f t="shared" si="0"/>
        <v>45673</v>
      </c>
      <c r="Q7" s="258"/>
      <c r="R7" t="s">
        <v>196</v>
      </c>
      <c r="S7" s="254"/>
      <c r="T7" s="52" t="s">
        <v>151</v>
      </c>
      <c r="U7" s="255">
        <v>50.8</v>
      </c>
      <c r="V7" s="259" t="s">
        <v>199</v>
      </c>
      <c r="W7" s="52">
        <v>24.8</v>
      </c>
      <c r="X7" s="255"/>
      <c r="Y7" s="255">
        <f>(50-U7)/50</f>
        <v>-1.5999999999999945E-2</v>
      </c>
      <c r="Z7" s="255"/>
      <c r="AA7" s="255"/>
      <c r="AB7" s="255"/>
    </row>
    <row r="8" spans="1:28" ht="15.75">
      <c r="A8" s="52">
        <v>2023</v>
      </c>
      <c r="B8" s="52">
        <v>1000</v>
      </c>
      <c r="C8" s="52">
        <v>6</v>
      </c>
      <c r="D8" s="132">
        <v>39.94</v>
      </c>
      <c r="E8" s="52">
        <v>25.7</v>
      </c>
      <c r="F8" s="85">
        <v>45673</v>
      </c>
      <c r="J8" s="258"/>
      <c r="K8">
        <v>8.5399999999999991</v>
      </c>
      <c r="L8" s="138">
        <v>25.5</v>
      </c>
      <c r="M8" s="85">
        <f t="shared" si="0"/>
        <v>45673</v>
      </c>
      <c r="Q8" s="258"/>
      <c r="R8" t="s">
        <v>196</v>
      </c>
      <c r="S8" s="254"/>
      <c r="T8" s="52" t="s">
        <v>1726</v>
      </c>
      <c r="U8" s="255">
        <v>54.4</v>
      </c>
      <c r="V8" s="259" t="s">
        <v>199</v>
      </c>
      <c r="W8" s="255">
        <v>25.1</v>
      </c>
      <c r="X8" s="255"/>
      <c r="Y8" s="261">
        <f>(53-U8)/53</f>
        <v>-2.6415094339622615E-2</v>
      </c>
      <c r="Z8" s="255"/>
      <c r="AA8" s="255"/>
      <c r="AB8" s="255"/>
    </row>
    <row r="9" spans="1:28" ht="15.75">
      <c r="A9" s="52">
        <v>2023</v>
      </c>
      <c r="B9" s="52">
        <v>1000</v>
      </c>
      <c r="C9" s="255">
        <v>7</v>
      </c>
      <c r="D9" s="132">
        <v>40.35</v>
      </c>
      <c r="E9">
        <v>25.4</v>
      </c>
      <c r="F9" s="85">
        <v>45673</v>
      </c>
      <c r="J9" s="258"/>
      <c r="K9">
        <v>8.58</v>
      </c>
      <c r="L9" s="138">
        <v>25.7</v>
      </c>
      <c r="M9" s="85">
        <f t="shared" si="0"/>
        <v>45673</v>
      </c>
      <c r="Q9" s="258"/>
      <c r="R9" t="s">
        <v>196</v>
      </c>
      <c r="S9" s="254"/>
      <c r="T9" s="255" t="s">
        <v>1727</v>
      </c>
      <c r="U9" s="255">
        <v>13.39</v>
      </c>
      <c r="V9" s="259" t="s">
        <v>199</v>
      </c>
      <c r="W9" s="255">
        <v>23.3</v>
      </c>
      <c r="X9" s="255"/>
      <c r="Y9" s="261">
        <f>(12.8-U9)/12.8</f>
        <v>-4.6093749999999989E-2</v>
      </c>
      <c r="Z9" s="255"/>
      <c r="AA9" s="255"/>
      <c r="AB9" s="255"/>
    </row>
    <row r="10" spans="1:28" ht="15.75">
      <c r="A10" s="52">
        <v>2023</v>
      </c>
      <c r="B10" s="52">
        <v>1000</v>
      </c>
      <c r="C10" s="255">
        <v>8</v>
      </c>
      <c r="D10" s="132">
        <v>40.65</v>
      </c>
      <c r="E10">
        <v>25.2</v>
      </c>
      <c r="F10" s="85">
        <v>45673</v>
      </c>
      <c r="J10" s="258"/>
      <c r="K10">
        <v>8.59</v>
      </c>
      <c r="L10" s="138">
        <v>25.5</v>
      </c>
      <c r="M10" s="85">
        <f t="shared" si="0"/>
        <v>45673</v>
      </c>
      <c r="Q10" s="258"/>
      <c r="R10" t="s">
        <v>196</v>
      </c>
      <c r="S10" s="37"/>
      <c r="X10" s="255"/>
      <c r="Y10" s="255"/>
      <c r="Z10" s="255"/>
      <c r="AA10" s="255"/>
      <c r="AB10" s="255"/>
    </row>
    <row r="11" spans="1:28" ht="15.75">
      <c r="A11" s="52">
        <v>2023</v>
      </c>
      <c r="B11" s="52">
        <v>1000</v>
      </c>
      <c r="C11" s="255">
        <v>9</v>
      </c>
      <c r="D11" s="132">
        <v>40.590000000000003</v>
      </c>
      <c r="E11">
        <v>25.5</v>
      </c>
      <c r="F11" s="85">
        <v>45673</v>
      </c>
      <c r="J11" s="258"/>
      <c r="K11">
        <v>8.58</v>
      </c>
      <c r="L11" s="138">
        <v>25.4</v>
      </c>
      <c r="M11" s="85">
        <f t="shared" si="0"/>
        <v>45673</v>
      </c>
      <c r="Q11" s="258"/>
      <c r="R11" t="s">
        <v>196</v>
      </c>
      <c r="S11" s="254"/>
      <c r="T11" s="52" t="s">
        <v>1728</v>
      </c>
      <c r="U11" s="52" t="s">
        <v>1722</v>
      </c>
      <c r="V11" s="255"/>
      <c r="W11" s="52" t="s">
        <v>1723</v>
      </c>
      <c r="X11" s="255"/>
      <c r="Y11" s="262"/>
      <c r="Z11" s="255"/>
      <c r="AA11" s="255"/>
      <c r="AB11" s="255"/>
    </row>
    <row r="12" spans="1:28" ht="15.75">
      <c r="A12" s="52">
        <v>2023</v>
      </c>
      <c r="B12" s="52">
        <v>1000</v>
      </c>
      <c r="C12" s="255">
        <v>10</v>
      </c>
      <c r="D12" s="132">
        <v>40.57</v>
      </c>
      <c r="E12">
        <v>25.4</v>
      </c>
      <c r="F12" s="85">
        <v>45673</v>
      </c>
      <c r="J12" s="258"/>
      <c r="K12">
        <v>8.5399999999999991</v>
      </c>
      <c r="L12" s="138">
        <v>25.4</v>
      </c>
      <c r="M12" s="85">
        <f t="shared" si="0"/>
        <v>45673</v>
      </c>
      <c r="Q12" s="258"/>
      <c r="R12" t="s">
        <v>196</v>
      </c>
      <c r="S12" s="254"/>
      <c r="T12" s="52" t="s">
        <v>151</v>
      </c>
      <c r="U12" s="255">
        <v>50.6</v>
      </c>
      <c r="V12" s="259" t="s">
        <v>199</v>
      </c>
      <c r="W12" s="255">
        <v>24.7</v>
      </c>
      <c r="X12" s="255"/>
      <c r="Y12" s="261">
        <f>(50-U12)/50</f>
        <v>-1.2000000000000028E-2</v>
      </c>
      <c r="Z12" s="255"/>
      <c r="AA12" s="255"/>
      <c r="AB12" s="255"/>
    </row>
    <row r="13" spans="1:28" ht="15.75">
      <c r="A13" s="52">
        <v>2023</v>
      </c>
      <c r="B13" s="52">
        <v>1000</v>
      </c>
      <c r="C13" s="52">
        <v>11</v>
      </c>
      <c r="D13" s="132">
        <v>40.450000000000003</v>
      </c>
      <c r="E13" s="52">
        <v>25.6</v>
      </c>
      <c r="F13" s="85">
        <v>45673</v>
      </c>
      <c r="J13" s="258"/>
      <c r="K13">
        <v>8.5399999999999991</v>
      </c>
      <c r="L13" s="138">
        <v>25.3</v>
      </c>
      <c r="M13" s="85">
        <f t="shared" si="0"/>
        <v>45673</v>
      </c>
      <c r="Q13" s="258"/>
      <c r="R13" t="s">
        <v>196</v>
      </c>
      <c r="S13" s="254"/>
      <c r="T13" s="52" t="s">
        <v>1726</v>
      </c>
      <c r="U13" s="255">
        <v>54.4</v>
      </c>
      <c r="V13" s="259" t="s">
        <v>199</v>
      </c>
      <c r="W13" s="255">
        <v>24.7</v>
      </c>
      <c r="X13" s="255"/>
      <c r="Y13" s="261">
        <f>(53-U13)/53</f>
        <v>-2.6415094339622615E-2</v>
      </c>
      <c r="Z13" s="255"/>
      <c r="AA13" s="255"/>
      <c r="AB13" s="255"/>
    </row>
    <row r="14" spans="1:28" ht="15.75">
      <c r="A14" s="52">
        <v>2023</v>
      </c>
      <c r="B14" s="52">
        <v>1000</v>
      </c>
      <c r="C14" s="255">
        <v>12</v>
      </c>
      <c r="D14" s="132">
        <v>40.61</v>
      </c>
      <c r="E14">
        <v>25.5</v>
      </c>
      <c r="F14" s="85">
        <v>45673</v>
      </c>
      <c r="G14">
        <v>40.630000000000003</v>
      </c>
      <c r="H14">
        <v>25.5</v>
      </c>
      <c r="I14" s="122">
        <f>G14-D14</f>
        <v>2.0000000000003126E-2</v>
      </c>
      <c r="J14" s="258">
        <f>(I14/AVERAGE(G14,D14))*100</f>
        <v>4.9236829148210544E-2</v>
      </c>
      <c r="K14">
        <v>8.5399999999999991</v>
      </c>
      <c r="L14" s="138">
        <v>25.3</v>
      </c>
      <c r="M14" s="85">
        <f t="shared" si="0"/>
        <v>45673</v>
      </c>
      <c r="N14">
        <v>8.49</v>
      </c>
      <c r="O14">
        <v>25.4</v>
      </c>
      <c r="P14">
        <f>K14-N14</f>
        <v>4.9999999999998934E-2</v>
      </c>
      <c r="Q14" s="258">
        <f>(P14/AVERAGE(N14,K14))*100</f>
        <v>0.58719906048149073</v>
      </c>
      <c r="R14" t="s">
        <v>196</v>
      </c>
      <c r="S14" s="254"/>
      <c r="T14" s="255" t="s">
        <v>1727</v>
      </c>
      <c r="U14" s="263">
        <v>13.2</v>
      </c>
      <c r="V14" s="259" t="s">
        <v>199</v>
      </c>
      <c r="W14" s="263">
        <v>25.1</v>
      </c>
      <c r="X14" s="263"/>
      <c r="Y14" s="261">
        <f>(12.8-U14)/12.8</f>
        <v>-3.1249999999999889E-2</v>
      </c>
      <c r="Z14" s="255"/>
      <c r="AA14" s="255"/>
      <c r="AB14" s="255"/>
    </row>
    <row r="15" spans="1:28" ht="15.75">
      <c r="A15" s="52">
        <v>2023</v>
      </c>
      <c r="B15" s="52">
        <v>1000</v>
      </c>
      <c r="C15" s="255">
        <v>13</v>
      </c>
      <c r="D15" s="132">
        <v>39.880000000000003</v>
      </c>
      <c r="E15">
        <v>25.5</v>
      </c>
      <c r="F15" s="85">
        <v>45673</v>
      </c>
      <c r="K15">
        <v>8.42</v>
      </c>
      <c r="L15" s="138">
        <v>24.9</v>
      </c>
      <c r="M15" s="85">
        <f t="shared" si="0"/>
        <v>45673</v>
      </c>
      <c r="R15" t="s">
        <v>196</v>
      </c>
      <c r="S15" s="254"/>
      <c r="T15" s="255"/>
      <c r="U15" s="255"/>
      <c r="V15" s="259"/>
      <c r="W15" s="255"/>
      <c r="X15" s="255"/>
      <c r="Y15" s="261"/>
      <c r="Z15" s="255"/>
      <c r="AA15" s="255"/>
      <c r="AB15" s="255"/>
    </row>
    <row r="16" spans="1:28" ht="15.75">
      <c r="A16" s="52">
        <v>2023</v>
      </c>
      <c r="B16" s="52">
        <v>1000</v>
      </c>
      <c r="C16" s="255">
        <v>14</v>
      </c>
      <c r="D16" s="132">
        <v>38.090000000000003</v>
      </c>
      <c r="E16">
        <v>25.3</v>
      </c>
      <c r="F16" s="85">
        <v>45673</v>
      </c>
      <c r="K16">
        <v>8.2899999999999991</v>
      </c>
      <c r="L16" s="138">
        <v>25.3</v>
      </c>
      <c r="M16" s="85">
        <f t="shared" si="0"/>
        <v>45673</v>
      </c>
      <c r="R16" t="s">
        <v>196</v>
      </c>
      <c r="S16" s="254"/>
      <c r="T16" s="255"/>
      <c r="U16" s="255"/>
      <c r="V16" s="255"/>
      <c r="W16" s="255"/>
      <c r="X16" s="255"/>
      <c r="Y16" s="255"/>
      <c r="Z16" s="255"/>
      <c r="AA16" s="255"/>
      <c r="AB16" s="255"/>
    </row>
    <row r="17" spans="1:29" ht="15.75">
      <c r="A17" s="52">
        <v>2023</v>
      </c>
      <c r="B17" s="52">
        <v>1000</v>
      </c>
      <c r="C17" s="255">
        <v>15</v>
      </c>
      <c r="D17" s="132">
        <v>38.86</v>
      </c>
      <c r="E17">
        <v>25.2</v>
      </c>
      <c r="F17" s="85">
        <v>45673</v>
      </c>
      <c r="K17">
        <v>8.4499999999999993</v>
      </c>
      <c r="L17" s="138">
        <v>25.4</v>
      </c>
      <c r="M17" s="85">
        <f t="shared" si="0"/>
        <v>45673</v>
      </c>
      <c r="R17" t="s">
        <v>196</v>
      </c>
      <c r="S17" s="254"/>
      <c r="T17" s="52" t="s">
        <v>311</v>
      </c>
      <c r="U17" s="255"/>
      <c r="V17" s="255"/>
      <c r="W17" s="255"/>
      <c r="X17" s="255"/>
      <c r="Y17" s="255"/>
      <c r="Z17" s="255"/>
      <c r="AA17" s="255"/>
      <c r="AB17" s="255"/>
    </row>
    <row r="18" spans="1:29" ht="15.75">
      <c r="A18" s="52">
        <v>2023</v>
      </c>
      <c r="B18" s="52">
        <v>1000</v>
      </c>
      <c r="C18" s="52">
        <v>16</v>
      </c>
      <c r="D18" s="132">
        <v>39.32</v>
      </c>
      <c r="E18" s="52">
        <v>25.5</v>
      </c>
      <c r="F18" s="85">
        <v>45673</v>
      </c>
      <c r="K18">
        <v>8.44</v>
      </c>
      <c r="L18" s="138">
        <v>24.9</v>
      </c>
      <c r="M18" s="85">
        <f t="shared" si="0"/>
        <v>45673</v>
      </c>
      <c r="R18" t="s">
        <v>196</v>
      </c>
      <c r="T18" s="161" t="s">
        <v>1732</v>
      </c>
      <c r="U18" s="51"/>
      <c r="V18" s="255"/>
      <c r="W18" s="255"/>
      <c r="X18" s="255"/>
      <c r="Y18" s="255"/>
      <c r="Z18" s="255"/>
      <c r="AA18" s="255"/>
      <c r="AB18" s="255"/>
    </row>
    <row r="19" spans="1:29" ht="15.75">
      <c r="A19" s="52">
        <v>2023</v>
      </c>
      <c r="B19" s="52">
        <v>1000</v>
      </c>
      <c r="C19" s="255">
        <v>17</v>
      </c>
      <c r="D19" s="132">
        <v>40.33</v>
      </c>
      <c r="E19">
        <v>25.4</v>
      </c>
      <c r="F19" s="85">
        <v>45673</v>
      </c>
      <c r="K19">
        <v>8.44</v>
      </c>
      <c r="L19" s="138">
        <v>24.9</v>
      </c>
      <c r="M19" s="85">
        <f t="shared" si="0"/>
        <v>45673</v>
      </c>
      <c r="R19" t="s">
        <v>196</v>
      </c>
      <c r="T19" s="52" t="s">
        <v>1733</v>
      </c>
      <c r="U19" s="52" t="s">
        <v>1722</v>
      </c>
      <c r="V19" s="255"/>
      <c r="W19" s="52" t="s">
        <v>1723</v>
      </c>
      <c r="X19" s="255"/>
      <c r="Y19" s="255" t="s">
        <v>1724</v>
      </c>
      <c r="Z19" s="255" t="s">
        <v>1725</v>
      </c>
      <c r="AA19" s="255"/>
      <c r="AB19" s="255"/>
    </row>
    <row r="20" spans="1:29" ht="15.75">
      <c r="A20" s="52">
        <v>2023</v>
      </c>
      <c r="B20" s="52">
        <v>1000</v>
      </c>
      <c r="C20" s="255">
        <v>18</v>
      </c>
      <c r="D20" s="132">
        <v>40.15</v>
      </c>
      <c r="E20">
        <v>25.6</v>
      </c>
      <c r="F20" s="85">
        <v>45673</v>
      </c>
      <c r="K20">
        <v>8.5399999999999991</v>
      </c>
      <c r="L20" s="138">
        <v>25.5</v>
      </c>
      <c r="M20" s="85">
        <f t="shared" si="0"/>
        <v>45673</v>
      </c>
      <c r="R20" t="s">
        <v>196</v>
      </c>
      <c r="T20" s="52" t="s">
        <v>1729</v>
      </c>
      <c r="Y20" s="264"/>
    </row>
    <row r="21" spans="1:29" ht="15.75">
      <c r="A21" s="52">
        <v>2023</v>
      </c>
      <c r="B21" s="52">
        <v>1000</v>
      </c>
      <c r="C21" s="255">
        <v>19</v>
      </c>
      <c r="D21" s="132">
        <v>39.75</v>
      </c>
      <c r="E21">
        <v>25.5</v>
      </c>
      <c r="F21" s="85">
        <v>45673</v>
      </c>
      <c r="K21">
        <v>8.51</v>
      </c>
      <c r="L21" s="138">
        <v>25.2</v>
      </c>
      <c r="M21" s="85">
        <f t="shared" si="0"/>
        <v>45673</v>
      </c>
      <c r="R21" t="s">
        <v>196</v>
      </c>
      <c r="T21" s="52">
        <v>7.01</v>
      </c>
      <c r="U21">
        <v>6.99</v>
      </c>
      <c r="W21">
        <v>22.8</v>
      </c>
      <c r="Y21" s="264">
        <f>(U21-T21)/T21</f>
        <v>-2.8530670470755456E-3</v>
      </c>
      <c r="Z21" s="264">
        <f>_xlfn.STDEV.P(Y21:Y29)</f>
        <v>2.5839817998671174E-3</v>
      </c>
      <c r="AA21" s="264">
        <f>Z21/SQRT(2)</f>
        <v>1.8271510531486588E-3</v>
      </c>
      <c r="AB21" s="260">
        <f>AA21</f>
        <v>1.8271510531486588E-3</v>
      </c>
    </row>
    <row r="22" spans="1:29" ht="15.75">
      <c r="A22" s="52">
        <v>2023</v>
      </c>
      <c r="B22" s="52">
        <v>1000</v>
      </c>
      <c r="C22" s="255">
        <v>20</v>
      </c>
      <c r="D22" s="132">
        <v>39.24</v>
      </c>
      <c r="E22">
        <v>25.6</v>
      </c>
      <c r="F22" s="85">
        <v>45673</v>
      </c>
      <c r="K22">
        <v>8.4700000000000006</v>
      </c>
      <c r="L22" s="138">
        <v>25.7</v>
      </c>
      <c r="M22" s="85">
        <f t="shared" si="0"/>
        <v>45673</v>
      </c>
      <c r="R22" t="s">
        <v>196</v>
      </c>
      <c r="T22" s="52">
        <v>10.01</v>
      </c>
      <c r="U22">
        <v>10</v>
      </c>
      <c r="W22">
        <v>23.4</v>
      </c>
      <c r="Y22" s="264">
        <f>(U22-T22)/T22</f>
        <v>-9.9900099900097775E-4</v>
      </c>
    </row>
    <row r="23" spans="1:29" ht="15.75">
      <c r="A23" s="52">
        <v>2023</v>
      </c>
      <c r="B23" s="265">
        <v>1000</v>
      </c>
      <c r="C23" s="265">
        <v>21</v>
      </c>
      <c r="D23" s="132">
        <v>39.020000000000003</v>
      </c>
      <c r="E23" s="265">
        <v>25.3</v>
      </c>
      <c r="F23" s="85">
        <v>45673</v>
      </c>
      <c r="H23" s="266"/>
      <c r="I23" s="266"/>
      <c r="J23" s="266"/>
      <c r="K23" s="266">
        <v>8.5299999999999994</v>
      </c>
      <c r="L23" s="274">
        <v>25</v>
      </c>
      <c r="M23" s="85">
        <f t="shared" si="0"/>
        <v>45673</v>
      </c>
      <c r="N23" s="266"/>
      <c r="O23" s="266"/>
      <c r="P23" s="266"/>
      <c r="Q23" s="266"/>
      <c r="R23" t="s">
        <v>196</v>
      </c>
      <c r="T23" s="52">
        <v>12.45</v>
      </c>
      <c r="U23">
        <v>12.52</v>
      </c>
      <c r="W23">
        <v>23</v>
      </c>
      <c r="Y23" s="264">
        <f>(U23-T23)/T23</f>
        <v>5.6224899598393803E-3</v>
      </c>
    </row>
    <row r="24" spans="1:29" ht="16.5" thickBot="1">
      <c r="A24" s="52">
        <v>2023</v>
      </c>
      <c r="B24" s="52">
        <v>2000</v>
      </c>
      <c r="C24" s="52">
        <v>1</v>
      </c>
      <c r="D24" s="132">
        <v>39.86</v>
      </c>
      <c r="E24" s="52">
        <v>24.9</v>
      </c>
      <c r="F24" s="85">
        <v>45673</v>
      </c>
      <c r="K24">
        <v>8.3000000000000007</v>
      </c>
      <c r="L24" s="138">
        <v>25</v>
      </c>
      <c r="M24" s="85">
        <f t="shared" si="0"/>
        <v>45673</v>
      </c>
      <c r="R24" t="s">
        <v>196</v>
      </c>
      <c r="T24" s="267">
        <v>9.18</v>
      </c>
      <c r="U24" s="255">
        <v>9.2100000000000009</v>
      </c>
      <c r="V24" s="259"/>
      <c r="W24" s="255">
        <v>23.1</v>
      </c>
      <c r="X24" s="255"/>
      <c r="Y24" s="264">
        <f>(U24-T24)/T24</f>
        <v>3.2679738562092745E-3</v>
      </c>
    </row>
    <row r="25" spans="1:29" ht="16.5" thickBot="1">
      <c r="A25" s="52">
        <v>2023</v>
      </c>
      <c r="B25" s="52">
        <v>2000</v>
      </c>
      <c r="C25" s="255">
        <v>2</v>
      </c>
      <c r="D25" s="132">
        <v>36.76</v>
      </c>
      <c r="E25">
        <v>24.9</v>
      </c>
      <c r="F25" s="85">
        <v>45673</v>
      </c>
      <c r="K25">
        <v>8.52</v>
      </c>
      <c r="L25" s="138">
        <v>25.1</v>
      </c>
      <c r="M25" s="85">
        <f t="shared" si="0"/>
        <v>45673</v>
      </c>
      <c r="R25" t="s">
        <v>196</v>
      </c>
      <c r="S25" t="s">
        <v>1734</v>
      </c>
      <c r="T25" s="52" t="s">
        <v>1730</v>
      </c>
      <c r="U25" s="52" t="s">
        <v>1722</v>
      </c>
      <c r="V25" s="255"/>
      <c r="W25" s="52" t="s">
        <v>1723</v>
      </c>
      <c r="X25" s="255"/>
      <c r="Y25" s="264"/>
      <c r="Z25" s="264"/>
      <c r="AB25" s="255"/>
      <c r="AC25" s="268"/>
    </row>
    <row r="26" spans="1:29" ht="15.75">
      <c r="A26" s="52">
        <v>2023</v>
      </c>
      <c r="B26" s="52">
        <v>2000</v>
      </c>
      <c r="C26" s="255">
        <v>3</v>
      </c>
      <c r="D26" s="132">
        <v>41.41</v>
      </c>
      <c r="E26">
        <v>24.7</v>
      </c>
      <c r="F26" s="85">
        <v>45673</v>
      </c>
      <c r="G26">
        <v>40.9</v>
      </c>
      <c r="H26">
        <v>25.4</v>
      </c>
      <c r="I26" s="122">
        <f>G26-D26</f>
        <v>-0.50999999999999801</v>
      </c>
      <c r="J26" s="258">
        <f>(I26/AVERAGE(G26,D26))*100</f>
        <v>-1.2392175920301252</v>
      </c>
      <c r="K26">
        <v>8.48</v>
      </c>
      <c r="L26" s="138">
        <v>25.3</v>
      </c>
      <c r="M26" s="85">
        <f t="shared" si="0"/>
        <v>45673</v>
      </c>
      <c r="N26">
        <v>8.44</v>
      </c>
      <c r="O26">
        <v>25.4</v>
      </c>
      <c r="P26">
        <f>K26-N26</f>
        <v>4.0000000000000924E-2</v>
      </c>
      <c r="Q26" s="258">
        <f>(P26/AVERAGE(N26,K26))*100</f>
        <v>0.47281323877069642</v>
      </c>
      <c r="R26" t="s">
        <v>196</v>
      </c>
      <c r="T26" s="52">
        <v>7.01</v>
      </c>
      <c r="U26" s="255">
        <v>7.01</v>
      </c>
      <c r="V26" s="259"/>
      <c r="W26" s="255">
        <v>24.8</v>
      </c>
      <c r="X26" s="255"/>
      <c r="Y26" s="264">
        <f>(U26-T26)/T26</f>
        <v>0</v>
      </c>
      <c r="Z26" s="264"/>
      <c r="AA26" s="264"/>
      <c r="AB26" s="255"/>
    </row>
    <row r="27" spans="1:29" ht="15.75">
      <c r="A27" s="52">
        <v>2023</v>
      </c>
      <c r="B27" s="52">
        <v>2000</v>
      </c>
      <c r="C27" s="255">
        <v>4</v>
      </c>
      <c r="D27" s="132">
        <v>40.98</v>
      </c>
      <c r="E27">
        <v>25.6</v>
      </c>
      <c r="F27" s="85">
        <v>45673</v>
      </c>
      <c r="K27">
        <v>8.4499999999999993</v>
      </c>
      <c r="L27" s="138">
        <v>25.1</v>
      </c>
      <c r="M27" s="85">
        <f t="shared" si="0"/>
        <v>45673</v>
      </c>
      <c r="R27" t="s">
        <v>196</v>
      </c>
      <c r="T27" s="52">
        <v>10.01</v>
      </c>
      <c r="U27" s="255">
        <v>10.039999999999999</v>
      </c>
      <c r="V27" s="259"/>
      <c r="W27" s="255">
        <v>25.1</v>
      </c>
      <c r="X27" s="255"/>
      <c r="Y27" s="264">
        <f>(U27-T27)/T27</f>
        <v>2.9970029970029332E-3</v>
      </c>
      <c r="Z27" s="264"/>
      <c r="AA27" s="264"/>
      <c r="AB27" s="255"/>
    </row>
    <row r="28" spans="1:29" ht="15.75">
      <c r="A28" s="52">
        <v>2023</v>
      </c>
      <c r="B28" s="52">
        <v>2000</v>
      </c>
      <c r="C28" s="255">
        <v>5</v>
      </c>
      <c r="D28" s="132">
        <v>41.2</v>
      </c>
      <c r="E28">
        <v>25.3</v>
      </c>
      <c r="F28" s="85">
        <v>45673</v>
      </c>
      <c r="K28">
        <v>8.27</v>
      </c>
      <c r="L28" s="138">
        <v>25.2</v>
      </c>
      <c r="M28" s="85">
        <f t="shared" si="0"/>
        <v>45673</v>
      </c>
      <c r="R28" t="s">
        <v>196</v>
      </c>
      <c r="T28" s="52">
        <v>12.45</v>
      </c>
      <c r="U28" s="255">
        <v>12.46</v>
      </c>
      <c r="V28" s="259"/>
      <c r="W28" s="255">
        <v>25.2</v>
      </c>
      <c r="X28" s="263"/>
      <c r="Y28" s="264">
        <f>(U28-T28)/T28</f>
        <v>8.0321285140574808E-4</v>
      </c>
      <c r="Z28" s="269"/>
      <c r="AA28" s="269"/>
      <c r="AB28" s="263"/>
    </row>
    <row r="29" spans="1:29" ht="16.5" thickBot="1">
      <c r="A29" s="52">
        <v>2023</v>
      </c>
      <c r="B29" s="52">
        <v>2000</v>
      </c>
      <c r="C29" s="52">
        <v>6</v>
      </c>
      <c r="D29" s="132">
        <v>40.96</v>
      </c>
      <c r="E29" s="52">
        <v>25.8</v>
      </c>
      <c r="F29" s="85">
        <v>45673</v>
      </c>
      <c r="K29">
        <v>8.4499999999999993</v>
      </c>
      <c r="L29" s="138">
        <v>25.3</v>
      </c>
      <c r="M29" s="85">
        <f t="shared" si="0"/>
        <v>45673</v>
      </c>
      <c r="R29" t="s">
        <v>196</v>
      </c>
      <c r="T29" s="267">
        <v>9.18</v>
      </c>
      <c r="U29" s="270">
        <v>9.2100000000000009</v>
      </c>
      <c r="V29" s="271"/>
      <c r="W29" s="270">
        <v>25</v>
      </c>
      <c r="X29" s="270"/>
      <c r="Y29" s="264">
        <f>(U29-T29)/T29</f>
        <v>3.2679738562092745E-3</v>
      </c>
      <c r="Z29" s="272"/>
      <c r="AA29" s="272"/>
      <c r="AB29" s="270"/>
    </row>
    <row r="30" spans="1:29" ht="15.75">
      <c r="A30" s="52">
        <v>2023</v>
      </c>
      <c r="B30" s="52">
        <v>2000</v>
      </c>
      <c r="C30" s="255">
        <v>7</v>
      </c>
      <c r="D30" s="132">
        <v>41.08</v>
      </c>
      <c r="E30" s="52">
        <v>25.7</v>
      </c>
      <c r="F30" s="85">
        <v>45673</v>
      </c>
      <c r="K30">
        <v>8.59</v>
      </c>
      <c r="L30" s="138">
        <v>25.3</v>
      </c>
      <c r="M30" s="85">
        <f t="shared" si="0"/>
        <v>45673</v>
      </c>
      <c r="R30" t="s">
        <v>196</v>
      </c>
    </row>
    <row r="31" spans="1:29" ht="15.75">
      <c r="A31" s="52">
        <v>2023</v>
      </c>
      <c r="B31" s="52">
        <v>2000</v>
      </c>
      <c r="C31" s="255">
        <v>8</v>
      </c>
      <c r="D31" s="132">
        <v>41.06</v>
      </c>
      <c r="E31" s="52">
        <v>25.6</v>
      </c>
      <c r="F31" s="85">
        <v>45673</v>
      </c>
      <c r="K31">
        <v>8.6300000000000008</v>
      </c>
      <c r="L31" s="138">
        <v>25.3</v>
      </c>
      <c r="M31" s="85">
        <f t="shared" si="0"/>
        <v>45673</v>
      </c>
      <c r="R31" t="s">
        <v>196</v>
      </c>
      <c r="T31" s="52"/>
      <c r="U31" s="255"/>
      <c r="V31" s="256"/>
      <c r="W31" s="255"/>
      <c r="X31" s="255"/>
      <c r="Y31" s="52"/>
      <c r="Z31" s="52"/>
      <c r="AA31" s="52"/>
      <c r="AB31" s="52"/>
    </row>
    <row r="32" spans="1:29" ht="15.75">
      <c r="A32" s="52">
        <v>2023</v>
      </c>
      <c r="B32" s="52">
        <v>2000</v>
      </c>
      <c r="C32" s="255">
        <v>9</v>
      </c>
      <c r="D32" s="132">
        <v>41.09</v>
      </c>
      <c r="E32" s="52">
        <v>25.7</v>
      </c>
      <c r="F32" s="85">
        <v>45673</v>
      </c>
      <c r="K32">
        <v>8.5500000000000007</v>
      </c>
      <c r="L32" s="138">
        <v>25.2</v>
      </c>
      <c r="M32" s="85">
        <f t="shared" si="0"/>
        <v>45673</v>
      </c>
      <c r="R32" t="s">
        <v>196</v>
      </c>
      <c r="T32" s="161"/>
      <c r="U32" s="255"/>
      <c r="V32" s="255"/>
      <c r="W32" s="255"/>
      <c r="X32" s="255"/>
      <c r="Y32" s="255"/>
      <c r="Z32" s="255"/>
      <c r="AA32" s="255"/>
      <c r="AB32" s="255"/>
    </row>
    <row r="33" spans="1:28" ht="15.75">
      <c r="A33" s="52">
        <v>2023</v>
      </c>
      <c r="B33" s="52">
        <v>2000</v>
      </c>
      <c r="C33" s="255">
        <v>10</v>
      </c>
      <c r="D33" s="132">
        <v>41.14</v>
      </c>
      <c r="E33" s="52">
        <v>25.6</v>
      </c>
      <c r="F33" s="85">
        <v>45673</v>
      </c>
      <c r="K33">
        <v>8.6300000000000008</v>
      </c>
      <c r="L33" s="138">
        <v>25.2</v>
      </c>
      <c r="M33" s="85">
        <f t="shared" si="0"/>
        <v>45673</v>
      </c>
      <c r="R33" t="s">
        <v>196</v>
      </c>
      <c r="T33" s="52"/>
      <c r="U33" s="52"/>
      <c r="V33" s="255"/>
      <c r="W33" s="52"/>
      <c r="X33" s="255"/>
      <c r="Y33" s="255"/>
      <c r="Z33" s="255"/>
      <c r="AA33" s="255"/>
      <c r="AB33" s="255"/>
    </row>
    <row r="34" spans="1:28" ht="15.75">
      <c r="A34" s="52">
        <v>2023</v>
      </c>
      <c r="B34" s="52">
        <v>2000</v>
      </c>
      <c r="C34" s="52">
        <v>11</v>
      </c>
      <c r="D34" s="132">
        <v>41.1</v>
      </c>
      <c r="E34" s="52">
        <v>25.7</v>
      </c>
      <c r="F34" s="85">
        <v>45673</v>
      </c>
      <c r="K34">
        <v>8.6199999999999992</v>
      </c>
      <c r="L34" s="138">
        <v>25.4</v>
      </c>
      <c r="M34" s="85">
        <f t="shared" si="0"/>
        <v>45673</v>
      </c>
      <c r="R34" t="s">
        <v>196</v>
      </c>
      <c r="T34" s="52"/>
      <c r="U34" s="257"/>
      <c r="V34" s="259"/>
      <c r="W34" s="255"/>
      <c r="X34" s="255"/>
      <c r="Y34" s="257"/>
      <c r="Z34" s="255"/>
      <c r="AA34" s="255"/>
      <c r="AB34" s="260"/>
    </row>
    <row r="35" spans="1:28" ht="15.75">
      <c r="A35" s="52">
        <v>2023</v>
      </c>
      <c r="B35" s="52">
        <v>2000</v>
      </c>
      <c r="C35" s="255">
        <v>12</v>
      </c>
      <c r="D35" s="132">
        <v>41.16</v>
      </c>
      <c r="E35" s="52">
        <v>25.9</v>
      </c>
      <c r="F35" s="85">
        <v>45673</v>
      </c>
      <c r="K35">
        <v>8.68</v>
      </c>
      <c r="L35" s="138">
        <v>25.3</v>
      </c>
      <c r="M35" s="85">
        <f t="shared" si="0"/>
        <v>45673</v>
      </c>
      <c r="R35" t="s">
        <v>196</v>
      </c>
      <c r="T35" s="52"/>
      <c r="U35" s="255"/>
      <c r="V35" s="259"/>
      <c r="W35" s="52"/>
      <c r="X35" s="255"/>
      <c r="Y35" s="255"/>
      <c r="Z35" s="255"/>
      <c r="AA35" s="255"/>
      <c r="AB35" s="255"/>
    </row>
    <row r="36" spans="1:28" ht="15.75">
      <c r="A36" s="52">
        <v>2023</v>
      </c>
      <c r="B36" s="52">
        <v>2000</v>
      </c>
      <c r="C36" s="255">
        <v>13</v>
      </c>
      <c r="D36" s="132">
        <v>41.23</v>
      </c>
      <c r="E36" s="52">
        <v>25.9</v>
      </c>
      <c r="F36" s="85">
        <v>45673</v>
      </c>
      <c r="G36">
        <v>41.31</v>
      </c>
      <c r="H36">
        <v>25.3</v>
      </c>
      <c r="I36" s="122">
        <f>G36-D36</f>
        <v>8.00000000000054E-2</v>
      </c>
      <c r="J36" s="258">
        <f>(I36/AVERAGE(G36,D36))*100</f>
        <v>0.1938454082869043</v>
      </c>
      <c r="K36">
        <v>8.65</v>
      </c>
      <c r="L36" s="138">
        <v>25.3</v>
      </c>
      <c r="M36" s="85">
        <f t="shared" si="0"/>
        <v>45673</v>
      </c>
      <c r="N36">
        <v>8.64</v>
      </c>
      <c r="O36">
        <v>25.1</v>
      </c>
      <c r="P36">
        <f>K36-N36</f>
        <v>9.9999999999997868E-3</v>
      </c>
      <c r="Q36" s="258">
        <f>(P36/AVERAGE(N36,K36))*100</f>
        <v>0.11567379988432375</v>
      </c>
      <c r="R36" t="s">
        <v>196</v>
      </c>
      <c r="T36" s="52"/>
      <c r="U36" s="255"/>
      <c r="V36" s="259"/>
      <c r="W36" s="255"/>
      <c r="X36" s="255"/>
      <c r="Y36" s="261"/>
      <c r="Z36" s="255"/>
      <c r="AA36" s="255"/>
      <c r="AB36" s="255"/>
    </row>
    <row r="37" spans="1:28" ht="15.75">
      <c r="A37" s="52">
        <v>2023</v>
      </c>
      <c r="B37" s="52">
        <v>2000</v>
      </c>
      <c r="C37" s="255">
        <v>14</v>
      </c>
      <c r="D37" s="132">
        <v>41.22</v>
      </c>
      <c r="E37" s="52">
        <v>25.9</v>
      </c>
      <c r="F37" s="85">
        <v>45673</v>
      </c>
      <c r="I37" s="122"/>
      <c r="J37" s="258"/>
      <c r="K37">
        <v>8.7100000000000009</v>
      </c>
      <c r="L37" s="138">
        <v>25.3</v>
      </c>
      <c r="M37" s="85">
        <f t="shared" si="0"/>
        <v>45673</v>
      </c>
      <c r="Q37" s="258"/>
      <c r="R37" t="s">
        <v>196</v>
      </c>
      <c r="T37" s="52"/>
      <c r="U37" s="255"/>
      <c r="V37" s="259"/>
      <c r="W37" s="255"/>
      <c r="X37" s="255"/>
      <c r="Y37" s="261"/>
      <c r="Z37" s="255"/>
      <c r="AA37" s="255"/>
      <c r="AB37" s="255"/>
    </row>
    <row r="38" spans="1:28" ht="15.75">
      <c r="A38" s="52">
        <v>2023</v>
      </c>
      <c r="B38" s="52">
        <v>2000</v>
      </c>
      <c r="C38" s="255">
        <v>15</v>
      </c>
      <c r="D38" s="132">
        <v>41.32</v>
      </c>
      <c r="E38" s="52">
        <v>25.8</v>
      </c>
      <c r="F38" s="85">
        <v>45673</v>
      </c>
      <c r="K38">
        <v>8.66</v>
      </c>
      <c r="L38" s="138">
        <v>25.4</v>
      </c>
      <c r="M38" s="85">
        <f t="shared" si="0"/>
        <v>45673</v>
      </c>
      <c r="R38" t="s">
        <v>196</v>
      </c>
      <c r="X38" s="255"/>
      <c r="Y38" s="255"/>
      <c r="Z38" s="255"/>
      <c r="AA38" s="255"/>
      <c r="AB38" s="255"/>
    </row>
    <row r="39" spans="1:28" ht="15.75">
      <c r="A39" s="52">
        <v>2023</v>
      </c>
      <c r="B39" s="52">
        <v>2000</v>
      </c>
      <c r="C39" s="52">
        <v>16</v>
      </c>
      <c r="D39" s="132">
        <v>41.23</v>
      </c>
      <c r="E39" s="52">
        <v>25.9</v>
      </c>
      <c r="F39" s="85">
        <v>45673</v>
      </c>
      <c r="K39">
        <v>8.64</v>
      </c>
      <c r="L39" s="138">
        <v>25.5</v>
      </c>
      <c r="M39" s="85">
        <f t="shared" ref="M39:M65" si="1">F39</f>
        <v>45673</v>
      </c>
      <c r="R39" t="s">
        <v>196</v>
      </c>
      <c r="T39" s="52"/>
      <c r="U39" s="52"/>
      <c r="V39" s="255"/>
      <c r="W39" s="52"/>
      <c r="X39" s="255"/>
      <c r="Y39" s="262"/>
      <c r="Z39" s="255"/>
      <c r="AA39" s="255"/>
      <c r="AB39" s="255"/>
    </row>
    <row r="40" spans="1:28" ht="15.75">
      <c r="A40" s="52">
        <v>2023</v>
      </c>
      <c r="B40" s="52">
        <v>2000</v>
      </c>
      <c r="C40" s="255">
        <v>17</v>
      </c>
      <c r="D40" s="132">
        <v>40.94</v>
      </c>
      <c r="E40" s="52">
        <v>25.8</v>
      </c>
      <c r="F40" s="85">
        <v>45673</v>
      </c>
      <c r="K40">
        <v>8.64</v>
      </c>
      <c r="L40" s="138">
        <v>25.3</v>
      </c>
      <c r="M40" s="85">
        <f t="shared" si="1"/>
        <v>45673</v>
      </c>
      <c r="R40" t="s">
        <v>196</v>
      </c>
      <c r="T40" s="52"/>
      <c r="U40" s="2"/>
      <c r="V40" s="259"/>
      <c r="W40" s="2"/>
      <c r="X40" s="255"/>
      <c r="Y40" s="261"/>
      <c r="Z40" s="255"/>
      <c r="AA40" s="255"/>
      <c r="AB40" s="255"/>
    </row>
    <row r="41" spans="1:28" ht="15.75">
      <c r="A41" s="52">
        <v>2023</v>
      </c>
      <c r="B41" s="52">
        <v>2000</v>
      </c>
      <c r="C41" s="255">
        <v>18</v>
      </c>
      <c r="D41" s="132">
        <v>41.03</v>
      </c>
      <c r="E41" s="52">
        <v>25.9</v>
      </c>
      <c r="F41" s="85">
        <v>45673</v>
      </c>
      <c r="K41">
        <v>8.5</v>
      </c>
      <c r="L41" s="138">
        <v>25.3</v>
      </c>
      <c r="M41" s="85">
        <f t="shared" si="1"/>
        <v>45673</v>
      </c>
      <c r="R41" t="s">
        <v>196</v>
      </c>
      <c r="T41" s="52"/>
      <c r="U41" s="2"/>
      <c r="V41" s="259"/>
      <c r="W41" s="2"/>
      <c r="X41" s="255"/>
      <c r="Y41" s="261"/>
      <c r="Z41" s="255"/>
      <c r="AA41" s="255"/>
      <c r="AB41" s="255"/>
    </row>
    <row r="42" spans="1:28" ht="15.75">
      <c r="A42" s="52">
        <v>2023</v>
      </c>
      <c r="B42" s="52">
        <v>2000</v>
      </c>
      <c r="C42" s="255">
        <v>19</v>
      </c>
      <c r="D42" s="132">
        <v>41.04</v>
      </c>
      <c r="E42" s="52">
        <v>25.8</v>
      </c>
      <c r="F42" s="85">
        <v>45673</v>
      </c>
      <c r="K42">
        <v>8.67</v>
      </c>
      <c r="L42" s="138">
        <v>25.4</v>
      </c>
      <c r="M42" s="85">
        <f t="shared" si="1"/>
        <v>45673</v>
      </c>
      <c r="R42" t="s">
        <v>196</v>
      </c>
      <c r="T42" s="255"/>
      <c r="U42" s="273"/>
      <c r="V42" s="259"/>
      <c r="W42" s="273"/>
      <c r="X42" s="263"/>
      <c r="Y42" s="261"/>
      <c r="Z42" s="255"/>
      <c r="AA42" s="255"/>
      <c r="AB42" s="255"/>
    </row>
    <row r="43" spans="1:28" ht="15.75">
      <c r="A43" s="52">
        <v>2023</v>
      </c>
      <c r="B43" s="52">
        <v>2000</v>
      </c>
      <c r="C43" s="255">
        <v>20</v>
      </c>
      <c r="D43" s="132">
        <v>41.19</v>
      </c>
      <c r="E43" s="52">
        <v>25.6</v>
      </c>
      <c r="F43" s="85">
        <v>45673</v>
      </c>
      <c r="K43">
        <v>8.65</v>
      </c>
      <c r="L43" s="274">
        <v>25.4</v>
      </c>
      <c r="M43" s="85">
        <f t="shared" si="1"/>
        <v>45673</v>
      </c>
      <c r="R43" t="s">
        <v>196</v>
      </c>
      <c r="T43" s="255"/>
      <c r="U43" s="255"/>
      <c r="V43" s="259"/>
      <c r="W43" s="255"/>
      <c r="X43" s="255"/>
      <c r="Y43" s="261"/>
      <c r="Z43" s="255"/>
      <c r="AA43" s="255"/>
      <c r="AB43" s="255"/>
    </row>
    <row r="44" spans="1:28" s="266" customFormat="1" ht="15.75">
      <c r="A44" s="52">
        <v>2023</v>
      </c>
      <c r="B44" s="265">
        <v>2000</v>
      </c>
      <c r="C44" s="265">
        <v>21</v>
      </c>
      <c r="D44" s="132">
        <v>41.27</v>
      </c>
      <c r="E44" s="266">
        <v>25.6</v>
      </c>
      <c r="F44" s="85">
        <v>45673</v>
      </c>
      <c r="G44"/>
      <c r="K44" s="266">
        <v>8.48</v>
      </c>
      <c r="L44" s="274">
        <v>25.4</v>
      </c>
      <c r="M44" s="85">
        <f t="shared" si="1"/>
        <v>45673</v>
      </c>
      <c r="R44" t="s">
        <v>196</v>
      </c>
      <c r="T44" s="255"/>
      <c r="U44" s="255"/>
      <c r="V44" s="255"/>
      <c r="W44" s="255"/>
      <c r="X44" s="255"/>
      <c r="Y44" s="255"/>
      <c r="Z44" s="255"/>
      <c r="AA44" s="255"/>
      <c r="AB44" s="255"/>
    </row>
    <row r="45" spans="1:28" ht="15.75">
      <c r="A45" s="52">
        <v>2023</v>
      </c>
      <c r="B45" s="52">
        <v>3800</v>
      </c>
      <c r="C45" s="52">
        <v>1</v>
      </c>
      <c r="D45" s="132">
        <v>39.47</v>
      </c>
      <c r="E45" s="52">
        <v>24.9</v>
      </c>
      <c r="F45" s="85">
        <v>45674</v>
      </c>
      <c r="K45">
        <v>8.5</v>
      </c>
      <c r="L45" s="138">
        <v>24.9</v>
      </c>
      <c r="M45" s="85">
        <f t="shared" si="1"/>
        <v>45674</v>
      </c>
      <c r="R45" t="s">
        <v>196</v>
      </c>
      <c r="T45" s="52" t="s">
        <v>1718</v>
      </c>
      <c r="U45" s="255"/>
      <c r="V45" s="256">
        <v>44943</v>
      </c>
      <c r="W45" s="255"/>
      <c r="X45" s="255"/>
      <c r="Y45" s="52"/>
      <c r="Z45" s="52"/>
      <c r="AA45" s="52"/>
      <c r="AB45" s="52"/>
    </row>
    <row r="46" spans="1:28" ht="15.75">
      <c r="A46" s="52">
        <v>2023</v>
      </c>
      <c r="B46" s="52">
        <v>3800</v>
      </c>
      <c r="C46" s="255">
        <v>2</v>
      </c>
      <c r="D46" s="132">
        <v>39.590000000000003</v>
      </c>
      <c r="E46" s="52">
        <v>25.4</v>
      </c>
      <c r="F46" s="85">
        <v>45674</v>
      </c>
      <c r="K46">
        <v>8.66</v>
      </c>
      <c r="L46" s="138">
        <v>24.9</v>
      </c>
      <c r="M46" s="85">
        <f t="shared" si="1"/>
        <v>45674</v>
      </c>
      <c r="R46" t="s">
        <v>196</v>
      </c>
      <c r="T46" s="161" t="s">
        <v>1719</v>
      </c>
      <c r="U46" s="51"/>
      <c r="V46" s="255"/>
      <c r="W46" s="255" t="s">
        <v>1720</v>
      </c>
      <c r="X46" s="255"/>
      <c r="Y46" s="255"/>
      <c r="Z46" s="255"/>
      <c r="AA46" s="255"/>
      <c r="AB46" s="255"/>
    </row>
    <row r="47" spans="1:28" ht="15.75">
      <c r="A47" s="52">
        <v>2023</v>
      </c>
      <c r="B47" s="52">
        <v>3800</v>
      </c>
      <c r="C47" s="255">
        <v>3</v>
      </c>
      <c r="D47" s="132">
        <v>40.07</v>
      </c>
      <c r="E47" s="52">
        <v>25.4</v>
      </c>
      <c r="F47" s="85">
        <v>45674</v>
      </c>
      <c r="G47">
        <v>40.130000000000003</v>
      </c>
      <c r="H47">
        <v>25.4</v>
      </c>
      <c r="I47" s="122">
        <f>G47-D47</f>
        <v>6.0000000000002274E-2</v>
      </c>
      <c r="J47" s="258">
        <f>(I47/AVERAGE(G47,D47))*100</f>
        <v>0.14962593516210043</v>
      </c>
      <c r="K47">
        <v>8.69</v>
      </c>
      <c r="L47" s="138">
        <v>25.2</v>
      </c>
      <c r="M47" s="85">
        <f t="shared" si="1"/>
        <v>45674</v>
      </c>
      <c r="N47">
        <v>8.7100000000000009</v>
      </c>
      <c r="O47">
        <v>25.1</v>
      </c>
      <c r="P47">
        <f>K47-N47</f>
        <v>-2.000000000000135E-2</v>
      </c>
      <c r="Q47" s="258">
        <f>(P47/AVERAGE(N47,K47))*100</f>
        <v>-0.22988505747127988</v>
      </c>
      <c r="R47" t="s">
        <v>196</v>
      </c>
      <c r="T47" s="52" t="s">
        <v>1731</v>
      </c>
      <c r="U47" s="52" t="s">
        <v>1722</v>
      </c>
      <c r="V47" s="255"/>
      <c r="W47" s="52" t="s">
        <v>1723</v>
      </c>
      <c r="X47" s="255"/>
      <c r="Y47" s="255" t="s">
        <v>1724</v>
      </c>
      <c r="Z47" s="255" t="s">
        <v>1725</v>
      </c>
      <c r="AA47" s="255"/>
      <c r="AB47" s="255"/>
    </row>
    <row r="48" spans="1:28" ht="15.75">
      <c r="A48" s="52">
        <v>2023</v>
      </c>
      <c r="B48" s="52">
        <v>3800</v>
      </c>
      <c r="C48" s="255">
        <v>4</v>
      </c>
      <c r="D48" s="132">
        <v>39.65</v>
      </c>
      <c r="E48" s="52">
        <v>25.5</v>
      </c>
      <c r="F48" s="85">
        <v>45674</v>
      </c>
      <c r="K48">
        <v>8.67</v>
      </c>
      <c r="L48" s="138">
        <v>25.3</v>
      </c>
      <c r="M48" s="85">
        <f t="shared" si="1"/>
        <v>45674</v>
      </c>
      <c r="R48" t="s">
        <v>196</v>
      </c>
      <c r="T48" s="52"/>
      <c r="U48" s="255"/>
      <c r="V48" s="259"/>
      <c r="W48" s="255"/>
      <c r="X48" s="255"/>
      <c r="Y48" s="255"/>
      <c r="Z48" s="255">
        <f>_xlfn.STDEV.P(Y49:Y51,Y54:Y57)</f>
        <v>8.1255984554005466E-3</v>
      </c>
      <c r="AA48" s="255">
        <f>Z48/SQRT(COUNT(Y49:Y51,Y54:Y56))</f>
        <v>3.3172616784130794E-3</v>
      </c>
      <c r="AB48" s="260">
        <f>AA48</f>
        <v>3.3172616784130794E-3</v>
      </c>
    </row>
    <row r="49" spans="1:28" ht="15.75">
      <c r="A49" s="52">
        <v>2023</v>
      </c>
      <c r="B49" s="52">
        <v>3800</v>
      </c>
      <c r="C49" s="255">
        <v>5</v>
      </c>
      <c r="D49" s="132">
        <v>39.54</v>
      </c>
      <c r="E49" s="52">
        <v>25.5</v>
      </c>
      <c r="F49" s="85">
        <v>45674</v>
      </c>
      <c r="K49">
        <v>8.65</v>
      </c>
      <c r="L49" s="138">
        <v>25.2</v>
      </c>
      <c r="M49" s="85">
        <f t="shared" si="1"/>
        <v>45674</v>
      </c>
      <c r="R49" t="s">
        <v>196</v>
      </c>
      <c r="T49" s="52" t="s">
        <v>151</v>
      </c>
      <c r="U49" s="255">
        <v>49.5</v>
      </c>
      <c r="V49" s="259" t="s">
        <v>199</v>
      </c>
      <c r="W49" s="52">
        <v>25.1</v>
      </c>
      <c r="X49" s="255"/>
      <c r="Y49" s="255">
        <f>(50-U49)/50</f>
        <v>0.01</v>
      </c>
      <c r="Z49" s="255"/>
      <c r="AA49" s="255"/>
      <c r="AB49" s="255"/>
    </row>
    <row r="50" spans="1:28" ht="15.75">
      <c r="A50" s="52">
        <v>2023</v>
      </c>
      <c r="B50" s="52">
        <v>3800</v>
      </c>
      <c r="C50" s="52">
        <v>6</v>
      </c>
      <c r="D50" s="132">
        <v>39.82</v>
      </c>
      <c r="E50" s="52">
        <v>25.3</v>
      </c>
      <c r="F50" s="85">
        <v>45674</v>
      </c>
      <c r="K50">
        <v>8.68</v>
      </c>
      <c r="L50" s="138">
        <v>25</v>
      </c>
      <c r="M50" s="85">
        <f t="shared" si="1"/>
        <v>45674</v>
      </c>
      <c r="R50" t="s">
        <v>196</v>
      </c>
      <c r="T50" s="52" t="s">
        <v>1726</v>
      </c>
      <c r="U50" s="255">
        <v>53.2</v>
      </c>
      <c r="V50" s="259" t="s">
        <v>199</v>
      </c>
      <c r="W50" s="255">
        <v>25.3</v>
      </c>
      <c r="X50" s="255"/>
      <c r="Y50" s="261">
        <f>(53-U50)/53</f>
        <v>-3.7735849056604312E-3</v>
      </c>
      <c r="Z50" s="255"/>
      <c r="AA50" s="255"/>
      <c r="AB50" s="255"/>
    </row>
    <row r="51" spans="1:28" ht="15.75">
      <c r="A51" s="52">
        <v>2023</v>
      </c>
      <c r="B51" s="52">
        <v>3800</v>
      </c>
      <c r="C51" s="255">
        <v>7</v>
      </c>
      <c r="D51" s="132">
        <v>39.54</v>
      </c>
      <c r="E51" s="52">
        <v>25.5</v>
      </c>
      <c r="F51" s="85">
        <v>45674</v>
      </c>
      <c r="K51">
        <v>8.66</v>
      </c>
      <c r="L51" s="138">
        <v>25.1</v>
      </c>
      <c r="M51" s="85">
        <f t="shared" si="1"/>
        <v>45674</v>
      </c>
      <c r="R51" t="s">
        <v>196</v>
      </c>
      <c r="T51" s="255" t="s">
        <v>1727</v>
      </c>
      <c r="U51" s="255">
        <v>12.8</v>
      </c>
      <c r="V51" s="259" t="s">
        <v>199</v>
      </c>
      <c r="W51" s="255">
        <v>23.1</v>
      </c>
      <c r="X51" s="255"/>
      <c r="Y51" s="261">
        <f>(12.8-U51)/12.8</f>
        <v>0</v>
      </c>
      <c r="Z51" s="255"/>
      <c r="AA51" s="255"/>
      <c r="AB51" s="255"/>
    </row>
    <row r="52" spans="1:28" ht="15.75">
      <c r="A52" s="52">
        <v>2023</v>
      </c>
      <c r="B52" s="52">
        <v>3800</v>
      </c>
      <c r="C52" s="255">
        <v>8</v>
      </c>
      <c r="D52" s="132">
        <v>39.71</v>
      </c>
      <c r="E52" s="52">
        <v>25.8</v>
      </c>
      <c r="F52" s="85">
        <v>45674</v>
      </c>
      <c r="K52">
        <v>8.73</v>
      </c>
      <c r="L52" s="138">
        <v>25.2</v>
      </c>
      <c r="M52" s="85">
        <f t="shared" si="1"/>
        <v>45674</v>
      </c>
      <c r="R52" t="s">
        <v>196</v>
      </c>
      <c r="T52" s="43"/>
      <c r="U52" s="43"/>
      <c r="V52" s="43"/>
      <c r="W52" s="255"/>
      <c r="X52" s="255"/>
      <c r="Y52" s="255"/>
      <c r="Z52" s="255"/>
      <c r="AA52" s="255"/>
      <c r="AB52" s="255"/>
    </row>
    <row r="53" spans="1:28" ht="15.75">
      <c r="A53" s="52">
        <v>2023</v>
      </c>
      <c r="B53" s="52">
        <v>3800</v>
      </c>
      <c r="C53" s="255">
        <v>9</v>
      </c>
      <c r="D53" s="132">
        <v>39.619999999999997</v>
      </c>
      <c r="E53" s="52">
        <v>26</v>
      </c>
      <c r="F53" s="85">
        <v>45674</v>
      </c>
      <c r="K53">
        <v>8.73</v>
      </c>
      <c r="L53" s="138">
        <v>25.9</v>
      </c>
      <c r="M53" s="85">
        <f t="shared" si="1"/>
        <v>45674</v>
      </c>
      <c r="R53" t="s">
        <v>196</v>
      </c>
      <c r="T53" s="52" t="s">
        <v>1728</v>
      </c>
      <c r="U53" s="52" t="s">
        <v>1722</v>
      </c>
      <c r="V53" s="255"/>
      <c r="W53" s="52" t="s">
        <v>1723</v>
      </c>
      <c r="X53" s="255"/>
      <c r="Y53" s="261"/>
      <c r="Z53" s="255"/>
      <c r="AA53" s="255"/>
      <c r="AB53" s="255"/>
    </row>
    <row r="54" spans="1:28" ht="15.75">
      <c r="A54" s="52">
        <v>2023</v>
      </c>
      <c r="B54" s="52">
        <v>3800</v>
      </c>
      <c r="C54" s="255">
        <v>10</v>
      </c>
      <c r="D54" s="132">
        <v>39.659999999999997</v>
      </c>
      <c r="E54" s="52">
        <v>25.9</v>
      </c>
      <c r="F54" s="85">
        <v>45674</v>
      </c>
      <c r="K54">
        <v>8.39</v>
      </c>
      <c r="L54" s="138">
        <v>25.9</v>
      </c>
      <c r="M54" s="85">
        <f t="shared" si="1"/>
        <v>45674</v>
      </c>
      <c r="R54" t="s">
        <v>196</v>
      </c>
      <c r="T54" s="52" t="s">
        <v>151</v>
      </c>
      <c r="U54" s="255">
        <v>49.2</v>
      </c>
      <c r="V54" s="259" t="s">
        <v>199</v>
      </c>
      <c r="W54" s="255">
        <v>24.9</v>
      </c>
      <c r="X54" s="255"/>
      <c r="Y54" s="261">
        <f>(50-U54)/50</f>
        <v>1.5999999999999945E-2</v>
      </c>
      <c r="Z54" s="255"/>
      <c r="AA54" s="255"/>
      <c r="AB54" s="255"/>
    </row>
    <row r="55" spans="1:28" ht="15.75">
      <c r="A55" s="52">
        <v>2023</v>
      </c>
      <c r="B55" s="52">
        <v>3800</v>
      </c>
      <c r="C55" s="52">
        <v>11</v>
      </c>
      <c r="D55" s="132">
        <v>39.799999999999997</v>
      </c>
      <c r="E55" s="52">
        <v>26</v>
      </c>
      <c r="F55" s="85">
        <v>45674</v>
      </c>
      <c r="K55">
        <v>8.66</v>
      </c>
      <c r="L55" s="138">
        <v>25.7</v>
      </c>
      <c r="M55" s="85">
        <f t="shared" si="1"/>
        <v>45674</v>
      </c>
      <c r="R55" t="s">
        <v>196</v>
      </c>
      <c r="T55" s="52" t="s">
        <v>1726</v>
      </c>
      <c r="U55" s="255">
        <v>52.7</v>
      </c>
      <c r="V55" s="259" t="s">
        <v>199</v>
      </c>
      <c r="W55" s="255">
        <v>25.1</v>
      </c>
      <c r="X55" s="255"/>
      <c r="Y55" s="261">
        <f>(53-U55)/53</f>
        <v>5.6603773584905127E-3</v>
      </c>
      <c r="Z55" s="255"/>
      <c r="AA55" s="255"/>
      <c r="AB55" s="255"/>
    </row>
    <row r="56" spans="1:28" ht="15.75">
      <c r="A56" s="52">
        <v>2023</v>
      </c>
      <c r="B56" s="52">
        <v>3800</v>
      </c>
      <c r="C56" s="255">
        <v>12</v>
      </c>
      <c r="D56" s="132">
        <v>39.72</v>
      </c>
      <c r="E56" s="52">
        <v>25.9</v>
      </c>
      <c r="F56" s="85">
        <v>45674</v>
      </c>
      <c r="G56">
        <v>39.71</v>
      </c>
      <c r="H56">
        <v>25.1</v>
      </c>
      <c r="I56" s="122">
        <f>G56-D56</f>
        <v>-9.9999999999980105E-3</v>
      </c>
      <c r="J56" s="258">
        <f>(I36/AVERAGE(G36,D36))*100</f>
        <v>0.1938454082869043</v>
      </c>
      <c r="K56">
        <v>8.66</v>
      </c>
      <c r="L56" s="138">
        <v>25.4</v>
      </c>
      <c r="M56" s="85">
        <f t="shared" si="1"/>
        <v>45674</v>
      </c>
      <c r="N56">
        <v>8.67</v>
      </c>
      <c r="O56">
        <v>25</v>
      </c>
      <c r="P56">
        <f>K56-N56</f>
        <v>-9.9999999999997868E-3</v>
      </c>
      <c r="Q56" s="258">
        <f>(P56/AVERAGE(N56,K56))*100</f>
        <v>-0.11540680900172864</v>
      </c>
      <c r="R56" t="s">
        <v>196</v>
      </c>
      <c r="T56" s="255" t="s">
        <v>1727</v>
      </c>
      <c r="U56" s="263">
        <v>12.9</v>
      </c>
      <c r="V56" s="259" t="s">
        <v>199</v>
      </c>
      <c r="W56" s="263">
        <v>25.1</v>
      </c>
      <c r="X56" s="263"/>
      <c r="Y56" s="261">
        <f>(12.8-U56)/12.8</f>
        <v>-7.8124999999999722E-3</v>
      </c>
      <c r="Z56" s="255"/>
      <c r="AA56" s="255"/>
      <c r="AB56" s="255"/>
    </row>
    <row r="57" spans="1:28" ht="15.75">
      <c r="A57" s="52">
        <v>2023</v>
      </c>
      <c r="B57" s="52">
        <v>3800</v>
      </c>
      <c r="C57" s="255">
        <v>13</v>
      </c>
      <c r="D57" s="132">
        <v>39.49</v>
      </c>
      <c r="E57" s="52">
        <v>25.5</v>
      </c>
      <c r="F57" s="85">
        <v>45674</v>
      </c>
      <c r="K57">
        <v>8.49</v>
      </c>
      <c r="L57" s="138">
        <v>25.6</v>
      </c>
      <c r="M57" s="85">
        <f t="shared" si="1"/>
        <v>45674</v>
      </c>
      <c r="R57" t="s">
        <v>196</v>
      </c>
      <c r="T57" s="255"/>
      <c r="U57" s="255"/>
      <c r="V57" s="259"/>
      <c r="W57" s="255"/>
      <c r="X57" s="255"/>
      <c r="Y57" s="261"/>
      <c r="Z57" s="255"/>
      <c r="AA57" s="255"/>
      <c r="AB57" s="255"/>
    </row>
    <row r="58" spans="1:28" ht="15.75">
      <c r="A58" s="52">
        <v>2023</v>
      </c>
      <c r="B58" s="52">
        <v>3800</v>
      </c>
      <c r="C58" s="255">
        <v>14</v>
      </c>
      <c r="D58" s="132">
        <v>39.15</v>
      </c>
      <c r="E58" s="52">
        <v>25.7</v>
      </c>
      <c r="F58" s="85">
        <v>45674</v>
      </c>
      <c r="K58">
        <v>8.5399999999999991</v>
      </c>
      <c r="L58" s="138">
        <v>25.4</v>
      </c>
      <c r="M58" s="85">
        <f t="shared" si="1"/>
        <v>45674</v>
      </c>
      <c r="R58" t="s">
        <v>196</v>
      </c>
      <c r="T58" s="255"/>
      <c r="U58" s="255"/>
      <c r="V58" s="255"/>
      <c r="W58" s="255"/>
      <c r="X58" s="255"/>
      <c r="Y58" s="255"/>
      <c r="Z58" s="255"/>
      <c r="AA58" s="255"/>
      <c r="AB58" s="255"/>
    </row>
    <row r="59" spans="1:28" ht="15.75">
      <c r="A59" s="52">
        <v>2023</v>
      </c>
      <c r="B59" s="52">
        <v>3800</v>
      </c>
      <c r="C59" s="255">
        <v>15</v>
      </c>
      <c r="D59" s="132">
        <v>39.31</v>
      </c>
      <c r="E59" s="52">
        <v>25.6</v>
      </c>
      <c r="F59" s="85">
        <v>45674</v>
      </c>
      <c r="K59">
        <v>8.58</v>
      </c>
      <c r="L59" s="138">
        <v>25.5</v>
      </c>
      <c r="M59" s="85">
        <f t="shared" si="1"/>
        <v>45674</v>
      </c>
      <c r="R59" t="s">
        <v>196</v>
      </c>
      <c r="T59" s="52" t="s">
        <v>311</v>
      </c>
      <c r="U59" s="255"/>
      <c r="V59" s="255"/>
      <c r="W59" s="255"/>
      <c r="X59" s="255"/>
      <c r="Y59" s="255"/>
      <c r="Z59" s="255"/>
      <c r="AA59" s="255"/>
      <c r="AB59" s="255"/>
    </row>
    <row r="60" spans="1:28" ht="15.75">
      <c r="A60" s="52">
        <v>2023</v>
      </c>
      <c r="B60" s="52">
        <v>3800</v>
      </c>
      <c r="C60" s="52">
        <v>16</v>
      </c>
      <c r="D60" s="132">
        <v>39.659999999999997</v>
      </c>
      <c r="E60" s="52">
        <v>25.6</v>
      </c>
      <c r="F60" s="85">
        <v>45674</v>
      </c>
      <c r="K60">
        <v>8.67</v>
      </c>
      <c r="L60" s="138">
        <v>25.6</v>
      </c>
      <c r="M60" s="85">
        <f t="shared" si="1"/>
        <v>45674</v>
      </c>
      <c r="R60" t="s">
        <v>196</v>
      </c>
      <c r="T60" s="161" t="s">
        <v>1735</v>
      </c>
      <c r="U60" s="51"/>
      <c r="V60" s="255"/>
      <c r="W60" s="255"/>
      <c r="X60" s="255"/>
      <c r="Y60" s="255"/>
      <c r="Z60" s="255"/>
      <c r="AA60" s="255"/>
      <c r="AB60" s="255"/>
    </row>
    <row r="61" spans="1:28" ht="15.75">
      <c r="A61" s="52">
        <v>2023</v>
      </c>
      <c r="B61" s="52">
        <v>3800</v>
      </c>
      <c r="C61" s="255">
        <v>17</v>
      </c>
      <c r="D61" s="132">
        <v>39.4</v>
      </c>
      <c r="E61" s="52">
        <v>25.7</v>
      </c>
      <c r="F61" s="85">
        <v>45674</v>
      </c>
      <c r="K61">
        <v>8.67</v>
      </c>
      <c r="L61" s="138">
        <v>25.7</v>
      </c>
      <c r="M61" s="85">
        <f t="shared" si="1"/>
        <v>45674</v>
      </c>
      <c r="R61" t="s">
        <v>196</v>
      </c>
      <c r="T61" s="52" t="s">
        <v>1736</v>
      </c>
      <c r="U61" s="52" t="s">
        <v>1722</v>
      </c>
      <c r="V61" s="255"/>
      <c r="W61" s="52" t="s">
        <v>1723</v>
      </c>
      <c r="X61" s="255"/>
      <c r="Y61" s="255" t="s">
        <v>1724</v>
      </c>
      <c r="Z61" s="255" t="s">
        <v>1725</v>
      </c>
      <c r="AA61" s="255"/>
      <c r="AB61" s="255"/>
    </row>
    <row r="62" spans="1:28" ht="15.75">
      <c r="A62" s="52">
        <v>2023</v>
      </c>
      <c r="B62" s="52">
        <v>3800</v>
      </c>
      <c r="C62" s="255">
        <v>18</v>
      </c>
      <c r="D62" s="132">
        <v>39.42</v>
      </c>
      <c r="E62" s="52">
        <v>25.4</v>
      </c>
      <c r="F62" s="85">
        <v>45674</v>
      </c>
      <c r="K62">
        <v>8.6999999999999993</v>
      </c>
      <c r="L62" s="138">
        <v>25.4</v>
      </c>
      <c r="M62" s="85">
        <f t="shared" si="1"/>
        <v>45674</v>
      </c>
      <c r="R62" t="s">
        <v>196</v>
      </c>
      <c r="T62" s="52" t="s">
        <v>1729</v>
      </c>
      <c r="U62" s="43"/>
      <c r="V62" s="43"/>
      <c r="W62" s="43"/>
      <c r="X62" s="43"/>
      <c r="Y62" s="264"/>
      <c r="Z62" s="43"/>
      <c r="AA62" s="43"/>
    </row>
    <row r="63" spans="1:28" ht="15.75">
      <c r="A63" s="52">
        <v>2023</v>
      </c>
      <c r="B63" s="52">
        <v>3800</v>
      </c>
      <c r="C63" s="255">
        <v>19</v>
      </c>
      <c r="D63" s="132">
        <v>37.79</v>
      </c>
      <c r="E63" s="52">
        <v>25.5</v>
      </c>
      <c r="F63" s="85">
        <v>45674</v>
      </c>
      <c r="K63">
        <v>8.67</v>
      </c>
      <c r="L63" s="138">
        <v>25.2</v>
      </c>
      <c r="M63" s="85">
        <f t="shared" si="1"/>
        <v>45674</v>
      </c>
      <c r="R63" t="s">
        <v>196</v>
      </c>
      <c r="T63" s="52">
        <v>7.01</v>
      </c>
      <c r="U63" s="43">
        <v>7.01</v>
      </c>
      <c r="V63" s="43"/>
      <c r="W63" s="43">
        <v>22.1</v>
      </c>
      <c r="X63" s="43"/>
      <c r="Y63" s="264">
        <f>(U63-T63)/T63</f>
        <v>0</v>
      </c>
      <c r="Z63" s="264">
        <f>_xlfn.STDEV.P(Y63:Y71)</f>
        <v>5.1555244098989541E-3</v>
      </c>
      <c r="AA63" s="264">
        <f>Z63/SQRT(2)</f>
        <v>3.6455062708123241E-3</v>
      </c>
      <c r="AB63" s="260">
        <f>AA63</f>
        <v>3.6455062708123241E-3</v>
      </c>
    </row>
    <row r="64" spans="1:28" ht="15.75">
      <c r="A64" s="52">
        <v>2023</v>
      </c>
      <c r="B64" s="52">
        <v>3800</v>
      </c>
      <c r="C64" s="255">
        <v>20</v>
      </c>
      <c r="D64" s="132">
        <v>38.840000000000003</v>
      </c>
      <c r="E64" s="52">
        <v>25.4</v>
      </c>
      <c r="F64" s="85">
        <v>45674</v>
      </c>
      <c r="K64">
        <v>8.52</v>
      </c>
      <c r="L64" s="138">
        <v>25.1</v>
      </c>
      <c r="M64" s="85">
        <f t="shared" si="1"/>
        <v>45674</v>
      </c>
      <c r="R64" t="s">
        <v>196</v>
      </c>
      <c r="T64" s="52">
        <v>10.01</v>
      </c>
      <c r="U64" s="43">
        <v>10.029999999999999</v>
      </c>
      <c r="V64" s="43"/>
      <c r="W64" s="43">
        <v>22.4</v>
      </c>
      <c r="X64" s="43"/>
      <c r="Y64" s="264">
        <f t="shared" ref="Y64:Y66" si="2">(U64-T64)/T64</f>
        <v>1.9980019980019555E-3</v>
      </c>
      <c r="Z64" s="43"/>
      <c r="AA64" s="43"/>
    </row>
    <row r="65" spans="1:28" ht="15.75">
      <c r="A65" s="52">
        <v>2023</v>
      </c>
      <c r="B65" s="52">
        <v>3800</v>
      </c>
      <c r="C65" s="265">
        <v>21</v>
      </c>
      <c r="D65" s="132">
        <v>39.369999999999997</v>
      </c>
      <c r="E65" s="52">
        <v>25.1</v>
      </c>
      <c r="F65" s="85">
        <v>45674</v>
      </c>
      <c r="K65">
        <v>8.6999999999999993</v>
      </c>
      <c r="L65" s="138">
        <v>25.2</v>
      </c>
      <c r="M65" s="85">
        <f t="shared" si="1"/>
        <v>45674</v>
      </c>
      <c r="R65" t="s">
        <v>196</v>
      </c>
      <c r="T65" s="52">
        <v>12.45</v>
      </c>
      <c r="U65" s="43">
        <v>12.55</v>
      </c>
      <c r="V65" s="43"/>
      <c r="W65" s="43">
        <v>22.7</v>
      </c>
      <c r="X65" s="43"/>
      <c r="Y65" s="264">
        <f t="shared" si="2"/>
        <v>8.0321285140563387E-3</v>
      </c>
      <c r="Z65" s="43"/>
      <c r="AA65" s="43"/>
    </row>
    <row r="66" spans="1:28" ht="16.5" thickBot="1">
      <c r="T66" s="267">
        <v>9.18</v>
      </c>
      <c r="U66" s="255">
        <v>9.19</v>
      </c>
      <c r="V66" s="259"/>
      <c r="W66" s="255">
        <v>22.5</v>
      </c>
      <c r="X66" s="255"/>
      <c r="Y66" s="264">
        <f t="shared" si="2"/>
        <v>1.0893246187363603E-3</v>
      </c>
      <c r="Z66" s="43"/>
      <c r="AA66" s="43"/>
    </row>
    <row r="67" spans="1:28" ht="15.75">
      <c r="T67" s="52" t="s">
        <v>1730</v>
      </c>
      <c r="U67" s="52" t="s">
        <v>1722</v>
      </c>
      <c r="V67" s="255"/>
      <c r="W67" s="52" t="s">
        <v>1723</v>
      </c>
      <c r="X67" s="255"/>
      <c r="Y67" s="264"/>
      <c r="Z67" s="264"/>
      <c r="AB67" s="255"/>
    </row>
    <row r="68" spans="1:28" ht="15.75">
      <c r="T68" s="52">
        <v>7.01</v>
      </c>
      <c r="U68" s="255">
        <v>7.13</v>
      </c>
      <c r="V68" s="259"/>
      <c r="W68" s="255">
        <v>24.8</v>
      </c>
      <c r="X68" s="255"/>
      <c r="Y68" s="264">
        <f>(U68-T68)/T68</f>
        <v>1.7118402282453652E-2</v>
      </c>
      <c r="Z68" s="264"/>
      <c r="AA68" s="264"/>
      <c r="AB68" s="255"/>
    </row>
    <row r="69" spans="1:28" ht="15.75">
      <c r="T69" s="52">
        <v>10.01</v>
      </c>
      <c r="U69" s="255">
        <v>10.07</v>
      </c>
      <c r="V69" s="259"/>
      <c r="W69" s="255">
        <v>25.1</v>
      </c>
      <c r="X69" s="255"/>
      <c r="Y69" s="264">
        <f t="shared" ref="Y69:Y71" si="3">(U69-T69)/T69</f>
        <v>5.9940059940060434E-3</v>
      </c>
      <c r="Z69" s="264"/>
      <c r="AA69" s="264"/>
      <c r="AB69" s="255"/>
    </row>
    <row r="70" spans="1:28" ht="15.75">
      <c r="T70" s="52">
        <v>12.45</v>
      </c>
      <c r="U70" s="255">
        <v>12.51</v>
      </c>
      <c r="V70" s="259"/>
      <c r="W70" s="255">
        <v>24.8</v>
      </c>
      <c r="X70" s="263"/>
      <c r="Y70" s="264">
        <f t="shared" si="3"/>
        <v>4.8192771084337753E-3</v>
      </c>
      <c r="Z70" s="269"/>
      <c r="AA70" s="269"/>
      <c r="AB70" s="263"/>
    </row>
    <row r="71" spans="1:28" ht="16.5" thickBot="1">
      <c r="T71" s="267">
        <v>9.18</v>
      </c>
      <c r="U71" s="270">
        <v>9.26</v>
      </c>
      <c r="V71" s="271"/>
      <c r="W71" s="270">
        <v>25.3</v>
      </c>
      <c r="X71" s="270"/>
      <c r="Y71" s="264">
        <f t="shared" si="3"/>
        <v>8.7145969498910753E-3</v>
      </c>
      <c r="Z71" s="272"/>
      <c r="AA71" s="272"/>
      <c r="AB71" s="270"/>
    </row>
  </sheetData>
  <pageMargins left="0.7" right="0.7" top="0.75" bottom="0.75" header="0.3" footer="0.3"/>
  <headerFooter>
    <oddHeader>&amp;C&amp;"Aptos"&amp;12&amp;KFF0000 UNOFFICIAL&amp;1#_x000D_</oddHeader>
    <oddFooter>&amp;C_x000D_&amp;1#&amp;"Aptos"&amp;12&amp;KFF0000 UNOFFICIAL</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9979-D0A3-4386-97E1-1E6D797BFCD3}">
  <dimension ref="A1:AM85"/>
  <sheetViews>
    <sheetView topLeftCell="L1" zoomScale="80" zoomScaleNormal="80" workbookViewId="0">
      <pane ySplit="3" topLeftCell="A46" activePane="bottomLeft" state="frozen"/>
      <selection pane="bottomLeft" activeCell="AM7" sqref="AM7"/>
    </sheetView>
  </sheetViews>
  <sheetFormatPr defaultRowHeight="15"/>
  <cols>
    <col min="4" max="7" width="9.140625" customWidth="1"/>
    <col min="8" max="10" width="10.7109375" customWidth="1"/>
    <col min="11" max="11" width="9.7109375" customWidth="1"/>
    <col min="12" max="13" width="10.7109375" customWidth="1"/>
    <col min="14" max="15" width="9.140625" customWidth="1"/>
    <col min="16" max="16" width="10.7109375" bestFit="1" customWidth="1"/>
    <col min="17" max="24" width="9.140625" customWidth="1"/>
    <col min="39" max="39" width="10.140625" bestFit="1" customWidth="1"/>
  </cols>
  <sheetData>
    <row r="1" spans="1:39" ht="15.75">
      <c r="B1" t="s">
        <v>392</v>
      </c>
      <c r="C1" t="s">
        <v>208</v>
      </c>
      <c r="D1" t="s">
        <v>1658</v>
      </c>
      <c r="E1" t="s">
        <v>1658</v>
      </c>
      <c r="F1" s="122" t="s">
        <v>1659</v>
      </c>
      <c r="G1" s="132" t="s">
        <v>1659</v>
      </c>
      <c r="H1" s="192" t="s">
        <v>1660</v>
      </c>
      <c r="I1" s="192" t="s">
        <v>1660</v>
      </c>
      <c r="J1" t="s">
        <v>1661</v>
      </c>
      <c r="K1" s="138" t="s">
        <v>1662</v>
      </c>
      <c r="L1" s="138" t="s">
        <v>1663</v>
      </c>
      <c r="M1" t="s">
        <v>1661</v>
      </c>
      <c r="N1" s="138" t="s">
        <v>1662</v>
      </c>
      <c r="O1" s="138" t="s">
        <v>1663</v>
      </c>
      <c r="P1" s="138" t="s">
        <v>1664</v>
      </c>
      <c r="Q1" t="s">
        <v>1665</v>
      </c>
      <c r="R1" t="s">
        <v>1666</v>
      </c>
      <c r="S1" t="s">
        <v>313</v>
      </c>
      <c r="T1" t="s">
        <v>313</v>
      </c>
      <c r="U1" s="122" t="s">
        <v>1659</v>
      </c>
      <c r="V1" s="122" t="s">
        <v>1659</v>
      </c>
      <c r="W1" s="122" t="s">
        <v>1659</v>
      </c>
      <c r="X1" s="193" t="s">
        <v>1659</v>
      </c>
      <c r="Y1" s="194" t="s">
        <v>1659</v>
      </c>
      <c r="Z1" s="195" t="s">
        <v>1659</v>
      </c>
      <c r="AA1" s="195" t="s">
        <v>1667</v>
      </c>
      <c r="AB1" s="195" t="s">
        <v>1667</v>
      </c>
      <c r="AC1" s="196" t="s">
        <v>1661</v>
      </c>
      <c r="AD1" s="197" t="s">
        <v>1662</v>
      </c>
      <c r="AE1" s="197" t="s">
        <v>1663</v>
      </c>
      <c r="AF1" s="116" t="s">
        <v>1659</v>
      </c>
      <c r="AG1" s="116" t="s">
        <v>1659</v>
      </c>
      <c r="AH1" s="116" t="s">
        <v>1659</v>
      </c>
      <c r="AI1" s="196" t="s">
        <v>1661</v>
      </c>
      <c r="AJ1" s="197" t="s">
        <v>1662</v>
      </c>
      <c r="AK1" s="197" t="s">
        <v>1663</v>
      </c>
    </row>
    <row r="2" spans="1:39" ht="15.75">
      <c r="B2" t="s">
        <v>1694</v>
      </c>
      <c r="C2" t="s">
        <v>1668</v>
      </c>
      <c r="D2" t="s">
        <v>488</v>
      </c>
      <c r="E2" t="s">
        <v>1669</v>
      </c>
      <c r="F2" s="122" t="s">
        <v>1670</v>
      </c>
      <c r="G2" s="132" t="s">
        <v>1671</v>
      </c>
      <c r="H2" s="192" t="s">
        <v>1670</v>
      </c>
      <c r="I2" s="192" t="s">
        <v>1672</v>
      </c>
      <c r="J2" t="s">
        <v>1673</v>
      </c>
      <c r="K2" s="138" t="s">
        <v>353</v>
      </c>
      <c r="L2" s="138" t="s">
        <v>1674</v>
      </c>
      <c r="M2" t="s">
        <v>1673</v>
      </c>
      <c r="N2" s="138" t="s">
        <v>353</v>
      </c>
      <c r="O2" s="138" t="s">
        <v>1674</v>
      </c>
      <c r="P2" s="138"/>
      <c r="Q2" t="s">
        <v>1675</v>
      </c>
      <c r="U2" s="122" t="s">
        <v>1676</v>
      </c>
      <c r="V2" s="122" t="s">
        <v>1677</v>
      </c>
      <c r="W2" s="122" t="s">
        <v>1678</v>
      </c>
      <c r="X2" s="193" t="s">
        <v>1679</v>
      </c>
      <c r="Y2" s="194" t="s">
        <v>1680</v>
      </c>
      <c r="Z2" s="195" t="s">
        <v>1681</v>
      </c>
      <c r="AA2" s="195" t="s">
        <v>367</v>
      </c>
      <c r="AB2" s="195" t="s">
        <v>353</v>
      </c>
      <c r="AC2" s="196" t="s">
        <v>1673</v>
      </c>
      <c r="AD2" s="197" t="s">
        <v>353</v>
      </c>
      <c r="AE2" s="197" t="s">
        <v>1674</v>
      </c>
      <c r="AF2" s="116" t="s">
        <v>1682</v>
      </c>
      <c r="AG2" s="116" t="s">
        <v>1683</v>
      </c>
      <c r="AH2" s="116" t="s">
        <v>1683</v>
      </c>
      <c r="AI2" s="196" t="s">
        <v>1673</v>
      </c>
      <c r="AJ2" s="197" t="s">
        <v>353</v>
      </c>
      <c r="AK2" s="197" t="s">
        <v>1674</v>
      </c>
    </row>
    <row r="3" spans="1:39">
      <c r="A3" s="52"/>
      <c r="B3" s="52"/>
      <c r="C3" s="160"/>
      <c r="D3" s="160"/>
      <c r="E3" s="52"/>
      <c r="F3" s="132" t="s">
        <v>367</v>
      </c>
      <c r="G3" s="132" t="s">
        <v>367</v>
      </c>
      <c r="H3" s="198"/>
      <c r="I3" s="198"/>
      <c r="J3" s="52" t="s">
        <v>1684</v>
      </c>
      <c r="K3" s="52" t="s">
        <v>1684</v>
      </c>
      <c r="L3" s="52" t="s">
        <v>1684</v>
      </c>
      <c r="M3" s="52" t="s">
        <v>1685</v>
      </c>
      <c r="N3" s="52" t="s">
        <v>1685</v>
      </c>
      <c r="O3" s="52" t="s">
        <v>1685</v>
      </c>
      <c r="P3" s="161"/>
      <c r="Q3" s="52"/>
      <c r="R3" s="52"/>
      <c r="S3" s="52"/>
      <c r="T3" s="52"/>
      <c r="U3" s="132" t="s">
        <v>367</v>
      </c>
      <c r="V3" s="122" t="s">
        <v>367</v>
      </c>
      <c r="W3" s="122" t="s">
        <v>367</v>
      </c>
      <c r="X3" s="193"/>
      <c r="Y3" s="122" t="s">
        <v>367</v>
      </c>
      <c r="Z3" s="1" t="s">
        <v>367</v>
      </c>
      <c r="AA3" s="1" t="s">
        <v>367</v>
      </c>
      <c r="AB3" s="1" t="s">
        <v>353</v>
      </c>
      <c r="AC3" s="52"/>
      <c r="AD3" s="52"/>
      <c r="AE3" s="52"/>
      <c r="AF3" s="116" t="s">
        <v>367</v>
      </c>
      <c r="AG3" s="116" t="s">
        <v>367</v>
      </c>
      <c r="AH3" s="116" t="s">
        <v>353</v>
      </c>
      <c r="AI3" s="52"/>
      <c r="AJ3" s="52"/>
      <c r="AK3" s="52"/>
    </row>
    <row r="5" spans="1:39" s="191" customFormat="1">
      <c r="A5" s="191" t="str">
        <f>main!A6</f>
        <v>Deployment 18/5/2023 IN2023_V03</v>
      </c>
      <c r="B5" s="191" t="str">
        <f>main!B6</f>
        <v>McLane-PARFLUX-Mark78H-21 ; frame# 2241, controller# 11640-01 and Motor # 11640-01 Cup set Dx21</v>
      </c>
    </row>
    <row r="6" spans="1:39">
      <c r="A6">
        <v>2023</v>
      </c>
      <c r="B6" t="s">
        <v>37</v>
      </c>
      <c r="C6">
        <v>1</v>
      </c>
      <c r="D6">
        <v>4</v>
      </c>
      <c r="E6">
        <v>10</v>
      </c>
      <c r="F6">
        <v>44.2</v>
      </c>
      <c r="G6">
        <v>390.47</v>
      </c>
      <c r="H6" s="214">
        <v>45621</v>
      </c>
      <c r="I6" s="214"/>
      <c r="J6" s="214"/>
      <c r="K6" s="215">
        <v>39</v>
      </c>
      <c r="L6" s="213">
        <v>22.2</v>
      </c>
      <c r="M6" s="214"/>
      <c r="N6" s="213">
        <v>46</v>
      </c>
      <c r="O6" s="213">
        <v>22.5</v>
      </c>
      <c r="P6" s="213"/>
      <c r="Q6" s="213" t="s">
        <v>2335</v>
      </c>
      <c r="R6" s="213" t="s">
        <v>196</v>
      </c>
      <c r="S6" s="213"/>
      <c r="T6" s="213"/>
      <c r="U6">
        <f>G6-F6</f>
        <v>346.27000000000004</v>
      </c>
      <c r="V6" s="122">
        <f>U6/7*10</f>
        <v>494.67142857142858</v>
      </c>
      <c r="W6" s="122">
        <f>U6/((E6-D6)+1)</f>
        <v>49.467142857142861</v>
      </c>
      <c r="Y6">
        <v>14534.79</v>
      </c>
      <c r="AA6" s="122"/>
    </row>
    <row r="7" spans="1:39">
      <c r="A7">
        <v>2023</v>
      </c>
      <c r="B7" t="s">
        <v>37</v>
      </c>
      <c r="C7">
        <v>2</v>
      </c>
      <c r="D7">
        <v>4</v>
      </c>
      <c r="E7">
        <v>10</v>
      </c>
      <c r="F7">
        <v>42.1</v>
      </c>
      <c r="G7">
        <v>256.69</v>
      </c>
      <c r="H7" s="214">
        <v>45621</v>
      </c>
      <c r="I7" s="214"/>
      <c r="J7" s="214"/>
      <c r="K7" s="215">
        <v>39</v>
      </c>
      <c r="L7" s="213">
        <v>22.4</v>
      </c>
      <c r="M7" s="214"/>
      <c r="N7" s="213">
        <v>46</v>
      </c>
      <c r="O7" s="213">
        <v>22.6</v>
      </c>
      <c r="P7" s="213"/>
      <c r="Q7" s="213" t="s">
        <v>2335</v>
      </c>
      <c r="R7" s="213" t="s">
        <v>196</v>
      </c>
      <c r="S7" s="213"/>
      <c r="T7" s="213"/>
      <c r="U7">
        <f t="shared" ref="U7:U32" si="0">G7-F7</f>
        <v>214.59</v>
      </c>
      <c r="V7" s="122">
        <f t="shared" ref="V7:V15" si="1">U7/7*10</f>
        <v>306.55714285714288</v>
      </c>
      <c r="W7" s="122">
        <f t="shared" ref="W7:W32" si="2">U7/((E7-D7)+1)</f>
        <v>30.655714285714286</v>
      </c>
      <c r="Y7">
        <v>15111.97</v>
      </c>
      <c r="AA7" s="122"/>
      <c r="AF7">
        <v>43</v>
      </c>
      <c r="AG7">
        <f>AF7-F7</f>
        <v>0.89999999999999858</v>
      </c>
      <c r="AH7">
        <f>AG7/AF7*100</f>
        <v>2.0930232558139505</v>
      </c>
      <c r="AM7" s="122"/>
    </row>
    <row r="8" spans="1:39">
      <c r="A8">
        <v>2023</v>
      </c>
      <c r="B8" t="s">
        <v>37</v>
      </c>
      <c r="C8">
        <v>3</v>
      </c>
      <c r="D8">
        <v>4</v>
      </c>
      <c r="E8">
        <v>10</v>
      </c>
      <c r="F8">
        <v>45.1</v>
      </c>
      <c r="G8">
        <v>136.19</v>
      </c>
      <c r="H8" s="214">
        <v>45622</v>
      </c>
      <c r="I8" s="214"/>
      <c r="J8" s="214"/>
      <c r="K8" s="215">
        <v>35</v>
      </c>
      <c r="L8" s="213">
        <v>23.5</v>
      </c>
      <c r="M8" s="214"/>
      <c r="N8" s="213">
        <v>45</v>
      </c>
      <c r="O8" s="213">
        <v>22.7</v>
      </c>
      <c r="P8" s="213"/>
      <c r="Q8" s="213" t="s">
        <v>2335</v>
      </c>
      <c r="R8" s="213" t="s">
        <v>196</v>
      </c>
      <c r="S8" s="213"/>
      <c r="T8" s="213"/>
      <c r="U8">
        <f t="shared" si="0"/>
        <v>91.09</v>
      </c>
      <c r="V8" s="122">
        <f t="shared" si="1"/>
        <v>130.12857142857143</v>
      </c>
      <c r="W8" s="122">
        <f t="shared" si="2"/>
        <v>13.012857142857143</v>
      </c>
      <c r="Y8" s="122">
        <v>15001.9</v>
      </c>
      <c r="AA8" s="122"/>
    </row>
    <row r="9" spans="1:39">
      <c r="A9">
        <v>2023</v>
      </c>
      <c r="B9" t="s">
        <v>37</v>
      </c>
      <c r="C9">
        <v>4</v>
      </c>
      <c r="D9">
        <v>4</v>
      </c>
      <c r="E9">
        <v>10</v>
      </c>
      <c r="F9">
        <v>43.9</v>
      </c>
      <c r="G9" s="122">
        <v>164.6</v>
      </c>
      <c r="H9" s="214">
        <v>45622</v>
      </c>
      <c r="I9" s="214"/>
      <c r="J9" s="214"/>
      <c r="K9" s="215">
        <v>34</v>
      </c>
      <c r="L9" s="213">
        <v>23.6</v>
      </c>
      <c r="M9" s="214"/>
      <c r="N9" s="213">
        <v>45</v>
      </c>
      <c r="O9" s="213">
        <v>22.8</v>
      </c>
      <c r="P9" s="213"/>
      <c r="Q9" s="213" t="s">
        <v>2335</v>
      </c>
      <c r="R9" s="213" t="s">
        <v>196</v>
      </c>
      <c r="S9" s="213"/>
      <c r="T9" s="213"/>
      <c r="U9">
        <f t="shared" si="0"/>
        <v>120.69999999999999</v>
      </c>
      <c r="V9" s="122">
        <f t="shared" si="1"/>
        <v>172.42857142857139</v>
      </c>
      <c r="W9" s="122">
        <f t="shared" si="2"/>
        <v>17.24285714285714</v>
      </c>
      <c r="X9" s="193"/>
      <c r="Y9">
        <v>14882.68</v>
      </c>
      <c r="AA9" s="122"/>
    </row>
    <row r="10" spans="1:39">
      <c r="A10">
        <v>2023</v>
      </c>
      <c r="B10" t="s">
        <v>37</v>
      </c>
      <c r="C10">
        <v>5</v>
      </c>
      <c r="D10">
        <v>4</v>
      </c>
      <c r="E10">
        <v>10</v>
      </c>
      <c r="F10">
        <v>41.2</v>
      </c>
      <c r="G10">
        <v>142.06</v>
      </c>
      <c r="H10" s="214">
        <v>45622</v>
      </c>
      <c r="I10" s="214"/>
      <c r="J10" s="214"/>
      <c r="K10" s="215">
        <v>34</v>
      </c>
      <c r="L10" s="213">
        <v>23.7</v>
      </c>
      <c r="M10" s="214"/>
      <c r="N10" s="213">
        <v>45</v>
      </c>
      <c r="O10" s="213">
        <v>22.8</v>
      </c>
      <c r="P10" s="213"/>
      <c r="Q10" s="213" t="s">
        <v>2335</v>
      </c>
      <c r="R10" s="213" t="s">
        <v>196</v>
      </c>
      <c r="S10" s="213"/>
      <c r="T10" s="213"/>
      <c r="U10">
        <f t="shared" si="0"/>
        <v>100.86</v>
      </c>
      <c r="V10" s="122">
        <f t="shared" si="1"/>
        <v>144.08571428571429</v>
      </c>
      <c r="W10" s="122">
        <f t="shared" si="2"/>
        <v>14.408571428571429</v>
      </c>
      <c r="X10" s="193"/>
      <c r="Y10">
        <v>14575.07</v>
      </c>
      <c r="AA10" s="122"/>
    </row>
    <row r="11" spans="1:39">
      <c r="A11">
        <v>2023</v>
      </c>
      <c r="B11" t="s">
        <v>37</v>
      </c>
      <c r="C11">
        <v>6</v>
      </c>
      <c r="D11">
        <v>4</v>
      </c>
      <c r="E11">
        <v>10</v>
      </c>
      <c r="F11">
        <v>42.6</v>
      </c>
      <c r="G11">
        <v>155.07</v>
      </c>
      <c r="H11" s="214">
        <v>45622</v>
      </c>
      <c r="I11" s="214"/>
      <c r="J11" s="214"/>
      <c r="K11" s="215">
        <v>34</v>
      </c>
      <c r="L11" s="213">
        <v>23.8</v>
      </c>
      <c r="M11" s="214"/>
      <c r="N11" s="213">
        <v>45</v>
      </c>
      <c r="O11" s="213">
        <v>22.9</v>
      </c>
      <c r="P11" s="213"/>
      <c r="Q11" s="213" t="s">
        <v>2335</v>
      </c>
      <c r="R11" s="213" t="s">
        <v>196</v>
      </c>
      <c r="S11" s="213"/>
      <c r="T11" s="213"/>
      <c r="U11">
        <f t="shared" si="0"/>
        <v>112.47</v>
      </c>
      <c r="V11" s="122">
        <f t="shared" si="1"/>
        <v>160.67142857142858</v>
      </c>
      <c r="W11" s="122">
        <f t="shared" si="2"/>
        <v>16.067142857142859</v>
      </c>
      <c r="X11" s="193"/>
      <c r="Y11">
        <v>15069.71</v>
      </c>
      <c r="AA11" s="122"/>
    </row>
    <row r="12" spans="1:39">
      <c r="A12">
        <v>2023</v>
      </c>
      <c r="B12" t="s">
        <v>37</v>
      </c>
      <c r="C12">
        <v>7</v>
      </c>
      <c r="D12">
        <v>4</v>
      </c>
      <c r="E12">
        <v>10</v>
      </c>
      <c r="F12" s="138">
        <v>42</v>
      </c>
      <c r="G12">
        <v>133.47999999999999</v>
      </c>
      <c r="H12" s="214">
        <v>45622</v>
      </c>
      <c r="I12" s="214"/>
      <c r="J12" s="214"/>
      <c r="K12" s="215">
        <v>34</v>
      </c>
      <c r="L12" s="213">
        <v>24</v>
      </c>
      <c r="M12" s="214"/>
      <c r="N12" s="213">
        <v>45</v>
      </c>
      <c r="O12" s="213">
        <v>22.9</v>
      </c>
      <c r="P12" s="213"/>
      <c r="Q12" s="213" t="s">
        <v>2335</v>
      </c>
      <c r="R12" s="213" t="s">
        <v>196</v>
      </c>
      <c r="S12" s="213"/>
      <c r="T12" s="213"/>
      <c r="U12">
        <f t="shared" si="0"/>
        <v>91.47999999999999</v>
      </c>
      <c r="V12" s="122">
        <f t="shared" si="1"/>
        <v>130.68571428571428</v>
      </c>
      <c r="W12" s="122">
        <f t="shared" si="2"/>
        <v>13.068571428571428</v>
      </c>
      <c r="X12" s="199"/>
      <c r="Y12">
        <v>15015.76</v>
      </c>
      <c r="AA12" s="122"/>
    </row>
    <row r="13" spans="1:39">
      <c r="A13">
        <v>2023</v>
      </c>
      <c r="B13" t="s">
        <v>37</v>
      </c>
      <c r="C13">
        <v>8</v>
      </c>
      <c r="D13">
        <v>4</v>
      </c>
      <c r="E13">
        <v>10</v>
      </c>
      <c r="F13">
        <v>44.4</v>
      </c>
      <c r="G13">
        <v>211.73</v>
      </c>
      <c r="H13" s="214">
        <v>45622</v>
      </c>
      <c r="I13" s="214"/>
      <c r="J13" s="214"/>
      <c r="K13" s="215">
        <v>34</v>
      </c>
      <c r="L13" s="213">
        <v>24</v>
      </c>
      <c r="M13" s="214"/>
      <c r="N13" s="213">
        <v>45</v>
      </c>
      <c r="O13" s="213">
        <v>22.9</v>
      </c>
      <c r="P13" s="213"/>
      <c r="Q13" s="213" t="s">
        <v>2335</v>
      </c>
      <c r="R13" s="213" t="s">
        <v>196</v>
      </c>
      <c r="S13" s="213"/>
      <c r="T13" s="213"/>
      <c r="U13">
        <f t="shared" si="0"/>
        <v>167.32999999999998</v>
      </c>
      <c r="V13" s="122">
        <f t="shared" si="1"/>
        <v>239.04285714285714</v>
      </c>
      <c r="W13" s="122">
        <f t="shared" si="2"/>
        <v>23.904285714285713</v>
      </c>
      <c r="X13" s="199"/>
      <c r="Y13">
        <v>14459.69</v>
      </c>
      <c r="AA13" s="122"/>
    </row>
    <row r="14" spans="1:39">
      <c r="A14">
        <v>2023</v>
      </c>
      <c r="B14" t="s">
        <v>37</v>
      </c>
      <c r="C14">
        <v>9</v>
      </c>
      <c r="D14">
        <v>4</v>
      </c>
      <c r="E14">
        <v>10</v>
      </c>
      <c r="F14">
        <v>42.1</v>
      </c>
      <c r="G14">
        <v>261.14999999999998</v>
      </c>
      <c r="H14" s="214">
        <v>45623</v>
      </c>
      <c r="I14" s="214"/>
      <c r="J14" s="214"/>
      <c r="K14" s="215">
        <v>40</v>
      </c>
      <c r="L14" s="213">
        <v>23.3</v>
      </c>
      <c r="M14" s="214"/>
      <c r="N14" s="213">
        <v>45</v>
      </c>
      <c r="O14" s="213">
        <v>22.9</v>
      </c>
      <c r="P14" s="213"/>
      <c r="Q14" s="213" t="s">
        <v>2335</v>
      </c>
      <c r="R14" s="213" t="s">
        <v>196</v>
      </c>
      <c r="S14" s="213"/>
      <c r="T14" s="213"/>
      <c r="U14">
        <f t="shared" si="0"/>
        <v>219.04999999999998</v>
      </c>
      <c r="V14" s="122">
        <f t="shared" si="1"/>
        <v>312.92857142857139</v>
      </c>
      <c r="W14" s="122">
        <f t="shared" si="2"/>
        <v>31.292857142857141</v>
      </c>
      <c r="X14" s="199"/>
      <c r="Y14">
        <v>14627.16</v>
      </c>
      <c r="AA14" s="122"/>
      <c r="AF14">
        <v>43.08</v>
      </c>
      <c r="AG14">
        <f>AF14-F14</f>
        <v>0.97999999999999687</v>
      </c>
      <c r="AH14">
        <f>AG14/AF14*100</f>
        <v>2.2748375116063069</v>
      </c>
    </row>
    <row r="15" spans="1:39">
      <c r="A15">
        <v>2023</v>
      </c>
      <c r="B15" t="s">
        <v>37</v>
      </c>
      <c r="C15">
        <v>10</v>
      </c>
      <c r="D15">
        <v>4</v>
      </c>
      <c r="E15">
        <v>10</v>
      </c>
      <c r="F15">
        <v>43.7</v>
      </c>
      <c r="G15">
        <v>375.71</v>
      </c>
      <c r="H15" s="214">
        <v>45623</v>
      </c>
      <c r="I15" s="214"/>
      <c r="J15" s="214"/>
      <c r="K15" s="215">
        <v>40</v>
      </c>
      <c r="L15" s="213">
        <v>23.3</v>
      </c>
      <c r="M15" s="214"/>
      <c r="N15" s="213">
        <v>44</v>
      </c>
      <c r="O15" s="213">
        <v>23</v>
      </c>
      <c r="P15" s="213"/>
      <c r="Q15" s="213" t="s">
        <v>2335</v>
      </c>
      <c r="R15" s="213" t="s">
        <v>196</v>
      </c>
      <c r="S15" s="213"/>
      <c r="T15" s="213"/>
      <c r="U15">
        <f t="shared" si="0"/>
        <v>332.01</v>
      </c>
      <c r="V15" s="122">
        <f t="shared" si="1"/>
        <v>474.3</v>
      </c>
      <c r="W15" s="122">
        <f t="shared" si="2"/>
        <v>47.43</v>
      </c>
      <c r="X15" s="193"/>
      <c r="Y15">
        <v>15047.03</v>
      </c>
      <c r="AA15" s="122"/>
    </row>
    <row r="16" spans="1:39" s="216" customFormat="1">
      <c r="A16">
        <v>2023</v>
      </c>
      <c r="B16" s="216" t="s">
        <v>37</v>
      </c>
      <c r="C16" s="216">
        <v>11</v>
      </c>
      <c r="D16" s="216">
        <v>4</v>
      </c>
      <c r="E16" s="216">
        <v>7</v>
      </c>
      <c r="F16" s="216">
        <v>41.8</v>
      </c>
      <c r="G16" s="216">
        <v>263.36</v>
      </c>
      <c r="H16" s="217">
        <v>45623</v>
      </c>
      <c r="I16" s="217"/>
      <c r="J16" s="217"/>
      <c r="K16" s="218">
        <v>40</v>
      </c>
      <c r="L16" s="216">
        <v>23.3</v>
      </c>
      <c r="M16" s="217"/>
      <c r="N16" s="216">
        <v>56</v>
      </c>
      <c r="O16" s="216">
        <v>22</v>
      </c>
      <c r="Q16" s="216" t="s">
        <v>2335</v>
      </c>
      <c r="R16" s="216" t="s">
        <v>196</v>
      </c>
      <c r="U16" s="216">
        <f t="shared" si="0"/>
        <v>221.56</v>
      </c>
      <c r="V16" s="219">
        <f>(U16+U17)/7*10</f>
        <v>602.94285714285718</v>
      </c>
      <c r="W16" s="219">
        <f t="shared" si="2"/>
        <v>55.39</v>
      </c>
      <c r="X16" s="216">
        <f>ABS(W16-W17)</f>
        <v>11.443333333333328</v>
      </c>
      <c r="Y16" s="216">
        <v>14619.54</v>
      </c>
      <c r="AA16" s="219"/>
    </row>
    <row r="17" spans="1:34" s="216" customFormat="1">
      <c r="A17">
        <v>2023</v>
      </c>
      <c r="C17" s="216" t="s">
        <v>1695</v>
      </c>
      <c r="D17" s="216">
        <v>8</v>
      </c>
      <c r="E17" s="216">
        <v>10</v>
      </c>
      <c r="F17" s="216">
        <v>43.6</v>
      </c>
      <c r="G17" s="216">
        <v>244.1</v>
      </c>
      <c r="H17" s="217">
        <v>45623</v>
      </c>
      <c r="I17" s="217"/>
      <c r="J17" s="217"/>
      <c r="K17" s="218">
        <v>40</v>
      </c>
      <c r="L17" s="216">
        <v>23.2</v>
      </c>
      <c r="M17" s="217">
        <v>45622</v>
      </c>
      <c r="N17" s="216">
        <v>26</v>
      </c>
      <c r="O17" s="216">
        <v>20.9</v>
      </c>
      <c r="Q17" s="216" t="s">
        <v>2334</v>
      </c>
      <c r="R17" s="216" t="s">
        <v>196</v>
      </c>
      <c r="U17" s="216">
        <f t="shared" si="0"/>
        <v>200.5</v>
      </c>
      <c r="V17" s="219"/>
      <c r="W17" s="219">
        <f t="shared" si="2"/>
        <v>66.833333333333329</v>
      </c>
      <c r="X17" s="228">
        <f>X16/(U16+U17)</f>
        <v>2.7113048697657509E-2</v>
      </c>
      <c r="AA17" s="219"/>
    </row>
    <row r="18" spans="1:34" s="220" customFormat="1">
      <c r="A18">
        <v>2023</v>
      </c>
      <c r="B18" s="220" t="s">
        <v>37</v>
      </c>
      <c r="C18" s="220">
        <v>12</v>
      </c>
      <c r="D18" s="220">
        <v>4</v>
      </c>
      <c r="E18" s="220">
        <v>7</v>
      </c>
      <c r="F18" s="220">
        <v>43.74</v>
      </c>
      <c r="G18" s="220">
        <v>406.49</v>
      </c>
      <c r="H18" s="221">
        <v>45623</v>
      </c>
      <c r="I18" s="221"/>
      <c r="J18" s="221"/>
      <c r="K18" s="222">
        <v>40</v>
      </c>
      <c r="L18" s="220">
        <v>23.3</v>
      </c>
      <c r="M18" s="221"/>
      <c r="N18" s="220">
        <v>55</v>
      </c>
      <c r="O18" s="220">
        <v>22.6</v>
      </c>
      <c r="Q18" s="220" t="s">
        <v>2335</v>
      </c>
      <c r="R18" s="220" t="s">
        <v>196</v>
      </c>
      <c r="U18" s="220">
        <f t="shared" si="0"/>
        <v>362.75</v>
      </c>
      <c r="V18" s="223">
        <f>(U18+U19)/7*10</f>
        <v>937.38571428571413</v>
      </c>
      <c r="W18" s="223">
        <f t="shared" si="2"/>
        <v>90.6875</v>
      </c>
      <c r="X18" s="220">
        <f>ABS(W18-W19)</f>
        <v>7.1191666666666578</v>
      </c>
      <c r="Y18" s="220">
        <v>14984.24</v>
      </c>
      <c r="AA18" s="223"/>
    </row>
    <row r="19" spans="1:34" s="220" customFormat="1">
      <c r="A19">
        <v>2023</v>
      </c>
      <c r="C19" s="220" t="s">
        <v>1696</v>
      </c>
      <c r="D19" s="220">
        <v>8</v>
      </c>
      <c r="E19" s="220">
        <v>10</v>
      </c>
      <c r="F19" s="220">
        <v>42.16</v>
      </c>
      <c r="G19" s="220">
        <v>335.58</v>
      </c>
      <c r="H19" s="221">
        <v>45623</v>
      </c>
      <c r="I19" s="221"/>
      <c r="J19" s="221"/>
      <c r="K19" s="222">
        <v>40</v>
      </c>
      <c r="L19" s="220">
        <v>23.3</v>
      </c>
      <c r="M19" s="221">
        <v>45622</v>
      </c>
      <c r="N19" s="220">
        <v>53</v>
      </c>
      <c r="O19" s="220">
        <v>23.4</v>
      </c>
      <c r="Q19" s="220" t="s">
        <v>2334</v>
      </c>
      <c r="R19" s="220" t="s">
        <v>196</v>
      </c>
      <c r="U19" s="220">
        <f>G19-F19</f>
        <v>293.41999999999996</v>
      </c>
      <c r="V19" s="223"/>
      <c r="W19" s="223">
        <f t="shared" si="2"/>
        <v>97.806666666666658</v>
      </c>
      <c r="X19" s="229">
        <f>X18/(U18+U19)</f>
        <v>1.0849576583304111E-2</v>
      </c>
      <c r="AA19" s="223"/>
    </row>
    <row r="20" spans="1:34" s="224" customFormat="1">
      <c r="A20">
        <v>2023</v>
      </c>
      <c r="B20" s="224" t="s">
        <v>37</v>
      </c>
      <c r="C20" s="224">
        <v>13</v>
      </c>
      <c r="D20" s="224">
        <v>4</v>
      </c>
      <c r="E20" s="224">
        <v>7</v>
      </c>
      <c r="F20" s="224">
        <v>44.01</v>
      </c>
      <c r="G20" s="224">
        <v>580.12</v>
      </c>
      <c r="H20" s="225">
        <v>45624</v>
      </c>
      <c r="I20" s="225"/>
      <c r="J20" s="225"/>
      <c r="K20" s="226">
        <v>40</v>
      </c>
      <c r="L20" s="224">
        <v>23.2</v>
      </c>
      <c r="M20" s="225"/>
      <c r="N20" s="224">
        <v>54</v>
      </c>
      <c r="O20" s="224">
        <v>22.8</v>
      </c>
      <c r="Q20" s="224" t="s">
        <v>2335</v>
      </c>
      <c r="R20" s="224" t="s">
        <v>196</v>
      </c>
      <c r="U20" s="224">
        <f t="shared" si="0"/>
        <v>536.11</v>
      </c>
      <c r="V20" s="227">
        <f>(U20+U21)/7*10</f>
        <v>1423.7428571428572</v>
      </c>
      <c r="W20" s="227">
        <f t="shared" si="2"/>
        <v>134.0275</v>
      </c>
      <c r="X20" s="224">
        <f>ABS(W20-W21)</f>
        <v>19.475833333333355</v>
      </c>
      <c r="Y20" s="224">
        <v>14684.63</v>
      </c>
      <c r="AA20" s="227"/>
    </row>
    <row r="21" spans="1:34" s="224" customFormat="1">
      <c r="A21">
        <v>2023</v>
      </c>
      <c r="C21" s="224" t="s">
        <v>1697</v>
      </c>
      <c r="D21" s="224">
        <v>8</v>
      </c>
      <c r="E21" s="224">
        <v>10</v>
      </c>
      <c r="F21" s="224">
        <v>41.46</v>
      </c>
      <c r="G21" s="224">
        <v>501.97</v>
      </c>
      <c r="H21" s="225">
        <v>45624</v>
      </c>
      <c r="I21" s="225"/>
      <c r="J21" s="225"/>
      <c r="K21" s="226">
        <v>40</v>
      </c>
      <c r="L21" s="224">
        <v>23.2</v>
      </c>
      <c r="M21" s="225">
        <v>45622</v>
      </c>
      <c r="N21" s="224">
        <v>53</v>
      </c>
      <c r="O21" s="224">
        <v>23.5</v>
      </c>
      <c r="Q21" s="224" t="s">
        <v>2334</v>
      </c>
      <c r="R21" s="224" t="s">
        <v>196</v>
      </c>
      <c r="U21" s="224">
        <f t="shared" si="0"/>
        <v>460.51000000000005</v>
      </c>
      <c r="V21" s="227"/>
      <c r="W21" s="227">
        <f t="shared" si="2"/>
        <v>153.50333333333336</v>
      </c>
      <c r="X21" s="230">
        <f>X20/(U20+U21)</f>
        <v>1.9541884904309921E-2</v>
      </c>
      <c r="AA21" s="227"/>
    </row>
    <row r="22" spans="1:34" s="235" customFormat="1">
      <c r="A22" s="235">
        <v>2023</v>
      </c>
      <c r="B22" s="235" t="s">
        <v>37</v>
      </c>
      <c r="C22" s="235">
        <v>14</v>
      </c>
      <c r="D22" s="235">
        <v>4</v>
      </c>
      <c r="E22" s="235">
        <v>7</v>
      </c>
      <c r="F22" s="235">
        <v>41.65</v>
      </c>
      <c r="G22" s="235">
        <v>282.87</v>
      </c>
      <c r="H22" s="236">
        <v>45624</v>
      </c>
      <c r="I22" s="236"/>
      <c r="J22" s="236"/>
      <c r="K22" s="237">
        <v>40</v>
      </c>
      <c r="L22" s="235">
        <v>23.2</v>
      </c>
      <c r="M22" s="236"/>
      <c r="N22" s="235">
        <v>54</v>
      </c>
      <c r="O22" s="235">
        <v>23</v>
      </c>
      <c r="Q22" s="235" t="s">
        <v>2335</v>
      </c>
      <c r="R22" s="235" t="s">
        <v>196</v>
      </c>
      <c r="U22" s="235">
        <f t="shared" si="0"/>
        <v>241.22</v>
      </c>
      <c r="V22" s="238">
        <f>(U22+U23)/7*10</f>
        <v>648.57142857142867</v>
      </c>
      <c r="W22" s="238">
        <f t="shared" si="2"/>
        <v>60.305</v>
      </c>
      <c r="X22" s="235">
        <f>ABS(W22-W23)</f>
        <v>10.621666666666677</v>
      </c>
      <c r="Y22" s="235">
        <v>14638.37</v>
      </c>
      <c r="AA22" s="238"/>
    </row>
    <row r="23" spans="1:34" s="235" customFormat="1">
      <c r="A23" s="235">
        <v>2023</v>
      </c>
      <c r="C23" s="235" t="s">
        <v>1698</v>
      </c>
      <c r="D23" s="235">
        <v>8</v>
      </c>
      <c r="E23" s="235">
        <v>10</v>
      </c>
      <c r="F23" s="235">
        <v>44.58</v>
      </c>
      <c r="G23" s="235">
        <v>257.36</v>
      </c>
      <c r="H23" s="236">
        <v>45624</v>
      </c>
      <c r="I23" s="236"/>
      <c r="J23" s="236"/>
      <c r="K23" s="237">
        <v>40</v>
      </c>
      <c r="L23" s="235">
        <v>23.2</v>
      </c>
      <c r="M23" s="236">
        <v>45622</v>
      </c>
      <c r="N23" s="235">
        <v>53</v>
      </c>
      <c r="O23" s="235">
        <v>23.5</v>
      </c>
      <c r="Q23" s="235" t="s">
        <v>2334</v>
      </c>
      <c r="R23" s="235" t="s">
        <v>196</v>
      </c>
      <c r="U23" s="235">
        <f t="shared" si="0"/>
        <v>212.78000000000003</v>
      </c>
      <c r="V23" s="238"/>
      <c r="W23" s="238">
        <f t="shared" si="2"/>
        <v>70.926666666666677</v>
      </c>
      <c r="X23" s="242">
        <f>X22/(U22+U23)</f>
        <v>2.3395741556534531E-2</v>
      </c>
      <c r="AA23" s="238"/>
    </row>
    <row r="24" spans="1:34">
      <c r="A24">
        <v>2023</v>
      </c>
      <c r="B24" t="s">
        <v>37</v>
      </c>
      <c r="C24">
        <v>15</v>
      </c>
      <c r="D24">
        <v>4</v>
      </c>
      <c r="E24">
        <v>10</v>
      </c>
      <c r="F24">
        <v>43.39</v>
      </c>
      <c r="G24">
        <v>234.11</v>
      </c>
      <c r="H24" s="214">
        <v>45624</v>
      </c>
      <c r="I24" s="214"/>
      <c r="J24" s="214"/>
      <c r="K24" s="215">
        <v>40</v>
      </c>
      <c r="L24" s="213">
        <v>23</v>
      </c>
      <c r="M24" s="214"/>
      <c r="N24" s="213">
        <v>54</v>
      </c>
      <c r="O24" s="213">
        <v>23.1</v>
      </c>
      <c r="P24" s="213"/>
      <c r="Q24" s="213" t="s">
        <v>2335</v>
      </c>
      <c r="R24" s="213" t="s">
        <v>196</v>
      </c>
      <c r="S24" s="213"/>
      <c r="T24" s="213"/>
      <c r="U24">
        <f t="shared" si="0"/>
        <v>190.72000000000003</v>
      </c>
      <c r="V24" s="122">
        <f>U24/7*10</f>
        <v>272.45714285714291</v>
      </c>
      <c r="W24" s="122">
        <f t="shared" si="2"/>
        <v>27.245714285714289</v>
      </c>
      <c r="Y24">
        <v>14977.43</v>
      </c>
      <c r="AA24" s="122"/>
    </row>
    <row r="25" spans="1:34">
      <c r="A25">
        <v>2023</v>
      </c>
      <c r="B25" t="s">
        <v>37</v>
      </c>
      <c r="C25">
        <v>16</v>
      </c>
      <c r="D25">
        <v>4</v>
      </c>
      <c r="E25">
        <v>10</v>
      </c>
      <c r="F25">
        <v>41.34</v>
      </c>
      <c r="G25" s="122">
        <v>315.5</v>
      </c>
      <c r="H25" s="214">
        <v>45625</v>
      </c>
      <c r="I25" s="214"/>
      <c r="J25" s="214"/>
      <c r="K25" s="215">
        <v>40</v>
      </c>
      <c r="L25" s="213">
        <v>23</v>
      </c>
      <c r="M25" s="214"/>
      <c r="N25" s="213">
        <v>54</v>
      </c>
      <c r="O25" s="213">
        <v>23.2</v>
      </c>
      <c r="P25" s="213"/>
      <c r="Q25" s="213" t="s">
        <v>2334</v>
      </c>
      <c r="R25" s="213" t="s">
        <v>196</v>
      </c>
      <c r="S25" s="213"/>
      <c r="T25" s="213"/>
      <c r="U25">
        <f t="shared" si="0"/>
        <v>274.15999999999997</v>
      </c>
      <c r="V25" s="122">
        <f>U25/7*10</f>
        <v>391.65714285714279</v>
      </c>
      <c r="W25" s="122">
        <f t="shared" si="2"/>
        <v>39.16571428571428</v>
      </c>
      <c r="Y25">
        <v>14661.96</v>
      </c>
      <c r="AA25" s="122"/>
    </row>
    <row r="26" spans="1:34" s="216" customFormat="1">
      <c r="A26">
        <v>2023</v>
      </c>
      <c r="B26" s="216" t="s">
        <v>37</v>
      </c>
      <c r="C26" s="216">
        <v>17</v>
      </c>
      <c r="D26" s="216">
        <v>4</v>
      </c>
      <c r="E26" s="216">
        <v>7</v>
      </c>
      <c r="F26" s="216">
        <v>43.27</v>
      </c>
      <c r="G26" s="216">
        <v>213.59</v>
      </c>
      <c r="H26" s="217">
        <v>45625</v>
      </c>
      <c r="I26" s="217"/>
      <c r="J26" s="217"/>
      <c r="K26" s="218">
        <v>40</v>
      </c>
      <c r="L26" s="216">
        <v>23.2</v>
      </c>
      <c r="M26" s="217"/>
      <c r="N26" s="216">
        <v>54</v>
      </c>
      <c r="O26" s="216">
        <v>23.2</v>
      </c>
      <c r="Q26" s="216" t="s">
        <v>2334</v>
      </c>
      <c r="R26" s="216" t="s">
        <v>196</v>
      </c>
      <c r="U26" s="216">
        <f t="shared" si="0"/>
        <v>170.32</v>
      </c>
      <c r="V26" s="219">
        <f>(U26+U27)/7*10</f>
        <v>432.94285714285712</v>
      </c>
      <c r="W26" s="219">
        <f t="shared" si="2"/>
        <v>42.58</v>
      </c>
      <c r="X26" s="216">
        <f>ABS(W26-W27)</f>
        <v>1.6666666666666714</v>
      </c>
      <c r="Y26" s="216">
        <v>15034.25</v>
      </c>
      <c r="AA26" s="219"/>
      <c r="AF26" s="216">
        <v>44.35</v>
      </c>
      <c r="AG26" s="216">
        <f>AF26-F26</f>
        <v>1.0799999999999983</v>
      </c>
      <c r="AH26" s="216">
        <f>AG26/AF26*100</f>
        <v>2.4351747463359601</v>
      </c>
    </row>
    <row r="27" spans="1:34" s="216" customFormat="1">
      <c r="A27">
        <v>2023</v>
      </c>
      <c r="C27" s="216" t="s">
        <v>1699</v>
      </c>
      <c r="D27" s="216">
        <v>8</v>
      </c>
      <c r="E27" s="216">
        <v>10</v>
      </c>
      <c r="F27" s="216">
        <v>43.94</v>
      </c>
      <c r="G27" s="216">
        <v>176.68</v>
      </c>
      <c r="H27" s="217">
        <v>45625</v>
      </c>
      <c r="I27" s="217"/>
      <c r="J27" s="217"/>
      <c r="K27" s="218">
        <v>40</v>
      </c>
      <c r="L27" s="216">
        <v>23.3</v>
      </c>
      <c r="M27" s="217">
        <v>45622</v>
      </c>
      <c r="N27" s="216">
        <v>53</v>
      </c>
      <c r="O27" s="216">
        <v>23.5</v>
      </c>
      <c r="Q27" s="216" t="s">
        <v>2334</v>
      </c>
      <c r="R27" s="216" t="s">
        <v>196</v>
      </c>
      <c r="U27" s="216">
        <f t="shared" si="0"/>
        <v>132.74</v>
      </c>
      <c r="V27" s="219"/>
      <c r="W27" s="219">
        <f t="shared" si="2"/>
        <v>44.24666666666667</v>
      </c>
      <c r="X27" s="228">
        <f>X26/(U26+U27)</f>
        <v>5.4994610528168392E-3</v>
      </c>
      <c r="AA27" s="219"/>
    </row>
    <row r="28" spans="1:34">
      <c r="A28">
        <v>2023</v>
      </c>
      <c r="B28" t="s">
        <v>37</v>
      </c>
      <c r="C28">
        <v>18</v>
      </c>
      <c r="D28">
        <v>4</v>
      </c>
      <c r="E28">
        <v>10</v>
      </c>
      <c r="F28">
        <v>44.02</v>
      </c>
      <c r="G28" s="122">
        <v>383.8</v>
      </c>
      <c r="H28" s="214">
        <v>45625</v>
      </c>
      <c r="I28" s="214"/>
      <c r="J28" s="214"/>
      <c r="K28" s="215">
        <v>40</v>
      </c>
      <c r="L28" s="213">
        <v>23.4</v>
      </c>
      <c r="M28" s="214"/>
      <c r="N28" s="213">
        <v>54</v>
      </c>
      <c r="O28" s="213">
        <v>23.3</v>
      </c>
      <c r="P28" s="213"/>
      <c r="Q28" s="213" t="s">
        <v>2334</v>
      </c>
      <c r="R28" s="213" t="s">
        <v>196</v>
      </c>
      <c r="S28" s="213"/>
      <c r="T28" s="213"/>
      <c r="U28">
        <f t="shared" si="0"/>
        <v>339.78000000000003</v>
      </c>
      <c r="V28" s="122">
        <f>U28/7*10</f>
        <v>485.40000000000009</v>
      </c>
      <c r="W28" s="122">
        <f t="shared" si="2"/>
        <v>48.540000000000006</v>
      </c>
      <c r="Y28" s="122">
        <v>14993.2</v>
      </c>
      <c r="AA28" s="122"/>
    </row>
    <row r="29" spans="1:34">
      <c r="A29">
        <v>2023</v>
      </c>
      <c r="B29" t="s">
        <v>37</v>
      </c>
      <c r="C29">
        <v>19</v>
      </c>
      <c r="D29">
        <v>4</v>
      </c>
      <c r="E29">
        <v>10</v>
      </c>
      <c r="F29">
        <v>43.54</v>
      </c>
      <c r="G29">
        <v>603.11</v>
      </c>
      <c r="H29" s="214">
        <v>45625</v>
      </c>
      <c r="I29" s="214"/>
      <c r="J29" s="214"/>
      <c r="K29" s="215">
        <v>39</v>
      </c>
      <c r="L29" s="213">
        <v>23.5</v>
      </c>
      <c r="M29" s="214"/>
      <c r="N29" s="213">
        <v>53</v>
      </c>
      <c r="O29" s="213">
        <v>23.4</v>
      </c>
      <c r="P29" s="213"/>
      <c r="Q29" s="213" t="s">
        <v>2334</v>
      </c>
      <c r="R29" s="213" t="s">
        <v>196</v>
      </c>
      <c r="S29" s="213"/>
      <c r="T29" s="213"/>
      <c r="U29">
        <f t="shared" si="0"/>
        <v>559.57000000000005</v>
      </c>
      <c r="V29" s="122">
        <f t="shared" ref="V29:V30" si="3">U29/7*10</f>
        <v>799.38571428571436</v>
      </c>
      <c r="W29" s="122">
        <f t="shared" si="2"/>
        <v>79.938571428571436</v>
      </c>
      <c r="Y29">
        <v>15433.94</v>
      </c>
      <c r="AA29" s="122"/>
    </row>
    <row r="30" spans="1:34">
      <c r="A30">
        <v>2023</v>
      </c>
      <c r="B30" t="s">
        <v>37</v>
      </c>
      <c r="C30">
        <v>20</v>
      </c>
      <c r="D30">
        <v>4</v>
      </c>
      <c r="E30">
        <v>10</v>
      </c>
      <c r="F30">
        <v>44.12</v>
      </c>
      <c r="G30">
        <v>392.89</v>
      </c>
      <c r="H30" s="214">
        <v>45625</v>
      </c>
      <c r="I30" s="214"/>
      <c r="J30" s="214"/>
      <c r="K30" s="215">
        <v>39</v>
      </c>
      <c r="L30" s="213">
        <v>23.6</v>
      </c>
      <c r="M30" s="214"/>
      <c r="N30" s="213">
        <v>53</v>
      </c>
      <c r="O30" s="213">
        <v>23.4</v>
      </c>
      <c r="P30" s="213"/>
      <c r="Q30" s="213" t="s">
        <v>2334</v>
      </c>
      <c r="R30" s="213" t="s">
        <v>196</v>
      </c>
      <c r="S30" s="213"/>
      <c r="T30" s="213"/>
      <c r="U30">
        <f t="shared" si="0"/>
        <v>348.77</v>
      </c>
      <c r="V30" s="122">
        <f t="shared" si="3"/>
        <v>498.24285714285713</v>
      </c>
      <c r="W30" s="122">
        <f t="shared" si="2"/>
        <v>49.824285714285715</v>
      </c>
      <c r="Y30">
        <v>15346.93</v>
      </c>
      <c r="AA30" s="122"/>
    </row>
    <row r="31" spans="1:34" s="216" customFormat="1">
      <c r="A31">
        <v>2023</v>
      </c>
      <c r="B31" s="216" t="s">
        <v>37</v>
      </c>
      <c r="C31" s="216">
        <v>21</v>
      </c>
      <c r="D31" s="216">
        <v>4</v>
      </c>
      <c r="E31" s="216">
        <v>7</v>
      </c>
      <c r="F31" s="216">
        <v>44.29</v>
      </c>
      <c r="G31" s="216">
        <v>258.85000000000002</v>
      </c>
      <c r="H31" s="217">
        <v>45625</v>
      </c>
      <c r="I31" s="217"/>
      <c r="J31" s="217"/>
      <c r="K31" s="218">
        <v>39</v>
      </c>
      <c r="L31" s="216">
        <v>23.6</v>
      </c>
      <c r="M31" s="217"/>
      <c r="N31" s="216">
        <v>53</v>
      </c>
      <c r="O31" s="216">
        <v>23.5</v>
      </c>
      <c r="Q31" s="216" t="s">
        <v>2334</v>
      </c>
      <c r="R31" s="216" t="s">
        <v>196</v>
      </c>
      <c r="U31" s="216">
        <f t="shared" si="0"/>
        <v>214.56000000000003</v>
      </c>
      <c r="V31" s="219">
        <f>(U31+U32)/7*10</f>
        <v>568.07142857142856</v>
      </c>
      <c r="W31" s="219">
        <f t="shared" si="2"/>
        <v>53.640000000000008</v>
      </c>
      <c r="X31" s="216">
        <f>ABS(W31-W32)</f>
        <v>7.3899999999999864</v>
      </c>
      <c r="Y31" s="216">
        <v>15411.58</v>
      </c>
      <c r="AA31" s="219"/>
    </row>
    <row r="32" spans="1:34" s="216" customFormat="1">
      <c r="A32"/>
      <c r="C32" s="216" t="s">
        <v>1700</v>
      </c>
      <c r="D32" s="216">
        <v>8</v>
      </c>
      <c r="E32" s="216">
        <v>10</v>
      </c>
      <c r="F32" s="216">
        <v>41.3</v>
      </c>
      <c r="G32" s="216">
        <v>224.39</v>
      </c>
      <c r="H32" s="217">
        <v>45625</v>
      </c>
      <c r="I32" s="217"/>
      <c r="J32" s="217"/>
      <c r="K32" s="218">
        <v>39</v>
      </c>
      <c r="L32" s="216">
        <v>23.6</v>
      </c>
      <c r="M32" s="217">
        <v>45622</v>
      </c>
      <c r="N32" s="216">
        <v>53</v>
      </c>
      <c r="O32" s="216">
        <v>23.5</v>
      </c>
      <c r="Q32" s="216" t="s">
        <v>2334</v>
      </c>
      <c r="R32" s="216" t="s">
        <v>196</v>
      </c>
      <c r="U32" s="216">
        <f t="shared" si="0"/>
        <v>183.08999999999997</v>
      </c>
      <c r="V32" s="219"/>
      <c r="W32" s="219">
        <f t="shared" si="2"/>
        <v>61.029999999999994</v>
      </c>
      <c r="X32" s="228">
        <f>X31/(U31+U32)</f>
        <v>1.8584182069659214E-2</v>
      </c>
      <c r="AA32" s="219"/>
    </row>
    <row r="34" spans="1:34" s="191" customFormat="1">
      <c r="A34" s="191" t="str">
        <f>main!A30</f>
        <v>Deployment 18/5/2023 IN2023_V03</v>
      </c>
      <c r="B34" s="191" t="str">
        <f>main!B30</f>
        <v>McLane-PARFLUX-Mark78H-21 ; frame# 14182-01, controller# 11741-01 and Motor # 14182-01 Cup set Ex21</v>
      </c>
    </row>
    <row r="35" spans="1:34" s="200" customFormat="1">
      <c r="A35">
        <v>2023</v>
      </c>
      <c r="B35" s="200" t="s">
        <v>40</v>
      </c>
      <c r="C35" s="200">
        <v>1</v>
      </c>
      <c r="D35" s="200">
        <v>4</v>
      </c>
      <c r="E35" s="200">
        <v>7</v>
      </c>
      <c r="F35" s="200">
        <v>44.6</v>
      </c>
      <c r="G35" s="200">
        <v>394.01</v>
      </c>
      <c r="H35" s="201">
        <v>45120</v>
      </c>
      <c r="I35" s="201">
        <v>45125</v>
      </c>
      <c r="J35" s="201">
        <v>45125</v>
      </c>
      <c r="K35" s="202">
        <v>29</v>
      </c>
      <c r="L35" s="200">
        <v>22.8</v>
      </c>
      <c r="M35" s="201">
        <v>45105</v>
      </c>
      <c r="Q35" s="200" t="s">
        <v>2335</v>
      </c>
      <c r="R35" s="200" t="s">
        <v>196</v>
      </c>
      <c r="U35" s="200">
        <f>G35-F35</f>
        <v>349.40999999999997</v>
      </c>
      <c r="V35" s="200">
        <f>((U35+U36)/7)*10</f>
        <v>857.89999999999986</v>
      </c>
      <c r="W35" s="200">
        <f>U35/4</f>
        <v>87.352499999999992</v>
      </c>
      <c r="X35" s="200">
        <f>ABS(W35-W36)</f>
        <v>3.6458333333333286</v>
      </c>
      <c r="Y35" s="200">
        <v>15082.2</v>
      </c>
      <c r="AF35" s="211">
        <v>45.53</v>
      </c>
      <c r="AG35" s="211">
        <f>AF35-F35</f>
        <v>0.92999999999999972</v>
      </c>
      <c r="AH35" s="211">
        <f>(AG35/U35)*100</f>
        <v>0.26616296041899196</v>
      </c>
    </row>
    <row r="36" spans="1:34" s="200" customFormat="1">
      <c r="A36">
        <v>2023</v>
      </c>
      <c r="B36" s="200" t="s">
        <v>40</v>
      </c>
      <c r="C36" s="200" t="s">
        <v>1687</v>
      </c>
      <c r="D36" s="200">
        <v>8</v>
      </c>
      <c r="E36" s="200">
        <v>10</v>
      </c>
      <c r="F36" s="200">
        <v>41.8</v>
      </c>
      <c r="G36" s="200">
        <v>292.92</v>
      </c>
      <c r="H36" s="201">
        <v>45120</v>
      </c>
      <c r="I36" s="201">
        <v>45125</v>
      </c>
      <c r="J36" s="201">
        <v>45125</v>
      </c>
      <c r="K36" s="202">
        <v>29</v>
      </c>
      <c r="L36" s="200">
        <v>22.8</v>
      </c>
      <c r="M36" s="201">
        <v>45105</v>
      </c>
      <c r="Q36" s="200" t="s">
        <v>2335</v>
      </c>
      <c r="R36" s="200" t="s">
        <v>196</v>
      </c>
      <c r="U36" s="200">
        <f t="shared" ref="U36:U46" si="4">G36-F36</f>
        <v>251.12</v>
      </c>
      <c r="W36" s="200">
        <f>U36/3</f>
        <v>83.706666666666663</v>
      </c>
      <c r="X36" s="203">
        <f>X35/SUM(U35:U36)</f>
        <v>6.071026149123822E-3</v>
      </c>
      <c r="AF36" s="211"/>
      <c r="AG36" s="211"/>
      <c r="AH36" s="211"/>
    </row>
    <row r="37" spans="1:34" s="204" customFormat="1">
      <c r="A37">
        <v>2023</v>
      </c>
      <c r="B37" s="204" t="s">
        <v>40</v>
      </c>
      <c r="C37" s="204">
        <v>2</v>
      </c>
      <c r="D37" s="204">
        <v>4</v>
      </c>
      <c r="E37" s="204">
        <v>6</v>
      </c>
      <c r="F37" s="204">
        <v>42.3</v>
      </c>
      <c r="G37" s="204">
        <v>158.58000000000001</v>
      </c>
      <c r="H37" s="205">
        <v>45120</v>
      </c>
      <c r="I37" s="205">
        <v>45125</v>
      </c>
      <c r="J37" s="205">
        <v>45125</v>
      </c>
      <c r="K37" s="206">
        <v>29</v>
      </c>
      <c r="L37" s="204">
        <v>22.8</v>
      </c>
      <c r="M37" s="205">
        <v>45105</v>
      </c>
      <c r="Q37" s="204" t="s">
        <v>2335</v>
      </c>
      <c r="R37" s="204" t="s">
        <v>196</v>
      </c>
      <c r="S37" s="204" t="s">
        <v>1686</v>
      </c>
      <c r="U37" s="204">
        <f t="shared" si="4"/>
        <v>116.28000000000002</v>
      </c>
      <c r="V37" s="204">
        <f>((U37+U38+U39)/7)*10</f>
        <v>371.57142857142856</v>
      </c>
      <c r="W37" s="204">
        <f>U37/3</f>
        <v>38.760000000000005</v>
      </c>
      <c r="X37" s="207">
        <f>ABS(W37-W38)</f>
        <v>1.6450000000000102</v>
      </c>
      <c r="Y37" s="204">
        <v>15012.65</v>
      </c>
      <c r="AF37" s="212">
        <v>43.48</v>
      </c>
      <c r="AG37" s="212">
        <f t="shared" ref="AG37" si="5">AF37-F37</f>
        <v>1.1799999999999997</v>
      </c>
      <c r="AH37" s="212">
        <f t="shared" ref="AH37" si="6">(AG37/U37)*100</f>
        <v>1.0147918816649462</v>
      </c>
    </row>
    <row r="38" spans="1:34" s="204" customFormat="1">
      <c r="A38">
        <v>2023</v>
      </c>
      <c r="B38" s="204" t="s">
        <v>40</v>
      </c>
      <c r="C38" s="204" t="s">
        <v>1688</v>
      </c>
      <c r="D38" s="204">
        <v>7</v>
      </c>
      <c r="E38" s="204">
        <v>8</v>
      </c>
      <c r="F38" s="204">
        <v>44.9</v>
      </c>
      <c r="G38" s="204">
        <v>119.13</v>
      </c>
      <c r="H38" s="205">
        <v>45120</v>
      </c>
      <c r="I38" s="205">
        <v>45125</v>
      </c>
      <c r="J38" s="205">
        <v>45125</v>
      </c>
      <c r="K38" s="206">
        <v>29</v>
      </c>
      <c r="L38" s="204">
        <v>22.8</v>
      </c>
      <c r="M38" s="205">
        <v>45105</v>
      </c>
      <c r="Q38" s="204" t="s">
        <v>2335</v>
      </c>
      <c r="R38" s="204" t="s">
        <v>196</v>
      </c>
      <c r="U38" s="204">
        <f t="shared" si="4"/>
        <v>74.22999999999999</v>
      </c>
      <c r="W38" s="204">
        <f>U38/2</f>
        <v>37.114999999999995</v>
      </c>
      <c r="X38" s="208">
        <f>ABS(W38-W39)</f>
        <v>2.3199999999999932</v>
      </c>
      <c r="AF38" s="212"/>
      <c r="AG38" s="212"/>
      <c r="AH38" s="212"/>
    </row>
    <row r="39" spans="1:34" s="204" customFormat="1">
      <c r="A39">
        <v>2023</v>
      </c>
      <c r="B39" s="204" t="s">
        <v>40</v>
      </c>
      <c r="C39" s="204" t="s">
        <v>1689</v>
      </c>
      <c r="D39" s="204">
        <v>9</v>
      </c>
      <c r="E39" s="204">
        <v>10</v>
      </c>
      <c r="F39" s="204">
        <v>42.8</v>
      </c>
      <c r="G39" s="204">
        <v>112.39</v>
      </c>
      <c r="H39" s="205"/>
      <c r="I39" s="205"/>
      <c r="J39" s="205"/>
      <c r="K39" s="206"/>
      <c r="M39" s="205"/>
      <c r="Q39" s="204" t="s">
        <v>2335</v>
      </c>
      <c r="U39" s="204">
        <f t="shared" si="4"/>
        <v>69.59</v>
      </c>
      <c r="W39" s="204">
        <f>U39/2</f>
        <v>34.795000000000002</v>
      </c>
      <c r="X39" s="208">
        <f>ABS(W37-W39)</f>
        <v>3.9650000000000034</v>
      </c>
      <c r="AF39" s="212"/>
      <c r="AG39" s="212"/>
      <c r="AH39" s="212"/>
    </row>
    <row r="40" spans="1:34">
      <c r="A40">
        <v>2023</v>
      </c>
      <c r="B40" t="s">
        <v>40</v>
      </c>
      <c r="C40">
        <v>3</v>
      </c>
      <c r="D40">
        <v>4</v>
      </c>
      <c r="E40">
        <v>10</v>
      </c>
      <c r="F40">
        <v>41.7</v>
      </c>
      <c r="G40">
        <v>94.88</v>
      </c>
      <c r="H40" s="85">
        <v>45121</v>
      </c>
      <c r="I40" s="85">
        <v>45125</v>
      </c>
      <c r="J40" s="85">
        <v>45125</v>
      </c>
      <c r="K40" s="134">
        <v>29</v>
      </c>
      <c r="L40">
        <v>22.8</v>
      </c>
      <c r="M40" s="85">
        <v>45105</v>
      </c>
      <c r="Q40" t="s">
        <v>2335</v>
      </c>
      <c r="R40" t="s">
        <v>196</v>
      </c>
      <c r="U40">
        <f t="shared" si="4"/>
        <v>53.179999999999993</v>
      </c>
      <c r="V40">
        <f>(U40/7)*10</f>
        <v>75.971428571428561</v>
      </c>
      <c r="W40">
        <f t="shared" ref="W40:W46" si="7">U40/7</f>
        <v>7.5971428571428561</v>
      </c>
      <c r="X40" s="209">
        <f>X37/SUM(U37,U38,U39)</f>
        <v>6.3244905805459823E-3</v>
      </c>
      <c r="Y40">
        <v>14671.86</v>
      </c>
      <c r="AF40" s="43">
        <v>45.92</v>
      </c>
      <c r="AG40" s="43">
        <f t="shared" ref="AG40" si="8">AF40-F40</f>
        <v>4.2199999999999989</v>
      </c>
      <c r="AH40" s="43">
        <f t="shared" ref="AH40" si="9">(AG40/U40)*100</f>
        <v>7.9353140278300112</v>
      </c>
    </row>
    <row r="41" spans="1:34">
      <c r="A41">
        <v>2023</v>
      </c>
      <c r="B41" t="s">
        <v>40</v>
      </c>
      <c r="C41">
        <v>4</v>
      </c>
      <c r="D41">
        <v>4</v>
      </c>
      <c r="E41">
        <v>10</v>
      </c>
      <c r="F41">
        <v>44.2</v>
      </c>
      <c r="G41">
        <v>89.72</v>
      </c>
      <c r="H41" s="85">
        <v>45121</v>
      </c>
      <c r="I41" s="85">
        <v>45125</v>
      </c>
      <c r="J41" s="85">
        <v>45125</v>
      </c>
      <c r="K41" s="134">
        <v>29</v>
      </c>
      <c r="L41">
        <v>22.8</v>
      </c>
      <c r="M41" s="85">
        <v>45105</v>
      </c>
      <c r="Q41" t="s">
        <v>2335</v>
      </c>
      <c r="R41" t="s">
        <v>196</v>
      </c>
      <c r="U41">
        <f t="shared" si="4"/>
        <v>45.519999999999996</v>
      </c>
      <c r="V41">
        <f t="shared" ref="V41:V46" si="10">(U41/7)*10</f>
        <v>65.028571428571425</v>
      </c>
      <c r="W41">
        <f t="shared" si="7"/>
        <v>6.5028571428571427</v>
      </c>
      <c r="X41" s="209">
        <f>X38/SUM(U37,U38,U39)</f>
        <v>8.9196462898884776E-3</v>
      </c>
      <c r="Y41">
        <v>14953.68</v>
      </c>
      <c r="AF41" s="43"/>
      <c r="AG41" s="43"/>
      <c r="AH41" s="43"/>
    </row>
    <row r="42" spans="1:34">
      <c r="A42">
        <v>2023</v>
      </c>
      <c r="B42" t="s">
        <v>40</v>
      </c>
      <c r="C42">
        <v>5</v>
      </c>
      <c r="D42">
        <v>4</v>
      </c>
      <c r="E42">
        <v>10</v>
      </c>
      <c r="F42">
        <v>42.4</v>
      </c>
      <c r="G42">
        <v>156.81</v>
      </c>
      <c r="H42" s="85">
        <v>45121</v>
      </c>
      <c r="I42" s="85">
        <v>45125</v>
      </c>
      <c r="J42" s="85">
        <v>45125</v>
      </c>
      <c r="K42" s="134">
        <v>29</v>
      </c>
      <c r="L42">
        <v>22.8</v>
      </c>
      <c r="M42" s="85">
        <v>45105</v>
      </c>
      <c r="Q42" t="s">
        <v>2335</v>
      </c>
      <c r="R42" t="s">
        <v>196</v>
      </c>
      <c r="U42">
        <f t="shared" si="4"/>
        <v>114.41</v>
      </c>
      <c r="V42">
        <f t="shared" si="10"/>
        <v>163.44285714285715</v>
      </c>
      <c r="W42">
        <f t="shared" si="7"/>
        <v>16.344285714285714</v>
      </c>
      <c r="X42" s="209">
        <f>X39/SUM(U37,U38,U39)</f>
        <v>1.5244136870434461E-2</v>
      </c>
      <c r="Y42">
        <v>14902.02</v>
      </c>
      <c r="AF42" s="43"/>
      <c r="AG42" s="43"/>
      <c r="AH42" s="43"/>
    </row>
    <row r="43" spans="1:34">
      <c r="A43">
        <v>2023</v>
      </c>
      <c r="B43" t="s">
        <v>40</v>
      </c>
      <c r="C43">
        <v>6</v>
      </c>
      <c r="D43">
        <v>4</v>
      </c>
      <c r="E43">
        <v>10</v>
      </c>
      <c r="F43">
        <v>44.2</v>
      </c>
      <c r="G43">
        <v>110.31</v>
      </c>
      <c r="H43" s="85">
        <v>45121</v>
      </c>
      <c r="I43" s="85">
        <v>45125</v>
      </c>
      <c r="J43" s="85">
        <v>45125</v>
      </c>
      <c r="K43" s="134">
        <v>29</v>
      </c>
      <c r="L43">
        <v>22.8</v>
      </c>
      <c r="M43" s="85">
        <v>45105</v>
      </c>
      <c r="Q43" t="s">
        <v>2335</v>
      </c>
      <c r="R43" t="s">
        <v>196</v>
      </c>
      <c r="U43">
        <f t="shared" si="4"/>
        <v>66.11</v>
      </c>
      <c r="V43">
        <f t="shared" si="10"/>
        <v>94.442857142857136</v>
      </c>
      <c r="W43">
        <f t="shared" si="7"/>
        <v>9.444285714285714</v>
      </c>
      <c r="Y43">
        <v>14629.89</v>
      </c>
      <c r="AF43" s="43"/>
      <c r="AG43" s="43"/>
      <c r="AH43" s="43"/>
    </row>
    <row r="44" spans="1:34">
      <c r="A44">
        <v>2023</v>
      </c>
      <c r="B44" t="s">
        <v>40</v>
      </c>
      <c r="C44">
        <v>7</v>
      </c>
      <c r="D44">
        <v>4</v>
      </c>
      <c r="E44">
        <v>10</v>
      </c>
      <c r="F44">
        <v>41.9</v>
      </c>
      <c r="G44">
        <v>59.46</v>
      </c>
      <c r="H44" s="85">
        <v>45121</v>
      </c>
      <c r="I44" s="85">
        <v>45125</v>
      </c>
      <c r="J44" s="85">
        <v>45125</v>
      </c>
      <c r="K44" s="134">
        <v>29</v>
      </c>
      <c r="L44">
        <v>22.8</v>
      </c>
      <c r="M44" s="85">
        <v>45105</v>
      </c>
      <c r="Q44" t="s">
        <v>2335</v>
      </c>
      <c r="R44" t="s">
        <v>196</v>
      </c>
      <c r="U44">
        <f t="shared" si="4"/>
        <v>17.560000000000002</v>
      </c>
      <c r="V44">
        <f t="shared" si="10"/>
        <v>25.085714285714289</v>
      </c>
      <c r="W44">
        <f t="shared" si="7"/>
        <v>2.5085714285714289</v>
      </c>
      <c r="Y44">
        <v>14673.28</v>
      </c>
      <c r="AF44" s="43"/>
      <c r="AG44" s="43"/>
      <c r="AH44" s="43"/>
    </row>
    <row r="45" spans="1:34">
      <c r="A45">
        <v>2023</v>
      </c>
      <c r="B45" t="s">
        <v>40</v>
      </c>
      <c r="C45">
        <v>8</v>
      </c>
      <c r="D45">
        <v>4</v>
      </c>
      <c r="E45">
        <v>10</v>
      </c>
      <c r="F45">
        <v>45.1</v>
      </c>
      <c r="G45">
        <v>66.44</v>
      </c>
      <c r="H45" s="85">
        <v>45121</v>
      </c>
      <c r="I45" s="85">
        <v>45125</v>
      </c>
      <c r="J45" s="85">
        <v>45125</v>
      </c>
      <c r="K45" s="134">
        <v>29</v>
      </c>
      <c r="L45">
        <v>22.8</v>
      </c>
      <c r="M45" s="85">
        <v>45105</v>
      </c>
      <c r="Q45" t="s">
        <v>2335</v>
      </c>
      <c r="R45" t="s">
        <v>196</v>
      </c>
      <c r="U45">
        <f t="shared" si="4"/>
        <v>21.339999999999996</v>
      </c>
      <c r="V45" s="43">
        <f t="shared" si="10"/>
        <v>30.48571428571428</v>
      </c>
      <c r="W45" s="43">
        <f t="shared" si="7"/>
        <v>3.048571428571428</v>
      </c>
      <c r="X45" s="43"/>
      <c r="Y45">
        <v>15046.11</v>
      </c>
      <c r="AF45" s="43"/>
      <c r="AG45" s="43"/>
      <c r="AH45" s="43"/>
    </row>
    <row r="46" spans="1:34">
      <c r="A46">
        <v>2023</v>
      </c>
      <c r="B46" t="s">
        <v>40</v>
      </c>
      <c r="C46">
        <v>9</v>
      </c>
      <c r="D46">
        <v>4</v>
      </c>
      <c r="E46">
        <v>10</v>
      </c>
      <c r="F46">
        <v>43.3</v>
      </c>
      <c r="G46">
        <v>108.04</v>
      </c>
      <c r="H46" s="85">
        <v>45121</v>
      </c>
      <c r="I46" s="85">
        <v>45125</v>
      </c>
      <c r="J46" s="85">
        <v>45125</v>
      </c>
      <c r="K46" s="134">
        <v>29</v>
      </c>
      <c r="L46">
        <v>22.8</v>
      </c>
      <c r="M46" s="85">
        <v>45105</v>
      </c>
      <c r="Q46" t="s">
        <v>2335</v>
      </c>
      <c r="R46" t="s">
        <v>196</v>
      </c>
      <c r="U46">
        <f t="shared" si="4"/>
        <v>64.740000000000009</v>
      </c>
      <c r="V46" s="43">
        <f t="shared" si="10"/>
        <v>92.485714285714295</v>
      </c>
      <c r="W46" s="43">
        <f t="shared" si="7"/>
        <v>9.2485714285714291</v>
      </c>
      <c r="X46" s="43"/>
      <c r="Y46">
        <v>14511.07</v>
      </c>
      <c r="AF46" s="43"/>
      <c r="AG46" s="43"/>
      <c r="AH46" s="43"/>
    </row>
    <row r="47" spans="1:34">
      <c r="A47">
        <v>2023</v>
      </c>
      <c r="B47" t="s">
        <v>40</v>
      </c>
      <c r="C47">
        <v>10</v>
      </c>
      <c r="D47">
        <v>4</v>
      </c>
      <c r="E47">
        <v>10</v>
      </c>
      <c r="F47" s="138">
        <v>41</v>
      </c>
      <c r="G47">
        <v>88.3</v>
      </c>
      <c r="H47" s="85">
        <v>45125</v>
      </c>
      <c r="I47" s="85">
        <v>45128</v>
      </c>
      <c r="J47" s="85">
        <v>45128</v>
      </c>
      <c r="K47" s="134">
        <v>28</v>
      </c>
      <c r="L47">
        <v>21.6</v>
      </c>
      <c r="M47" s="85">
        <v>45105</v>
      </c>
      <c r="Q47" t="s">
        <v>2335</v>
      </c>
      <c r="R47" t="s">
        <v>196</v>
      </c>
      <c r="U47" s="138">
        <f>G47-F47</f>
        <v>47.3</v>
      </c>
      <c r="V47" s="43">
        <f>(U47/14)*20</f>
        <v>67.571428571428569</v>
      </c>
      <c r="W47" s="43">
        <f>U47/14</f>
        <v>3.3785714285714286</v>
      </c>
      <c r="X47" s="43"/>
      <c r="Y47">
        <v>15002.4</v>
      </c>
      <c r="AF47" s="43"/>
      <c r="AG47" s="43"/>
      <c r="AH47" s="43"/>
    </row>
    <row r="48" spans="1:34">
      <c r="A48">
        <v>2023</v>
      </c>
      <c r="B48" t="s">
        <v>40</v>
      </c>
      <c r="C48">
        <v>11</v>
      </c>
      <c r="D48">
        <v>4</v>
      </c>
      <c r="E48">
        <v>10</v>
      </c>
      <c r="H48" s="85"/>
      <c r="I48" s="85"/>
      <c r="J48" s="85"/>
      <c r="K48" s="134"/>
      <c r="M48" s="85"/>
      <c r="V48" s="43"/>
      <c r="W48" s="43"/>
      <c r="X48" s="43"/>
      <c r="AF48" s="43"/>
      <c r="AG48" s="43"/>
      <c r="AH48" s="43"/>
    </row>
    <row r="49" spans="1:34">
      <c r="A49">
        <v>2023</v>
      </c>
      <c r="B49" t="s">
        <v>40</v>
      </c>
      <c r="C49">
        <v>12</v>
      </c>
      <c r="D49">
        <v>4</v>
      </c>
      <c r="E49">
        <v>10</v>
      </c>
      <c r="F49">
        <v>42.2</v>
      </c>
      <c r="G49">
        <v>67.95</v>
      </c>
      <c r="H49" s="85">
        <v>45125</v>
      </c>
      <c r="I49" s="85">
        <v>45128</v>
      </c>
      <c r="J49" s="85">
        <v>45128</v>
      </c>
      <c r="K49" s="134">
        <v>28</v>
      </c>
      <c r="L49">
        <v>21.6</v>
      </c>
      <c r="M49" s="85">
        <v>45105</v>
      </c>
      <c r="Q49" t="s">
        <v>2335</v>
      </c>
      <c r="R49" t="s">
        <v>196</v>
      </c>
      <c r="U49">
        <f>G49-F49</f>
        <v>25.75</v>
      </c>
      <c r="V49" s="43">
        <f>(U49/70)*100</f>
        <v>36.785714285714292</v>
      </c>
      <c r="W49" s="43">
        <f>U49/70</f>
        <v>0.36785714285714288</v>
      </c>
      <c r="X49" s="43"/>
      <c r="Y49">
        <v>14572.29</v>
      </c>
      <c r="AF49" s="43">
        <v>45.45</v>
      </c>
      <c r="AG49" s="43">
        <f>AF49-F49</f>
        <v>3.25</v>
      </c>
      <c r="AH49" s="43">
        <f>(AG49/U49)*100</f>
        <v>12.621359223300971</v>
      </c>
    </row>
    <row r="50" spans="1:34">
      <c r="A50">
        <v>2023</v>
      </c>
      <c r="B50" t="s">
        <v>40</v>
      </c>
      <c r="C50">
        <v>13</v>
      </c>
      <c r="D50">
        <v>4</v>
      </c>
      <c r="E50">
        <v>10</v>
      </c>
      <c r="H50" s="85"/>
      <c r="I50" s="85"/>
      <c r="J50" s="85"/>
      <c r="K50" s="134"/>
      <c r="M50" s="85"/>
      <c r="V50" s="43"/>
      <c r="W50" s="43"/>
      <c r="X50" s="43"/>
      <c r="AF50" s="43"/>
      <c r="AG50" s="43"/>
      <c r="AH50" s="43"/>
    </row>
    <row r="51" spans="1:34">
      <c r="A51">
        <v>2023</v>
      </c>
      <c r="B51" t="s">
        <v>40</v>
      </c>
      <c r="C51">
        <v>14</v>
      </c>
      <c r="D51">
        <v>4</v>
      </c>
      <c r="E51">
        <v>10</v>
      </c>
      <c r="H51" s="85"/>
      <c r="I51" s="85"/>
      <c r="J51" s="85"/>
      <c r="K51" s="134"/>
      <c r="M51" s="85"/>
      <c r="V51" s="43"/>
      <c r="W51" s="43"/>
      <c r="X51" s="43"/>
      <c r="AF51" s="43"/>
      <c r="AG51" s="43"/>
      <c r="AH51" s="43"/>
    </row>
    <row r="52" spans="1:34">
      <c r="A52">
        <v>2023</v>
      </c>
      <c r="B52" t="s">
        <v>40</v>
      </c>
      <c r="C52">
        <v>15</v>
      </c>
      <c r="D52">
        <v>4</v>
      </c>
      <c r="E52">
        <v>10</v>
      </c>
      <c r="H52" s="85"/>
      <c r="I52" s="85"/>
      <c r="J52" s="85"/>
      <c r="K52" s="134"/>
      <c r="M52" s="85"/>
      <c r="V52" s="210"/>
      <c r="W52" s="43"/>
      <c r="X52" s="43"/>
    </row>
    <row r="53" spans="1:34">
      <c r="A53">
        <v>2023</v>
      </c>
      <c r="B53" t="s">
        <v>40</v>
      </c>
      <c r="C53">
        <v>16</v>
      </c>
      <c r="D53">
        <v>4</v>
      </c>
      <c r="E53">
        <v>10</v>
      </c>
      <c r="K53" s="134"/>
      <c r="M53" s="85"/>
    </row>
    <row r="54" spans="1:34">
      <c r="A54">
        <v>2023</v>
      </c>
      <c r="B54" t="s">
        <v>40</v>
      </c>
      <c r="C54">
        <v>17</v>
      </c>
      <c r="D54">
        <v>4</v>
      </c>
      <c r="E54">
        <v>10</v>
      </c>
      <c r="K54" s="134"/>
      <c r="M54" s="85"/>
    </row>
    <row r="55" spans="1:34">
      <c r="A55">
        <v>2023</v>
      </c>
      <c r="B55" t="s">
        <v>40</v>
      </c>
      <c r="C55">
        <v>18</v>
      </c>
      <c r="D55">
        <v>4</v>
      </c>
      <c r="E55">
        <v>10</v>
      </c>
      <c r="K55" s="134"/>
      <c r="M55" s="85"/>
    </row>
    <row r="56" spans="1:34">
      <c r="A56">
        <v>2023</v>
      </c>
      <c r="B56" t="s">
        <v>40</v>
      </c>
      <c r="C56">
        <v>19</v>
      </c>
      <c r="D56">
        <v>4</v>
      </c>
      <c r="E56">
        <v>10</v>
      </c>
      <c r="G56" s="43"/>
      <c r="H56" s="85"/>
      <c r="I56" s="85"/>
      <c r="J56" s="85"/>
      <c r="K56" s="134"/>
      <c r="M56" s="85"/>
      <c r="X56" s="193"/>
    </row>
    <row r="57" spans="1:34">
      <c r="A57">
        <v>2023</v>
      </c>
      <c r="B57" t="s">
        <v>40</v>
      </c>
      <c r="C57">
        <v>20</v>
      </c>
      <c r="D57">
        <v>4</v>
      </c>
      <c r="E57">
        <v>10</v>
      </c>
      <c r="H57" s="85"/>
      <c r="I57" s="85"/>
      <c r="J57" s="85"/>
      <c r="K57" s="134"/>
      <c r="M57" s="85"/>
      <c r="X57" s="199"/>
    </row>
    <row r="58" spans="1:34">
      <c r="A58">
        <v>2023</v>
      </c>
      <c r="B58" t="s">
        <v>40</v>
      </c>
      <c r="C58">
        <v>21</v>
      </c>
      <c r="D58">
        <v>4</v>
      </c>
      <c r="E58">
        <v>10</v>
      </c>
      <c r="H58" s="85"/>
      <c r="I58" s="85"/>
      <c r="J58" s="85"/>
      <c r="K58" s="134"/>
      <c r="M58" s="85"/>
    </row>
    <row r="60" spans="1:34" s="191" customFormat="1">
      <c r="A60" s="191" t="str">
        <f>main!A54</f>
        <v>Deployment 18/5/2023 IN2023_V03</v>
      </c>
      <c r="B60" s="191" t="str">
        <f>main!B54</f>
        <v>McLane-PARFLUX-Mark78H-21 ; frame# 10705, controller# 11649-01 and Motor # 11649-01 Cup set Lx21</v>
      </c>
    </row>
    <row r="61" spans="1:34" s="216" customFormat="1">
      <c r="A61">
        <v>2023</v>
      </c>
      <c r="B61" s="216" t="s">
        <v>41</v>
      </c>
      <c r="C61" s="216">
        <v>1</v>
      </c>
      <c r="D61" s="216">
        <v>4</v>
      </c>
      <c r="E61" s="216">
        <v>7</v>
      </c>
      <c r="F61" s="216">
        <v>42.57</v>
      </c>
      <c r="G61" s="216">
        <v>351.91</v>
      </c>
      <c r="H61" s="217">
        <v>45628</v>
      </c>
      <c r="I61" s="217"/>
      <c r="J61" s="217"/>
      <c r="K61" s="218">
        <v>51</v>
      </c>
      <c r="L61" s="216">
        <v>22.7</v>
      </c>
      <c r="M61" s="217"/>
      <c r="Q61" s="216" t="s">
        <v>2334</v>
      </c>
      <c r="R61" s="216" t="s">
        <v>196</v>
      </c>
      <c r="U61" s="216">
        <f>G61-F61</f>
        <v>309.34000000000003</v>
      </c>
      <c r="V61" s="243">
        <f>(U61+U62)/7*10</f>
        <v>798.97142857142853</v>
      </c>
      <c r="W61" s="216">
        <f>U61/((E61-D61)+1)</f>
        <v>77.335000000000008</v>
      </c>
      <c r="X61" s="216">
        <f>ABS(W61-W62)</f>
        <v>5.9783333333333246</v>
      </c>
      <c r="Y61" s="216">
        <v>15349.99</v>
      </c>
    </row>
    <row r="62" spans="1:34" s="216" customFormat="1">
      <c r="A62">
        <v>2023</v>
      </c>
      <c r="C62" s="216" t="s">
        <v>1701</v>
      </c>
      <c r="D62" s="216">
        <v>8</v>
      </c>
      <c r="E62" s="216">
        <v>10</v>
      </c>
      <c r="F62" s="216">
        <v>41.57</v>
      </c>
      <c r="G62" s="216">
        <v>291.51</v>
      </c>
      <c r="H62" s="217">
        <v>45628</v>
      </c>
      <c r="I62" s="217"/>
      <c r="J62" s="217"/>
      <c r="K62" s="218">
        <v>50</v>
      </c>
      <c r="L62" s="216">
        <v>23</v>
      </c>
      <c r="M62" s="217"/>
      <c r="Q62" s="216" t="s">
        <v>2334</v>
      </c>
      <c r="R62" s="216" t="s">
        <v>196</v>
      </c>
      <c r="U62" s="216">
        <f t="shared" ref="U62:U63" si="11">G62-F62</f>
        <v>249.94</v>
      </c>
      <c r="W62" s="216">
        <f>U62/((E62-D62)+1)</f>
        <v>83.313333333333333</v>
      </c>
      <c r="X62" s="234">
        <f>X61/(U61+U62)</f>
        <v>1.0689338673532622E-2</v>
      </c>
      <c r="AF62" s="216">
        <v>43.12</v>
      </c>
      <c r="AG62" s="216">
        <f>AF62-F62</f>
        <v>1.5499999999999972</v>
      </c>
      <c r="AH62" s="216">
        <f>(AG62/AF62)*100</f>
        <v>3.5946196660482315</v>
      </c>
    </row>
    <row r="63" spans="1:34">
      <c r="A63">
        <v>2023</v>
      </c>
      <c r="B63" t="s">
        <v>41</v>
      </c>
      <c r="C63">
        <v>2</v>
      </c>
      <c r="D63">
        <v>4</v>
      </c>
      <c r="E63">
        <v>10</v>
      </c>
      <c r="F63">
        <v>43.34</v>
      </c>
      <c r="G63">
        <v>224.58</v>
      </c>
      <c r="H63" s="214">
        <v>45628</v>
      </c>
      <c r="I63" s="214"/>
      <c r="J63" s="214"/>
      <c r="K63" s="215">
        <v>50</v>
      </c>
      <c r="L63" s="213">
        <v>23</v>
      </c>
      <c r="M63" s="214"/>
      <c r="N63" s="213"/>
      <c r="O63" s="213"/>
      <c r="P63" s="213"/>
      <c r="Q63" s="213" t="s">
        <v>2334</v>
      </c>
      <c r="R63" s="213" t="s">
        <v>196</v>
      </c>
      <c r="S63" s="213"/>
      <c r="T63" s="213"/>
      <c r="U63">
        <f t="shared" si="11"/>
        <v>181.24</v>
      </c>
      <c r="V63">
        <f>U63/7*10</f>
        <v>258.91428571428571</v>
      </c>
      <c r="W63">
        <f>U63/((E63-D63)+1)</f>
        <v>25.891428571428573</v>
      </c>
      <c r="Y63">
        <v>15405.44</v>
      </c>
    </row>
    <row r="64" spans="1:34">
      <c r="A64">
        <v>2023</v>
      </c>
      <c r="B64" t="s">
        <v>41</v>
      </c>
      <c r="C64">
        <v>3</v>
      </c>
      <c r="D64">
        <v>4</v>
      </c>
      <c r="E64">
        <v>10</v>
      </c>
      <c r="F64">
        <v>43.88</v>
      </c>
      <c r="G64">
        <v>121.9</v>
      </c>
      <c r="H64" s="214">
        <v>45628</v>
      </c>
      <c r="I64" s="214"/>
      <c r="J64" s="214"/>
      <c r="K64" s="215">
        <v>50</v>
      </c>
      <c r="L64" s="213">
        <v>23.1</v>
      </c>
      <c r="M64" s="214"/>
      <c r="N64" s="213"/>
      <c r="O64" s="213"/>
      <c r="P64" s="213"/>
      <c r="Q64" s="213" t="s">
        <v>2334</v>
      </c>
      <c r="R64" s="213" t="s">
        <v>196</v>
      </c>
      <c r="S64" s="213"/>
      <c r="T64" s="213"/>
      <c r="U64">
        <f t="shared" ref="U64:U85" si="12">G64-F64</f>
        <v>78.02000000000001</v>
      </c>
      <c r="V64">
        <f t="shared" ref="V64:V72" si="13">U64/7*10</f>
        <v>111.45714285714288</v>
      </c>
      <c r="W64">
        <f t="shared" ref="W64:W85" si="14">U64/((E64-D64)+1)</f>
        <v>11.145714285714288</v>
      </c>
      <c r="Y64">
        <v>15439.72</v>
      </c>
    </row>
    <row r="65" spans="1:34">
      <c r="A65">
        <v>2023</v>
      </c>
      <c r="B65" t="s">
        <v>41</v>
      </c>
      <c r="C65">
        <v>4</v>
      </c>
      <c r="D65">
        <v>4</v>
      </c>
      <c r="E65">
        <v>10</v>
      </c>
      <c r="F65">
        <v>44.08</v>
      </c>
      <c r="G65">
        <v>207.77</v>
      </c>
      <c r="H65" s="214">
        <v>45628</v>
      </c>
      <c r="I65" s="214"/>
      <c r="J65" s="214"/>
      <c r="K65" s="215">
        <v>50</v>
      </c>
      <c r="L65" s="213">
        <v>23.2</v>
      </c>
      <c r="M65" s="214"/>
      <c r="N65" s="213"/>
      <c r="O65" s="213"/>
      <c r="P65" s="213"/>
      <c r="Q65" s="213" t="s">
        <v>2334</v>
      </c>
      <c r="R65" s="213" t="s">
        <v>196</v>
      </c>
      <c r="S65" s="213"/>
      <c r="T65" s="213"/>
      <c r="U65">
        <f t="shared" si="12"/>
        <v>163.69</v>
      </c>
      <c r="V65">
        <f t="shared" si="13"/>
        <v>233.84285714285713</v>
      </c>
      <c r="W65">
        <f t="shared" si="14"/>
        <v>23.384285714285713</v>
      </c>
      <c r="Y65">
        <v>15350.08</v>
      </c>
    </row>
    <row r="66" spans="1:34">
      <c r="A66">
        <v>2023</v>
      </c>
      <c r="B66" t="s">
        <v>41</v>
      </c>
      <c r="C66">
        <v>5</v>
      </c>
      <c r="D66">
        <v>4</v>
      </c>
      <c r="E66">
        <v>10</v>
      </c>
      <c r="F66">
        <v>44.46</v>
      </c>
      <c r="G66">
        <v>157.44999999999999</v>
      </c>
      <c r="H66" s="214">
        <v>45628</v>
      </c>
      <c r="I66" s="214"/>
      <c r="J66" s="214"/>
      <c r="K66" s="215">
        <v>50</v>
      </c>
      <c r="L66" s="213">
        <v>23.2</v>
      </c>
      <c r="M66" s="214"/>
      <c r="N66" s="213"/>
      <c r="O66" s="213"/>
      <c r="P66" s="213"/>
      <c r="Q66" s="213" t="s">
        <v>2334</v>
      </c>
      <c r="R66" s="213" t="s">
        <v>196</v>
      </c>
      <c r="S66" s="213"/>
      <c r="T66" s="213"/>
      <c r="U66">
        <f t="shared" si="12"/>
        <v>112.98999999999998</v>
      </c>
      <c r="V66">
        <f t="shared" si="13"/>
        <v>161.41428571428571</v>
      </c>
      <c r="W66">
        <f t="shared" si="14"/>
        <v>16.14142857142857</v>
      </c>
      <c r="Y66">
        <v>15368.94</v>
      </c>
    </row>
    <row r="67" spans="1:34">
      <c r="A67">
        <v>2023</v>
      </c>
      <c r="B67" t="s">
        <v>41</v>
      </c>
      <c r="C67">
        <v>6</v>
      </c>
      <c r="D67">
        <v>4</v>
      </c>
      <c r="E67">
        <v>10</v>
      </c>
      <c r="F67">
        <v>44.32</v>
      </c>
      <c r="G67">
        <v>166.21</v>
      </c>
      <c r="H67" s="214">
        <v>45629</v>
      </c>
      <c r="I67" s="214"/>
      <c r="J67" s="214"/>
      <c r="K67" s="215">
        <v>53</v>
      </c>
      <c r="L67" s="213">
        <v>23.2</v>
      </c>
      <c r="M67" s="214"/>
      <c r="N67" s="213"/>
      <c r="O67" s="213"/>
      <c r="P67" s="213"/>
      <c r="Q67" s="213" t="s">
        <v>2334</v>
      </c>
      <c r="R67" s="213" t="s">
        <v>196</v>
      </c>
      <c r="S67" s="213"/>
      <c r="T67" s="213"/>
      <c r="U67">
        <f t="shared" si="12"/>
        <v>121.89000000000001</v>
      </c>
      <c r="V67">
        <f t="shared" si="13"/>
        <v>174.12857142857146</v>
      </c>
      <c r="W67">
        <f t="shared" si="14"/>
        <v>17.412857142857145</v>
      </c>
      <c r="Y67">
        <v>15384.93</v>
      </c>
    </row>
    <row r="68" spans="1:34">
      <c r="A68">
        <v>2023</v>
      </c>
      <c r="B68" t="s">
        <v>41</v>
      </c>
      <c r="C68">
        <v>7</v>
      </c>
      <c r="D68">
        <v>4</v>
      </c>
      <c r="E68">
        <v>10</v>
      </c>
      <c r="F68">
        <v>43.27</v>
      </c>
      <c r="G68">
        <v>143.22999999999999</v>
      </c>
      <c r="H68" s="214">
        <v>45629</v>
      </c>
      <c r="I68" s="214"/>
      <c r="J68" s="214"/>
      <c r="K68" s="215">
        <v>53</v>
      </c>
      <c r="L68" s="213">
        <v>23.2</v>
      </c>
      <c r="M68" s="214"/>
      <c r="N68" s="213"/>
      <c r="O68" s="213"/>
      <c r="P68" s="213"/>
      <c r="Q68" s="213" t="s">
        <v>2334</v>
      </c>
      <c r="R68" s="213" t="s">
        <v>196</v>
      </c>
      <c r="S68" s="213"/>
      <c r="T68" s="213"/>
      <c r="U68">
        <f t="shared" si="12"/>
        <v>99.95999999999998</v>
      </c>
      <c r="V68">
        <f t="shared" si="13"/>
        <v>142.79999999999998</v>
      </c>
      <c r="W68">
        <f t="shared" si="14"/>
        <v>14.279999999999998</v>
      </c>
      <c r="Y68">
        <v>15479.11</v>
      </c>
    </row>
    <row r="69" spans="1:34">
      <c r="A69">
        <v>2023</v>
      </c>
      <c r="B69" t="s">
        <v>41</v>
      </c>
      <c r="C69">
        <v>8</v>
      </c>
      <c r="D69">
        <v>4</v>
      </c>
      <c r="E69">
        <v>10</v>
      </c>
      <c r="F69">
        <v>44.71</v>
      </c>
      <c r="G69">
        <v>188.77</v>
      </c>
      <c r="H69" s="214">
        <v>45629</v>
      </c>
      <c r="I69" s="214"/>
      <c r="J69" s="214"/>
      <c r="K69" s="215">
        <v>53</v>
      </c>
      <c r="L69" s="213">
        <v>23.3</v>
      </c>
      <c r="M69" s="214"/>
      <c r="N69" s="213"/>
      <c r="O69" s="213"/>
      <c r="P69" s="213"/>
      <c r="Q69" s="213" t="s">
        <v>2334</v>
      </c>
      <c r="R69" s="213" t="s">
        <v>196</v>
      </c>
      <c r="S69" s="213"/>
      <c r="T69" s="213"/>
      <c r="U69">
        <f t="shared" si="12"/>
        <v>144.06</v>
      </c>
      <c r="V69">
        <f t="shared" si="13"/>
        <v>205.8</v>
      </c>
      <c r="W69">
        <f t="shared" si="14"/>
        <v>20.580000000000002</v>
      </c>
      <c r="Y69">
        <v>15406.11</v>
      </c>
      <c r="AF69">
        <v>44.76</v>
      </c>
      <c r="AG69">
        <f>AF69-F69</f>
        <v>4.9999999999997158E-2</v>
      </c>
      <c r="AH69">
        <f>(AG69/AF69)*100</f>
        <v>0.11170688114387213</v>
      </c>
    </row>
    <row r="70" spans="1:34">
      <c r="A70">
        <v>2023</v>
      </c>
      <c r="B70" t="s">
        <v>41</v>
      </c>
      <c r="C70">
        <v>9</v>
      </c>
      <c r="D70">
        <v>4</v>
      </c>
      <c r="E70">
        <v>10</v>
      </c>
      <c r="F70">
        <v>43.82</v>
      </c>
      <c r="G70">
        <v>146.21</v>
      </c>
      <c r="H70" s="214">
        <v>45629</v>
      </c>
      <c r="I70" s="214"/>
      <c r="J70" s="214"/>
      <c r="K70" s="215">
        <v>53</v>
      </c>
      <c r="L70" s="213">
        <v>23.4</v>
      </c>
      <c r="M70" s="214"/>
      <c r="N70" s="213"/>
      <c r="O70" s="213"/>
      <c r="P70" s="213"/>
      <c r="Q70" s="213" t="s">
        <v>2334</v>
      </c>
      <c r="R70" s="213" t="s">
        <v>196</v>
      </c>
      <c r="S70" s="213"/>
      <c r="T70" s="213"/>
      <c r="U70">
        <f t="shared" si="12"/>
        <v>102.39000000000001</v>
      </c>
      <c r="V70">
        <f t="shared" si="13"/>
        <v>146.2714285714286</v>
      </c>
      <c r="W70">
        <f t="shared" si="14"/>
        <v>14.627142857142859</v>
      </c>
      <c r="Y70">
        <v>15277.2</v>
      </c>
    </row>
    <row r="71" spans="1:34">
      <c r="A71">
        <v>2023</v>
      </c>
      <c r="B71" t="s">
        <v>41</v>
      </c>
      <c r="C71">
        <v>10</v>
      </c>
      <c r="D71">
        <v>4</v>
      </c>
      <c r="E71">
        <v>10</v>
      </c>
      <c r="F71">
        <v>43.15</v>
      </c>
      <c r="G71">
        <v>269.41000000000003</v>
      </c>
      <c r="H71" s="214">
        <v>45629</v>
      </c>
      <c r="I71" s="214"/>
      <c r="J71" s="214"/>
      <c r="K71" s="215">
        <v>52</v>
      </c>
      <c r="L71" s="213">
        <v>23.4</v>
      </c>
      <c r="M71" s="214"/>
      <c r="N71" s="213"/>
      <c r="O71" s="213"/>
      <c r="P71" s="213"/>
      <c r="Q71" s="213" t="s">
        <v>2334</v>
      </c>
      <c r="R71" s="213" t="s">
        <v>196</v>
      </c>
      <c r="S71" s="213"/>
      <c r="T71" s="213"/>
      <c r="U71">
        <f t="shared" si="12"/>
        <v>226.26000000000002</v>
      </c>
      <c r="V71">
        <f t="shared" si="13"/>
        <v>323.22857142857146</v>
      </c>
      <c r="W71">
        <f t="shared" si="14"/>
        <v>32.322857142857146</v>
      </c>
      <c r="Y71">
        <v>15371.79</v>
      </c>
    </row>
    <row r="72" spans="1:34">
      <c r="A72">
        <v>2023</v>
      </c>
      <c r="B72" t="s">
        <v>41</v>
      </c>
      <c r="C72">
        <v>11</v>
      </c>
      <c r="D72">
        <v>4</v>
      </c>
      <c r="E72">
        <v>10</v>
      </c>
      <c r="F72">
        <v>42.12</v>
      </c>
      <c r="G72">
        <v>321.63</v>
      </c>
      <c r="H72" s="214">
        <v>45629</v>
      </c>
      <c r="I72" s="214"/>
      <c r="J72" s="214"/>
      <c r="K72" s="215">
        <v>52</v>
      </c>
      <c r="L72" s="213">
        <v>23.4</v>
      </c>
      <c r="M72" s="214"/>
      <c r="N72" s="213"/>
      <c r="O72" s="213"/>
      <c r="P72" s="213"/>
      <c r="Q72" s="213" t="s">
        <v>2334</v>
      </c>
      <c r="R72" s="213" t="s">
        <v>196</v>
      </c>
      <c r="S72" s="213"/>
      <c r="T72" s="213"/>
      <c r="U72">
        <f>G72-F72</f>
        <v>279.51</v>
      </c>
      <c r="V72">
        <f t="shared" si="13"/>
        <v>399.3</v>
      </c>
      <c r="W72">
        <f t="shared" si="14"/>
        <v>39.93</v>
      </c>
      <c r="Y72">
        <v>15465.21</v>
      </c>
    </row>
    <row r="73" spans="1:34" ht="17.25" customHeight="1">
      <c r="A73">
        <v>2023</v>
      </c>
      <c r="B73" t="s">
        <v>41</v>
      </c>
      <c r="C73">
        <v>12</v>
      </c>
      <c r="D73">
        <v>4</v>
      </c>
      <c r="E73">
        <v>10</v>
      </c>
      <c r="F73">
        <v>43.15</v>
      </c>
      <c r="G73">
        <v>330.64</v>
      </c>
      <c r="H73" s="214">
        <v>45629</v>
      </c>
      <c r="I73" s="214"/>
      <c r="J73" s="214"/>
      <c r="K73" s="215">
        <v>52</v>
      </c>
      <c r="L73" s="213">
        <v>23.4</v>
      </c>
      <c r="M73" s="214"/>
      <c r="N73" s="213"/>
      <c r="O73" s="213"/>
      <c r="P73" s="213"/>
      <c r="Q73" s="213" t="s">
        <v>2334</v>
      </c>
      <c r="R73" s="213" t="s">
        <v>196</v>
      </c>
      <c r="S73" s="213"/>
      <c r="T73" s="213"/>
      <c r="U73">
        <f t="shared" si="12"/>
        <v>287.49</v>
      </c>
      <c r="V73">
        <f>U73/7*10</f>
        <v>410.7</v>
      </c>
      <c r="W73">
        <f t="shared" si="14"/>
        <v>41.07</v>
      </c>
      <c r="Y73">
        <v>15392.28</v>
      </c>
    </row>
    <row r="74" spans="1:34" s="216" customFormat="1">
      <c r="A74">
        <v>2023</v>
      </c>
      <c r="B74" s="216" t="s">
        <v>41</v>
      </c>
      <c r="C74" s="216">
        <v>13</v>
      </c>
      <c r="D74" s="216">
        <v>4</v>
      </c>
      <c r="E74" s="216">
        <v>7</v>
      </c>
      <c r="F74" s="216">
        <v>46.36</v>
      </c>
      <c r="G74" s="216">
        <v>563.04999999999995</v>
      </c>
      <c r="H74" s="217">
        <v>45630</v>
      </c>
      <c r="I74" s="217"/>
      <c r="J74" s="217"/>
      <c r="K74" s="218">
        <v>32</v>
      </c>
      <c r="L74" s="216">
        <v>21.8</v>
      </c>
      <c r="M74" s="217"/>
      <c r="Q74" s="216" t="s">
        <v>2334</v>
      </c>
      <c r="R74" s="216" t="s">
        <v>196</v>
      </c>
      <c r="U74" s="216">
        <f>G74-F74</f>
        <v>516.68999999999994</v>
      </c>
      <c r="V74" s="216">
        <f>(U74+U75)/7*10</f>
        <v>1258.4428571428571</v>
      </c>
      <c r="W74" s="216">
        <f>U74/((E74-D74)+1)</f>
        <v>129.17249999999999</v>
      </c>
      <c r="X74" s="216">
        <f>ABS(W74-W75)</f>
        <v>7.7658333333333047</v>
      </c>
      <c r="Y74" s="216">
        <v>15393.44</v>
      </c>
    </row>
    <row r="75" spans="1:34" s="216" customFormat="1">
      <c r="A75">
        <v>2023</v>
      </c>
      <c r="C75" s="216" t="s">
        <v>1702</v>
      </c>
      <c r="D75" s="216">
        <v>8</v>
      </c>
      <c r="E75" s="216">
        <v>10</v>
      </c>
      <c r="F75" s="219">
        <v>43</v>
      </c>
      <c r="G75" s="216">
        <v>407.22</v>
      </c>
      <c r="H75" s="217">
        <v>45630</v>
      </c>
      <c r="I75" s="217"/>
      <c r="J75" s="217"/>
      <c r="K75" s="218">
        <v>22</v>
      </c>
      <c r="L75" s="216">
        <v>22</v>
      </c>
      <c r="M75" s="217"/>
      <c r="Q75" s="216" t="s">
        <v>2334</v>
      </c>
      <c r="R75" s="216" t="s">
        <v>196</v>
      </c>
      <c r="U75" s="216">
        <f t="shared" si="12"/>
        <v>364.22</v>
      </c>
      <c r="W75" s="216">
        <f t="shared" si="14"/>
        <v>121.40666666666668</v>
      </c>
      <c r="X75" s="239">
        <f>X74/(U74+U75)</f>
        <v>8.8156943766483573E-3</v>
      </c>
    </row>
    <row r="76" spans="1:34" s="220" customFormat="1">
      <c r="A76">
        <v>2023</v>
      </c>
      <c r="B76" s="220" t="s">
        <v>41</v>
      </c>
      <c r="C76" s="220">
        <v>14</v>
      </c>
      <c r="D76" s="220">
        <v>4</v>
      </c>
      <c r="E76" s="220">
        <v>7</v>
      </c>
      <c r="F76" s="220">
        <v>45.93</v>
      </c>
      <c r="G76" s="220">
        <v>509.94</v>
      </c>
      <c r="H76" s="221">
        <v>45630</v>
      </c>
      <c r="I76" s="221"/>
      <c r="J76" s="221"/>
      <c r="K76" s="222">
        <v>31</v>
      </c>
      <c r="L76" s="220">
        <v>23.2</v>
      </c>
      <c r="M76" s="221"/>
      <c r="Q76" s="220" t="s">
        <v>2334</v>
      </c>
      <c r="R76" s="220" t="s">
        <v>196</v>
      </c>
      <c r="U76" s="220">
        <f t="shared" si="12"/>
        <v>464.01</v>
      </c>
      <c r="V76" s="220">
        <f>(U76+U77)/7*10</f>
        <v>1290.1428571428571</v>
      </c>
      <c r="W76" s="220">
        <f>U76/((E76-D76)+1)</f>
        <v>116.0025</v>
      </c>
      <c r="X76" s="231">
        <f>ABS(W76-W77)</f>
        <v>30.360833333333346</v>
      </c>
      <c r="Y76" s="220">
        <v>15381.24</v>
      </c>
      <c r="AF76" s="220">
        <v>47.34</v>
      </c>
      <c r="AG76" s="220">
        <f>AF76-F76</f>
        <v>1.4100000000000037</v>
      </c>
      <c r="AH76" s="220">
        <f>AG76/AF76*100</f>
        <v>2.9784537389100203</v>
      </c>
    </row>
    <row r="77" spans="1:34" s="220" customFormat="1">
      <c r="A77">
        <v>2023</v>
      </c>
      <c r="C77" s="220" t="s">
        <v>1703</v>
      </c>
      <c r="D77" s="220">
        <v>8</v>
      </c>
      <c r="E77" s="220">
        <v>10</v>
      </c>
      <c r="F77" s="220">
        <v>44.82</v>
      </c>
      <c r="G77" s="220">
        <v>483.91</v>
      </c>
      <c r="H77" s="221">
        <v>45630</v>
      </c>
      <c r="I77" s="221"/>
      <c r="J77" s="221"/>
      <c r="K77" s="222">
        <v>30</v>
      </c>
      <c r="L77" s="220">
        <v>23.4</v>
      </c>
      <c r="M77" s="221"/>
      <c r="Q77" s="220" t="s">
        <v>2334</v>
      </c>
      <c r="R77" s="220" t="s">
        <v>196</v>
      </c>
      <c r="U77" s="220">
        <f>G77-F77</f>
        <v>439.09000000000003</v>
      </c>
      <c r="W77" s="220">
        <f>U77/((E77-D77)+1)</f>
        <v>146.36333333333334</v>
      </c>
      <c r="X77" s="240">
        <f>X76/(U76+U77)</f>
        <v>3.361846233344408E-2</v>
      </c>
    </row>
    <row r="78" spans="1:34" s="224" customFormat="1">
      <c r="A78">
        <v>2023</v>
      </c>
      <c r="B78" s="224" t="s">
        <v>41</v>
      </c>
      <c r="C78" s="224">
        <v>15</v>
      </c>
      <c r="D78" s="224">
        <v>4</v>
      </c>
      <c r="E78" s="224">
        <v>7</v>
      </c>
      <c r="F78" s="224">
        <v>45.39</v>
      </c>
      <c r="G78" s="224">
        <v>407.13</v>
      </c>
      <c r="H78" s="225">
        <v>45630</v>
      </c>
      <c r="I78" s="225"/>
      <c r="J78" s="225"/>
      <c r="K78" s="226">
        <v>30</v>
      </c>
      <c r="L78" s="224">
        <v>23.5</v>
      </c>
      <c r="M78" s="225"/>
      <c r="Q78" s="224" t="s">
        <v>2334</v>
      </c>
      <c r="R78" s="224" t="s">
        <v>196</v>
      </c>
      <c r="S78" s="224" t="s">
        <v>2336</v>
      </c>
      <c r="U78" s="224">
        <f t="shared" si="12"/>
        <v>361.74</v>
      </c>
      <c r="V78" s="224">
        <f>(U78+U79)/7*10</f>
        <v>996.25714285714275</v>
      </c>
      <c r="W78" s="224">
        <f t="shared" si="14"/>
        <v>90.435000000000002</v>
      </c>
      <c r="X78" s="232">
        <f>ABS(W78-W79)</f>
        <v>21.444999999999993</v>
      </c>
      <c r="Y78" s="224">
        <v>15295.08</v>
      </c>
      <c r="Z78" s="233"/>
    </row>
    <row r="79" spans="1:34" s="224" customFormat="1">
      <c r="A79">
        <v>2023</v>
      </c>
      <c r="C79" s="224" t="s">
        <v>1704</v>
      </c>
      <c r="D79" s="224">
        <v>8</v>
      </c>
      <c r="E79" s="224">
        <v>10</v>
      </c>
      <c r="F79" s="227">
        <v>44.8</v>
      </c>
      <c r="G79" s="224">
        <v>380.44</v>
      </c>
      <c r="H79" s="225">
        <v>45630</v>
      </c>
      <c r="I79" s="225"/>
      <c r="J79" s="225"/>
      <c r="K79" s="226">
        <v>32</v>
      </c>
      <c r="L79" s="224">
        <v>23.5</v>
      </c>
      <c r="M79" s="225"/>
      <c r="Q79" s="224" t="s">
        <v>2334</v>
      </c>
      <c r="R79" s="224" t="s">
        <v>196</v>
      </c>
      <c r="S79" s="224" t="s">
        <v>2337</v>
      </c>
      <c r="U79" s="227">
        <f>G79-F79</f>
        <v>335.64</v>
      </c>
      <c r="W79" s="224">
        <f t="shared" si="14"/>
        <v>111.88</v>
      </c>
      <c r="X79" s="241">
        <f>X78/(U78+U79)</f>
        <v>3.075081017522727E-2</v>
      </c>
      <c r="Z79" s="233"/>
    </row>
    <row r="80" spans="1:34">
      <c r="A80">
        <v>2023</v>
      </c>
      <c r="B80" t="s">
        <v>41</v>
      </c>
      <c r="C80">
        <v>16</v>
      </c>
      <c r="D80">
        <v>4</v>
      </c>
      <c r="E80">
        <v>10</v>
      </c>
      <c r="F80">
        <v>44.88</v>
      </c>
      <c r="G80">
        <v>314.61</v>
      </c>
      <c r="H80" s="85">
        <v>45631</v>
      </c>
      <c r="I80" s="85"/>
      <c r="J80" s="85"/>
      <c r="K80" s="134">
        <v>32</v>
      </c>
      <c r="L80">
        <v>22</v>
      </c>
      <c r="M80" s="85"/>
      <c r="Q80" t="s">
        <v>2334</v>
      </c>
      <c r="R80" t="s">
        <v>196</v>
      </c>
      <c r="U80">
        <f t="shared" si="12"/>
        <v>269.73</v>
      </c>
      <c r="V80">
        <f>U80/7*10</f>
        <v>385.32857142857148</v>
      </c>
      <c r="W80">
        <f t="shared" si="14"/>
        <v>38.532857142857146</v>
      </c>
      <c r="X80" s="193"/>
      <c r="Y80">
        <v>15409.73</v>
      </c>
    </row>
    <row r="81" spans="1:34">
      <c r="A81">
        <v>2023</v>
      </c>
      <c r="B81" t="s">
        <v>41</v>
      </c>
      <c r="C81">
        <v>17</v>
      </c>
      <c r="D81">
        <v>4</v>
      </c>
      <c r="E81">
        <v>10</v>
      </c>
      <c r="F81">
        <v>43.27</v>
      </c>
      <c r="G81">
        <v>369.94</v>
      </c>
      <c r="H81" s="85">
        <v>45631</v>
      </c>
      <c r="I81" s="85"/>
      <c r="J81" s="85"/>
      <c r="K81" s="134">
        <v>32</v>
      </c>
      <c r="L81">
        <v>22.1</v>
      </c>
      <c r="M81" s="85"/>
      <c r="Q81" t="s">
        <v>2334</v>
      </c>
      <c r="R81" t="s">
        <v>196</v>
      </c>
      <c r="U81">
        <f t="shared" si="12"/>
        <v>326.67</v>
      </c>
      <c r="V81">
        <f t="shared" ref="V81:V85" si="15">U81/7*10</f>
        <v>466.67142857142858</v>
      </c>
      <c r="W81">
        <f t="shared" si="14"/>
        <v>46.667142857142856</v>
      </c>
      <c r="Y81">
        <v>15355.75</v>
      </c>
    </row>
    <row r="82" spans="1:34">
      <c r="A82">
        <v>2023</v>
      </c>
      <c r="B82" t="s">
        <v>41</v>
      </c>
      <c r="C82">
        <v>18</v>
      </c>
      <c r="D82">
        <v>4</v>
      </c>
      <c r="E82">
        <v>10</v>
      </c>
      <c r="F82">
        <v>43.24</v>
      </c>
      <c r="G82">
        <v>274.8</v>
      </c>
      <c r="H82" s="85">
        <v>45631</v>
      </c>
      <c r="I82" s="85"/>
      <c r="J82" s="85"/>
      <c r="K82" s="134">
        <v>32</v>
      </c>
      <c r="L82">
        <v>22.2</v>
      </c>
      <c r="M82" s="85"/>
      <c r="Q82" t="s">
        <v>2334</v>
      </c>
      <c r="R82" t="s">
        <v>196</v>
      </c>
      <c r="U82">
        <f t="shared" si="12"/>
        <v>231.56</v>
      </c>
      <c r="V82">
        <f t="shared" si="15"/>
        <v>330.79999999999995</v>
      </c>
      <c r="W82">
        <f t="shared" si="14"/>
        <v>33.08</v>
      </c>
      <c r="Y82">
        <v>15401.58</v>
      </c>
    </row>
    <row r="83" spans="1:34">
      <c r="A83">
        <v>2023</v>
      </c>
      <c r="B83" t="s">
        <v>41</v>
      </c>
      <c r="C83">
        <v>19</v>
      </c>
      <c r="D83">
        <v>4</v>
      </c>
      <c r="E83">
        <v>10</v>
      </c>
      <c r="F83">
        <v>45.54</v>
      </c>
      <c r="G83">
        <v>377.5</v>
      </c>
      <c r="H83" s="85">
        <v>45632</v>
      </c>
      <c r="I83" s="85"/>
      <c r="J83" s="85"/>
      <c r="K83" s="134">
        <v>30</v>
      </c>
      <c r="L83">
        <v>23.4</v>
      </c>
      <c r="M83" s="85"/>
      <c r="Q83" t="s">
        <v>2334</v>
      </c>
      <c r="R83" t="s">
        <v>196</v>
      </c>
      <c r="U83">
        <f t="shared" si="12"/>
        <v>331.96</v>
      </c>
      <c r="V83">
        <f t="shared" si="15"/>
        <v>474.2285714285714</v>
      </c>
      <c r="W83">
        <f t="shared" si="14"/>
        <v>47.42285714285714</v>
      </c>
      <c r="Y83">
        <v>15432.48</v>
      </c>
    </row>
    <row r="84" spans="1:34">
      <c r="A84">
        <v>2023</v>
      </c>
      <c r="B84" t="s">
        <v>41</v>
      </c>
      <c r="C84">
        <v>20</v>
      </c>
      <c r="D84">
        <v>4</v>
      </c>
      <c r="E84">
        <v>10</v>
      </c>
      <c r="F84">
        <v>46.63</v>
      </c>
      <c r="G84">
        <v>401.65</v>
      </c>
      <c r="H84" s="85">
        <v>45632</v>
      </c>
      <c r="I84" s="85"/>
      <c r="J84" s="85"/>
      <c r="K84" s="134">
        <v>30</v>
      </c>
      <c r="L84">
        <v>23.4</v>
      </c>
      <c r="M84" s="85"/>
      <c r="Q84" t="s">
        <v>2334</v>
      </c>
      <c r="R84" t="s">
        <v>196</v>
      </c>
      <c r="U84">
        <f t="shared" si="12"/>
        <v>355.02</v>
      </c>
      <c r="V84">
        <f t="shared" si="15"/>
        <v>507.17142857142852</v>
      </c>
      <c r="W84">
        <f t="shared" si="14"/>
        <v>50.717142857142854</v>
      </c>
      <c r="Y84">
        <v>15321.32</v>
      </c>
    </row>
    <row r="85" spans="1:34">
      <c r="A85">
        <v>2023</v>
      </c>
      <c r="B85" t="s">
        <v>41</v>
      </c>
      <c r="C85">
        <v>21</v>
      </c>
      <c r="D85">
        <v>4</v>
      </c>
      <c r="E85">
        <v>10</v>
      </c>
      <c r="F85">
        <v>44.57</v>
      </c>
      <c r="G85">
        <v>366.25</v>
      </c>
      <c r="H85" s="85">
        <v>45632</v>
      </c>
      <c r="I85" s="85"/>
      <c r="J85" s="85"/>
      <c r="K85" s="134">
        <v>30</v>
      </c>
      <c r="L85">
        <v>23.4</v>
      </c>
      <c r="M85" s="85"/>
      <c r="Q85" t="s">
        <v>2334</v>
      </c>
      <c r="R85" t="s">
        <v>196</v>
      </c>
      <c r="U85">
        <f t="shared" si="12"/>
        <v>321.68</v>
      </c>
      <c r="V85">
        <f t="shared" si="15"/>
        <v>459.5428571428572</v>
      </c>
      <c r="W85">
        <f t="shared" si="14"/>
        <v>45.954285714285717</v>
      </c>
      <c r="Y85">
        <v>15371.14</v>
      </c>
      <c r="AF85">
        <v>44.98</v>
      </c>
      <c r="AG85">
        <f>AF85-F85</f>
        <v>0.40999999999999659</v>
      </c>
      <c r="AH85">
        <f>AG85/AF85*100</f>
        <v>0.91151622943529709</v>
      </c>
    </row>
  </sheetData>
  <conditionalFormatting sqref="U1:U3">
    <cfRule type="cellIs" dxfId="8" priority="1" operator="lessThan">
      <formula>10</formula>
    </cfRule>
  </conditionalFormatting>
  <pageMargins left="0.7" right="0.7" top="0.75" bottom="0.75" header="0.3" footer="0.3"/>
  <pageSetup paperSize="9" orientation="portrait" r:id="rId1"/>
  <headerFooter>
    <oddHeader>&amp;C&amp;"Aptos"&amp;12&amp;KFF0000 UNOFFICIAL&amp;1#_x000D_</oddHeader>
    <oddFooter>&amp;C_x000D_&amp;1#&amp;"Aptos"&amp;12&amp;KFF0000 UNOFFICIAL</oddFooter>
  </headerFooter>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17595-A8A0-4B5C-9C7A-E307049F855E}">
  <dimension ref="A1:AB160"/>
  <sheetViews>
    <sheetView view="pageBreakPreview" topLeftCell="A40" zoomScale="60" zoomScaleNormal="100" workbookViewId="0">
      <selection activeCell="H114" sqref="H114"/>
    </sheetView>
  </sheetViews>
  <sheetFormatPr defaultRowHeight="15"/>
  <cols>
    <col min="1" max="1" width="9.140625" customWidth="1"/>
    <col min="3" max="3" width="13.85546875" customWidth="1"/>
    <col min="4" max="5" width="9.140625" customWidth="1"/>
    <col min="6" max="6" width="25" customWidth="1"/>
    <col min="7" max="8" width="16.85546875" customWidth="1"/>
    <col min="9" max="9" width="28.42578125" customWidth="1"/>
    <col min="10" max="10" width="10.140625" customWidth="1"/>
    <col min="11" max="14" width="9.140625" customWidth="1"/>
    <col min="15" max="16" width="9.140625" style="175"/>
    <col min="17" max="17" width="10.140625" customWidth="1"/>
    <col min="18" max="18" width="11.5703125" customWidth="1"/>
    <col min="19" max="19" width="9.140625" customWidth="1"/>
    <col min="23" max="23" width="10.7109375" bestFit="1" customWidth="1"/>
    <col min="24" max="24" width="12" customWidth="1"/>
  </cols>
  <sheetData>
    <row r="1" spans="1:24">
      <c r="I1" s="37" t="s">
        <v>2240</v>
      </c>
      <c r="J1" s="37">
        <f>AVERAGE(F14,F26,F50,F38,F62,F74,F86,F98,F108)</f>
        <v>0.68888888888888899</v>
      </c>
      <c r="W1" t="s">
        <v>2324</v>
      </c>
    </row>
    <row r="3" spans="1:24" ht="77.25">
      <c r="A3" s="449" t="s">
        <v>2241</v>
      </c>
      <c r="B3" s="449" t="s">
        <v>2242</v>
      </c>
      <c r="C3" s="440"/>
      <c r="D3" s="449" t="s">
        <v>2243</v>
      </c>
      <c r="E3" s="449" t="s">
        <v>2244</v>
      </c>
      <c r="F3" s="449" t="s">
        <v>2245</v>
      </c>
      <c r="G3" s="440" t="s">
        <v>2246</v>
      </c>
      <c r="H3" s="440" t="s">
        <v>2247</v>
      </c>
      <c r="I3" s="440"/>
      <c r="J3" s="441" t="s">
        <v>2248</v>
      </c>
      <c r="K3" s="441" t="s">
        <v>2329</v>
      </c>
      <c r="L3" s="441" t="s">
        <v>2249</v>
      </c>
      <c r="M3" s="441" t="s">
        <v>2250</v>
      </c>
      <c r="N3" s="441" t="s">
        <v>2251</v>
      </c>
      <c r="O3" s="442" t="s">
        <v>2252</v>
      </c>
      <c r="P3" s="442" t="s">
        <v>2253</v>
      </c>
      <c r="Q3" s="441" t="s">
        <v>2254</v>
      </c>
      <c r="R3" s="441" t="s">
        <v>2255</v>
      </c>
      <c r="S3" s="441" t="s">
        <v>300</v>
      </c>
      <c r="T3" s="441" t="s">
        <v>2320</v>
      </c>
      <c r="U3" s="441" t="s">
        <v>2321</v>
      </c>
    </row>
    <row r="4" spans="1:24">
      <c r="A4" s="450">
        <v>30880</v>
      </c>
      <c r="B4" s="450" t="s">
        <v>2271</v>
      </c>
      <c r="C4" s="443" t="s">
        <v>2277</v>
      </c>
      <c r="D4" s="450">
        <v>1</v>
      </c>
      <c r="E4" s="450" t="s">
        <v>2313</v>
      </c>
      <c r="F4" s="450">
        <v>319.7</v>
      </c>
      <c r="G4" s="451">
        <v>2.056</v>
      </c>
      <c r="H4" s="43">
        <f>G4*1000</f>
        <v>2056</v>
      </c>
      <c r="J4">
        <f>F4-$J$1</f>
        <v>319.01111111111112</v>
      </c>
      <c r="K4">
        <f>(J4/1000)*10</f>
        <v>3.1901111111111113</v>
      </c>
      <c r="L4">
        <f>K4*(5/4)</f>
        <v>3.9876388888888892</v>
      </c>
      <c r="M4">
        <f>L4*28.09</f>
        <v>112.01277638888889</v>
      </c>
      <c r="N4">
        <f>L4*(28.09+2*16)</f>
        <v>239.61722083333336</v>
      </c>
      <c r="O4" s="284">
        <f>(M4/H4)*100</f>
        <v>5.4480922368136619</v>
      </c>
      <c r="P4" s="284">
        <f>(N4/H4)*100</f>
        <v>11.654534087224386</v>
      </c>
      <c r="Q4">
        <f>((O4-O5)/AVERAGE(O4:O5))*100</f>
        <v>0.19102575530296151</v>
      </c>
      <c r="T4">
        <f>AVERAGE(O4:O5)</f>
        <v>5.4428935725350263</v>
      </c>
      <c r="U4">
        <f>AVERAGE(P4:P5)</f>
        <v>11.643413128288707</v>
      </c>
      <c r="W4" s="85">
        <v>45075.5</v>
      </c>
    </row>
    <row r="5" spans="1:24">
      <c r="A5" s="450">
        <v>30881</v>
      </c>
      <c r="B5" s="450" t="s">
        <v>2271</v>
      </c>
      <c r="C5" s="443" t="s">
        <v>2278</v>
      </c>
      <c r="D5" s="450">
        <v>2</v>
      </c>
      <c r="E5" s="450" t="s">
        <v>2313</v>
      </c>
      <c r="F5" s="450">
        <v>321.60000000000002</v>
      </c>
      <c r="G5" s="451">
        <v>2.0722</v>
      </c>
      <c r="H5" s="43">
        <f t="shared" ref="H5:H68" si="0">G5*1000</f>
        <v>2072.1999999999998</v>
      </c>
      <c r="J5">
        <f t="shared" ref="J5:J68" si="1">F5-$J$1</f>
        <v>320.91111111111115</v>
      </c>
      <c r="K5">
        <f t="shared" ref="K5:K68" si="2">(J5/1000)*10</f>
        <v>3.2091111111111115</v>
      </c>
      <c r="L5">
        <f t="shared" ref="L5:L68" si="3">K5*(5/4)</f>
        <v>4.0113888888888898</v>
      </c>
      <c r="M5">
        <f t="shared" ref="M5:M68" si="4">L5*28.09</f>
        <v>112.67991388888892</v>
      </c>
      <c r="N5">
        <f t="shared" ref="N5:N68" si="5">L5*(28.09+2*16)</f>
        <v>241.04435833333341</v>
      </c>
      <c r="O5" s="284">
        <f t="shared" ref="O5:O68" si="6">(M5/H5)*100</f>
        <v>5.4376949082563906</v>
      </c>
      <c r="P5" s="284">
        <f t="shared" ref="P5:P68" si="7">(N5/H5)*100</f>
        <v>11.632292169353027</v>
      </c>
      <c r="W5" s="85">
        <v>45075.5</v>
      </c>
    </row>
    <row r="6" spans="1:24" s="444" customFormat="1">
      <c r="A6" s="450">
        <v>30882</v>
      </c>
      <c r="B6" s="450" t="s">
        <v>2271</v>
      </c>
      <c r="C6" s="443" t="s">
        <v>2279</v>
      </c>
      <c r="D6" s="450">
        <v>3</v>
      </c>
      <c r="E6" s="450" t="s">
        <v>2313</v>
      </c>
      <c r="F6" s="450">
        <v>248.8</v>
      </c>
      <c r="G6" s="451">
        <v>2.1335999999999999</v>
      </c>
      <c r="H6" s="43">
        <f t="shared" si="0"/>
        <v>2133.6</v>
      </c>
      <c r="I6"/>
      <c r="J6">
        <f t="shared" si="1"/>
        <v>248.11111111111111</v>
      </c>
      <c r="K6">
        <f t="shared" si="2"/>
        <v>2.4811111111111113</v>
      </c>
      <c r="L6">
        <f t="shared" si="3"/>
        <v>3.1013888888888892</v>
      </c>
      <c r="M6">
        <f t="shared" si="4"/>
        <v>87.118013888888896</v>
      </c>
      <c r="N6">
        <f t="shared" si="5"/>
        <v>186.36245833333336</v>
      </c>
      <c r="O6" s="284">
        <f t="shared" si="6"/>
        <v>4.083146507728201</v>
      </c>
      <c r="P6" s="284">
        <f t="shared" si="7"/>
        <v>8.7346484033245861</v>
      </c>
      <c r="Q6">
        <f>((O6-O7)/AVERAGE(O6:O7))*100</f>
        <v>-5.9941584509270548E-2</v>
      </c>
      <c r="R6"/>
      <c r="S6"/>
      <c r="T6" s="444">
        <f>AVERAGE(O6:O7)</f>
        <v>4.0843706259634178</v>
      </c>
      <c r="U6" s="444">
        <f>AVERAGE(P6:P7)</f>
        <v>8.7372670314753229</v>
      </c>
      <c r="V6"/>
      <c r="W6" s="85">
        <v>45090.5</v>
      </c>
      <c r="X6"/>
    </row>
    <row r="7" spans="1:24" s="444" customFormat="1">
      <c r="A7" s="450">
        <v>30883</v>
      </c>
      <c r="B7" s="450" t="s">
        <v>2271</v>
      </c>
      <c r="C7" s="443" t="s">
        <v>2280</v>
      </c>
      <c r="D7" s="450">
        <v>4</v>
      </c>
      <c r="E7" s="450" t="s">
        <v>2313</v>
      </c>
      <c r="F7" s="450">
        <v>349.4</v>
      </c>
      <c r="G7" s="451">
        <v>2.9969000000000001</v>
      </c>
      <c r="H7" s="43">
        <f t="shared" si="0"/>
        <v>2996.9</v>
      </c>
      <c r="I7"/>
      <c r="J7">
        <f t="shared" si="1"/>
        <v>348.71111111111111</v>
      </c>
      <c r="K7">
        <f t="shared" si="2"/>
        <v>3.4871111111111111</v>
      </c>
      <c r="L7">
        <f t="shared" si="3"/>
        <v>4.358888888888889</v>
      </c>
      <c r="M7">
        <f t="shared" si="4"/>
        <v>122.44118888888889</v>
      </c>
      <c r="N7">
        <f t="shared" si="5"/>
        <v>261.92563333333334</v>
      </c>
      <c r="O7" s="284">
        <f t="shared" si="6"/>
        <v>4.0855947441986347</v>
      </c>
      <c r="P7" s="284">
        <f t="shared" si="7"/>
        <v>8.7398856596260579</v>
      </c>
      <c r="Q7"/>
      <c r="R7"/>
      <c r="S7"/>
      <c r="V7"/>
      <c r="W7" s="85">
        <v>45090.5</v>
      </c>
      <c r="X7"/>
    </row>
    <row r="8" spans="1:24">
      <c r="A8" s="450">
        <v>30884</v>
      </c>
      <c r="B8" s="450" t="s">
        <v>2271</v>
      </c>
      <c r="C8" s="443" t="s">
        <v>2256</v>
      </c>
      <c r="D8" s="450">
        <v>5</v>
      </c>
      <c r="E8" s="450" t="s">
        <v>2313</v>
      </c>
      <c r="F8" s="450">
        <v>264.8</v>
      </c>
      <c r="G8" s="451">
        <v>2.9998999999999998</v>
      </c>
      <c r="H8" s="43">
        <f t="shared" si="0"/>
        <v>2999.8999999999996</v>
      </c>
      <c r="J8">
        <f t="shared" si="1"/>
        <v>264.11111111111114</v>
      </c>
      <c r="K8">
        <f t="shared" si="2"/>
        <v>2.6411111111111114</v>
      </c>
      <c r="L8">
        <f t="shared" si="3"/>
        <v>3.3013888888888894</v>
      </c>
      <c r="M8">
        <f t="shared" si="4"/>
        <v>92.736013888888905</v>
      </c>
      <c r="N8">
        <f t="shared" si="5"/>
        <v>198.38045833333337</v>
      </c>
      <c r="O8" s="284">
        <f t="shared" si="6"/>
        <v>3.091303506413178</v>
      </c>
      <c r="P8" s="284">
        <f t="shared" si="7"/>
        <v>6.6129023745235962</v>
      </c>
      <c r="Q8">
        <f t="shared" ref="Q8" si="8">((O8-O9)/AVERAGE(O8:O9))*100</f>
        <v>-0.40047315876587741</v>
      </c>
      <c r="T8">
        <f t="shared" ref="T8" si="9">AVERAGE(O8:O9)</f>
        <v>3.0975058461657268</v>
      </c>
      <c r="U8">
        <f t="shared" ref="U8" si="10">AVERAGE(P8:P9)</f>
        <v>6.6261703914595405</v>
      </c>
      <c r="W8" s="85">
        <v>45105.5</v>
      </c>
    </row>
    <row r="9" spans="1:24">
      <c r="A9" s="450">
        <v>30885</v>
      </c>
      <c r="B9" s="450" t="s">
        <v>2271</v>
      </c>
      <c r="C9" s="443" t="s">
        <v>2257</v>
      </c>
      <c r="D9" s="450">
        <v>6</v>
      </c>
      <c r="E9" s="450" t="s">
        <v>2313</v>
      </c>
      <c r="F9" s="450">
        <v>247.2</v>
      </c>
      <c r="G9" s="451">
        <v>2.7888000000000002</v>
      </c>
      <c r="H9" s="43">
        <f t="shared" si="0"/>
        <v>2788.8</v>
      </c>
      <c r="J9">
        <f t="shared" si="1"/>
        <v>246.51111111111109</v>
      </c>
      <c r="K9">
        <f t="shared" si="2"/>
        <v>2.4651111111111108</v>
      </c>
      <c r="L9">
        <f t="shared" si="3"/>
        <v>3.0813888888888883</v>
      </c>
      <c r="M9">
        <f t="shared" si="4"/>
        <v>86.556213888888877</v>
      </c>
      <c r="N9">
        <f t="shared" si="5"/>
        <v>185.16065833333332</v>
      </c>
      <c r="O9" s="284">
        <f t="shared" si="6"/>
        <v>3.1037081859182756</v>
      </c>
      <c r="P9" s="284">
        <f t="shared" si="7"/>
        <v>6.6394384083954856</v>
      </c>
      <c r="W9" s="85">
        <v>45105.5</v>
      </c>
    </row>
    <row r="10" spans="1:24">
      <c r="A10" s="450">
        <v>30886</v>
      </c>
      <c r="B10" s="450" t="s">
        <v>2271</v>
      </c>
      <c r="C10" s="443" t="s">
        <v>2281</v>
      </c>
      <c r="D10" s="450">
        <v>7</v>
      </c>
      <c r="E10" s="450" t="s">
        <v>2313</v>
      </c>
      <c r="F10" s="450">
        <v>234.3</v>
      </c>
      <c r="G10" s="451">
        <v>2.3744000000000001</v>
      </c>
      <c r="H10" s="43">
        <f t="shared" si="0"/>
        <v>2374.4</v>
      </c>
      <c r="J10">
        <f t="shared" si="1"/>
        <v>233.61111111111111</v>
      </c>
      <c r="K10">
        <f t="shared" si="2"/>
        <v>2.3361111111111112</v>
      </c>
      <c r="L10">
        <f t="shared" si="3"/>
        <v>2.9201388888888893</v>
      </c>
      <c r="M10">
        <f t="shared" si="4"/>
        <v>82.026701388888895</v>
      </c>
      <c r="N10">
        <f t="shared" si="5"/>
        <v>175.47114583333337</v>
      </c>
      <c r="O10" s="284">
        <f t="shared" si="6"/>
        <v>3.4546285962301591</v>
      </c>
      <c r="P10" s="284">
        <f t="shared" si="7"/>
        <v>7.3901257510669378</v>
      </c>
      <c r="Q10">
        <f t="shared" ref="Q10" si="11">((O10-O11)/AVERAGE(O10:O11))*100</f>
        <v>-1.092992993507359</v>
      </c>
      <c r="T10" s="444">
        <f t="shared" ref="T10" si="12">AVERAGE(O10:O11)</f>
        <v>3.4736117628248202</v>
      </c>
      <c r="U10" s="444">
        <f t="shared" ref="U10" si="13">AVERAGE(P10:P11)</f>
        <v>7.4307344545440905</v>
      </c>
      <c r="W10" s="85">
        <v>45120.5</v>
      </c>
    </row>
    <row r="11" spans="1:24">
      <c r="A11" s="450">
        <v>30887</v>
      </c>
      <c r="B11" s="450" t="s">
        <v>2271</v>
      </c>
      <c r="C11" s="443" t="s">
        <v>2282</v>
      </c>
      <c r="D11" s="450">
        <v>8</v>
      </c>
      <c r="E11" s="450" t="s">
        <v>2313</v>
      </c>
      <c r="F11" s="450">
        <v>221.4</v>
      </c>
      <c r="G11" s="451">
        <v>2.2189000000000001</v>
      </c>
      <c r="H11" s="43">
        <f t="shared" si="0"/>
        <v>2218.9</v>
      </c>
      <c r="J11">
        <f t="shared" si="1"/>
        <v>220.71111111111111</v>
      </c>
      <c r="K11">
        <f t="shared" si="2"/>
        <v>2.2071111111111112</v>
      </c>
      <c r="L11">
        <f t="shared" si="3"/>
        <v>2.7588888888888889</v>
      </c>
      <c r="M11">
        <f t="shared" si="4"/>
        <v>77.497188888888886</v>
      </c>
      <c r="N11">
        <f t="shared" si="5"/>
        <v>165.78163333333336</v>
      </c>
      <c r="O11" s="284">
        <f t="shared" si="6"/>
        <v>3.4925949294194818</v>
      </c>
      <c r="P11" s="284">
        <f t="shared" si="7"/>
        <v>7.4713431580212433</v>
      </c>
      <c r="T11" s="444"/>
      <c r="U11" s="444"/>
      <c r="W11" s="85">
        <v>45120.5</v>
      </c>
    </row>
    <row r="12" spans="1:24">
      <c r="A12" s="450">
        <v>30888</v>
      </c>
      <c r="B12" s="450" t="s">
        <v>2271</v>
      </c>
      <c r="C12" s="443" t="s">
        <v>2283</v>
      </c>
      <c r="D12" s="450">
        <v>9</v>
      </c>
      <c r="E12" s="450" t="s">
        <v>2313</v>
      </c>
      <c r="F12" s="450">
        <v>303.60000000000002</v>
      </c>
      <c r="G12" s="451">
        <v>2.6225000000000001</v>
      </c>
      <c r="H12" s="43">
        <f t="shared" si="0"/>
        <v>2622.5</v>
      </c>
      <c r="J12">
        <f t="shared" si="1"/>
        <v>302.91111111111115</v>
      </c>
      <c r="K12">
        <f t="shared" si="2"/>
        <v>3.0291111111111113</v>
      </c>
      <c r="L12">
        <f t="shared" si="3"/>
        <v>3.7863888888888892</v>
      </c>
      <c r="M12">
        <f t="shared" si="4"/>
        <v>106.3596638888889</v>
      </c>
      <c r="N12">
        <f t="shared" si="5"/>
        <v>227.52410833333337</v>
      </c>
      <c r="O12" s="284">
        <f t="shared" si="6"/>
        <v>4.0556592521978612</v>
      </c>
      <c r="P12" s="284">
        <f t="shared" si="7"/>
        <v>8.6758477915475076</v>
      </c>
      <c r="Q12">
        <f t="shared" ref="Q12" si="14">((O12-O13)/AVERAGE(O12:O13))*100</f>
        <v>-0.68304483219321144</v>
      </c>
      <c r="T12">
        <f t="shared" ref="T12" si="15">AVERAGE(O12:O13)</f>
        <v>4.0695577039929836</v>
      </c>
      <c r="U12">
        <f t="shared" ref="U12" si="16">AVERAGE(P12:P13)</f>
        <v>8.7055792962954222</v>
      </c>
      <c r="W12" s="85">
        <v>45135.5</v>
      </c>
    </row>
    <row r="13" spans="1:24">
      <c r="A13" s="450">
        <v>30889</v>
      </c>
      <c r="B13" s="450" t="s">
        <v>2271</v>
      </c>
      <c r="C13" s="443" t="s">
        <v>2284</v>
      </c>
      <c r="D13" s="450">
        <v>10</v>
      </c>
      <c r="E13" s="450" t="s">
        <v>2313</v>
      </c>
      <c r="F13" s="450">
        <v>247.4</v>
      </c>
      <c r="G13" s="451">
        <v>2.1214</v>
      </c>
      <c r="H13" s="43">
        <f t="shared" si="0"/>
        <v>2121.4</v>
      </c>
      <c r="J13">
        <f t="shared" si="1"/>
        <v>246.71111111111111</v>
      </c>
      <c r="K13">
        <f t="shared" si="2"/>
        <v>2.467111111111111</v>
      </c>
      <c r="L13">
        <f t="shared" si="3"/>
        <v>3.0838888888888887</v>
      </c>
      <c r="M13">
        <f t="shared" si="4"/>
        <v>86.626438888888885</v>
      </c>
      <c r="N13">
        <f t="shared" si="5"/>
        <v>185.31088333333332</v>
      </c>
      <c r="O13" s="284">
        <f t="shared" si="6"/>
        <v>4.0834561557881059</v>
      </c>
      <c r="P13" s="284">
        <f t="shared" si="7"/>
        <v>8.7353108010433349</v>
      </c>
      <c r="W13" s="85">
        <v>45135.5</v>
      </c>
    </row>
    <row r="14" spans="1:24">
      <c r="A14" s="450">
        <v>30890</v>
      </c>
      <c r="B14" s="450" t="s">
        <v>2272</v>
      </c>
      <c r="C14" s="443" t="s">
        <v>26</v>
      </c>
      <c r="D14" s="450">
        <v>11</v>
      </c>
      <c r="E14" s="450" t="s">
        <v>2313</v>
      </c>
      <c r="F14" s="450">
        <v>0.3</v>
      </c>
      <c r="G14" s="451"/>
      <c r="H14" s="43">
        <f t="shared" si="0"/>
        <v>0</v>
      </c>
      <c r="J14">
        <f t="shared" si="1"/>
        <v>-0.38888888888888901</v>
      </c>
      <c r="K14">
        <f t="shared" si="2"/>
        <v>-3.8888888888888905E-3</v>
      </c>
      <c r="L14">
        <f t="shared" si="3"/>
        <v>-4.8611111111111129E-3</v>
      </c>
      <c r="M14">
        <f t="shared" si="4"/>
        <v>-0.13654861111111116</v>
      </c>
      <c r="N14">
        <f t="shared" si="5"/>
        <v>-0.29210416666666678</v>
      </c>
      <c r="O14" s="284" t="e">
        <f t="shared" si="6"/>
        <v>#DIV/0!</v>
      </c>
      <c r="P14" s="284" t="e">
        <f t="shared" si="7"/>
        <v>#DIV/0!</v>
      </c>
    </row>
    <row r="15" spans="1:24" s="391" customFormat="1" ht="15.75" thickBot="1">
      <c r="A15" s="454">
        <v>30891</v>
      </c>
      <c r="B15" s="454" t="s">
        <v>2273</v>
      </c>
      <c r="C15" s="445" t="s">
        <v>26</v>
      </c>
      <c r="D15" s="454">
        <v>12</v>
      </c>
      <c r="E15" s="454" t="s">
        <v>2313</v>
      </c>
      <c r="F15" s="454">
        <v>379.1</v>
      </c>
      <c r="G15" s="455">
        <v>3.0914999999999999</v>
      </c>
      <c r="H15" s="88">
        <f t="shared" si="0"/>
        <v>3091.5</v>
      </c>
      <c r="J15" s="391">
        <f t="shared" si="1"/>
        <v>378.41111111111115</v>
      </c>
      <c r="K15" s="391">
        <f t="shared" si="2"/>
        <v>3.7841111111111116</v>
      </c>
      <c r="L15" s="391">
        <f t="shared" si="3"/>
        <v>4.7301388888888898</v>
      </c>
      <c r="M15" s="391">
        <f t="shared" si="4"/>
        <v>132.86960138888892</v>
      </c>
      <c r="N15" s="391">
        <f t="shared" si="5"/>
        <v>284.23404583333343</v>
      </c>
      <c r="O15" s="284">
        <f t="shared" si="6"/>
        <v>4.2979007403813334</v>
      </c>
      <c r="P15" s="284">
        <f t="shared" si="7"/>
        <v>9.1940496792279927</v>
      </c>
      <c r="Q15"/>
      <c r="R15">
        <f>((O15-AVERAGE(O$15,O$27,O$39,O$51,O$63,O$75,O$99,O$87,O$109))/AVERAGE(O$15,O$27,O$39,O$51,O$99,O$63,O$75,O$87,O$109)) *100</f>
        <v>1.4601655181594635</v>
      </c>
      <c r="S15"/>
      <c r="T15"/>
      <c r="U15"/>
      <c r="V15"/>
      <c r="X15"/>
    </row>
    <row r="16" spans="1:24" ht="15.75" thickTop="1">
      <c r="A16" s="450">
        <v>30892</v>
      </c>
      <c r="B16" s="450" t="s">
        <v>2271</v>
      </c>
      <c r="C16" s="446" t="s">
        <v>2260</v>
      </c>
      <c r="D16" s="450">
        <v>13</v>
      </c>
      <c r="E16" s="450" t="s">
        <v>2313</v>
      </c>
      <c r="F16" s="450">
        <v>275.10000000000002</v>
      </c>
      <c r="G16" s="452">
        <v>2.1255000000000002</v>
      </c>
      <c r="H16" s="43">
        <f t="shared" si="0"/>
        <v>2125.5</v>
      </c>
      <c r="J16">
        <f t="shared" si="1"/>
        <v>274.41111111111115</v>
      </c>
      <c r="K16">
        <f t="shared" si="2"/>
        <v>2.7441111111111116</v>
      </c>
      <c r="L16">
        <f t="shared" si="3"/>
        <v>3.4301388888888895</v>
      </c>
      <c r="M16">
        <f t="shared" si="4"/>
        <v>96.3526013888889</v>
      </c>
      <c r="N16">
        <f t="shared" si="5"/>
        <v>206.11704583333338</v>
      </c>
      <c r="O16" s="284">
        <f t="shared" si="6"/>
        <v>4.5331734363156384</v>
      </c>
      <c r="P16" s="284">
        <f t="shared" si="7"/>
        <v>9.6973439582843266</v>
      </c>
      <c r="Q16">
        <f t="shared" ref="Q16" si="17">((O16-O17)/AVERAGE(O16:O17))*100</f>
        <v>0.27212480624861779</v>
      </c>
      <c r="T16">
        <f t="shared" ref="T16" si="18">AVERAGE(O16:O17)</f>
        <v>4.5270138724510112</v>
      </c>
      <c r="U16">
        <f t="shared" ref="U16" si="19">AVERAGE(P16:P17)</f>
        <v>9.6841674473329036</v>
      </c>
      <c r="W16" s="85">
        <v>45150.5</v>
      </c>
    </row>
    <row r="17" spans="1:28" s="444" customFormat="1">
      <c r="A17" s="450">
        <v>30893</v>
      </c>
      <c r="B17" s="450" t="s">
        <v>2271</v>
      </c>
      <c r="C17" s="443" t="s">
        <v>2261</v>
      </c>
      <c r="D17" s="450">
        <v>14</v>
      </c>
      <c r="E17" s="450" t="s">
        <v>2313</v>
      </c>
      <c r="F17" s="450">
        <v>372.4</v>
      </c>
      <c r="G17" s="451">
        <v>2.887</v>
      </c>
      <c r="H17" s="43">
        <f t="shared" si="0"/>
        <v>2887</v>
      </c>
      <c r="I17"/>
      <c r="J17">
        <f t="shared" si="1"/>
        <v>371.71111111111111</v>
      </c>
      <c r="K17">
        <f t="shared" si="2"/>
        <v>3.717111111111111</v>
      </c>
      <c r="L17">
        <f t="shared" si="3"/>
        <v>4.6463888888888887</v>
      </c>
      <c r="M17">
        <f t="shared" si="4"/>
        <v>130.51706388888888</v>
      </c>
      <c r="N17">
        <f t="shared" si="5"/>
        <v>279.20150833333332</v>
      </c>
      <c r="O17" s="284">
        <f t="shared" si="6"/>
        <v>4.520854308586383</v>
      </c>
      <c r="P17" s="284">
        <f t="shared" si="7"/>
        <v>9.6709909363814788</v>
      </c>
      <c r="Q17"/>
      <c r="R17"/>
      <c r="S17"/>
      <c r="T17"/>
      <c r="U17"/>
      <c r="V17"/>
      <c r="W17" s="85">
        <v>45150.5</v>
      </c>
      <c r="X17"/>
    </row>
    <row r="18" spans="1:28" s="444" customFormat="1">
      <c r="A18" s="450">
        <v>30894</v>
      </c>
      <c r="B18" s="450" t="s">
        <v>2271</v>
      </c>
      <c r="C18" s="443" t="s">
        <v>2285</v>
      </c>
      <c r="D18" s="450">
        <v>15</v>
      </c>
      <c r="E18" s="450" t="s">
        <v>2313</v>
      </c>
      <c r="F18" s="450">
        <v>315.5</v>
      </c>
      <c r="G18" s="451">
        <v>2.3597999999999999</v>
      </c>
      <c r="H18" s="43">
        <f t="shared" si="0"/>
        <v>2359.7999999999997</v>
      </c>
      <c r="I18"/>
      <c r="J18">
        <f t="shared" si="1"/>
        <v>314.81111111111113</v>
      </c>
      <c r="K18">
        <f t="shared" si="2"/>
        <v>3.1481111111111115</v>
      </c>
      <c r="L18">
        <f t="shared" si="3"/>
        <v>3.9351388888888894</v>
      </c>
      <c r="M18">
        <f t="shared" si="4"/>
        <v>110.5380513888889</v>
      </c>
      <c r="N18">
        <f t="shared" si="5"/>
        <v>236.46249583333338</v>
      </c>
      <c r="O18" s="284">
        <f t="shared" si="6"/>
        <v>4.6842127039956312</v>
      </c>
      <c r="P18" s="284">
        <f t="shared" si="7"/>
        <v>10.020446471452386</v>
      </c>
      <c r="Q18">
        <f t="shared" ref="Q18" si="20">((O18-O19)/AVERAGE(O18:O19))*100</f>
        <v>6.8304665969135939E-2</v>
      </c>
      <c r="R18"/>
      <c r="S18"/>
      <c r="T18" s="444">
        <f t="shared" ref="T18" si="21">AVERAGE(O18:O19)</f>
        <v>4.6826134822467935</v>
      </c>
      <c r="U18" s="444">
        <f t="shared" ref="U18" si="22">AVERAGE(P18:P19)</f>
        <v>10.017025423574577</v>
      </c>
      <c r="V18"/>
      <c r="W18" s="85">
        <v>45165.5</v>
      </c>
      <c r="X18"/>
    </row>
    <row r="19" spans="1:28">
      <c r="A19" s="450">
        <v>30895</v>
      </c>
      <c r="B19" s="450" t="s">
        <v>2271</v>
      </c>
      <c r="C19" s="443" t="s">
        <v>2286</v>
      </c>
      <c r="D19" s="450">
        <v>16</v>
      </c>
      <c r="E19" s="450" t="s">
        <v>2313</v>
      </c>
      <c r="F19" s="450">
        <v>399.3</v>
      </c>
      <c r="G19" s="451">
        <v>2.99</v>
      </c>
      <c r="H19" s="43">
        <f t="shared" si="0"/>
        <v>2990</v>
      </c>
      <c r="J19">
        <f t="shared" si="1"/>
        <v>398.61111111111114</v>
      </c>
      <c r="K19">
        <f t="shared" si="2"/>
        <v>3.9861111111111116</v>
      </c>
      <c r="L19">
        <f t="shared" si="3"/>
        <v>4.9826388888888893</v>
      </c>
      <c r="M19">
        <f t="shared" si="4"/>
        <v>139.9623263888889</v>
      </c>
      <c r="N19">
        <f t="shared" si="5"/>
        <v>299.40677083333338</v>
      </c>
      <c r="O19" s="284">
        <f t="shared" si="6"/>
        <v>4.6810142604979568</v>
      </c>
      <c r="P19" s="284">
        <f t="shared" si="7"/>
        <v>10.013604375696769</v>
      </c>
      <c r="T19" s="444"/>
      <c r="U19" s="444"/>
      <c r="W19" s="85">
        <v>45165.5</v>
      </c>
    </row>
    <row r="20" spans="1:28">
      <c r="A20" s="450">
        <v>30896</v>
      </c>
      <c r="B20" s="450" t="s">
        <v>2271</v>
      </c>
      <c r="C20" s="443" t="s">
        <v>2287</v>
      </c>
      <c r="D20" s="450">
        <v>17</v>
      </c>
      <c r="E20" s="450" t="s">
        <v>2313</v>
      </c>
      <c r="F20" s="450">
        <v>384.1</v>
      </c>
      <c r="G20" s="451">
        <v>2.1673</v>
      </c>
      <c r="H20" s="43">
        <f t="shared" si="0"/>
        <v>2167.3000000000002</v>
      </c>
      <c r="J20">
        <f t="shared" si="1"/>
        <v>383.41111111111115</v>
      </c>
      <c r="K20">
        <f t="shared" si="2"/>
        <v>3.8341111111111115</v>
      </c>
      <c r="L20">
        <f t="shared" si="3"/>
        <v>4.7926388888888898</v>
      </c>
      <c r="M20">
        <f t="shared" si="4"/>
        <v>134.6252263888889</v>
      </c>
      <c r="N20">
        <f t="shared" si="5"/>
        <v>287.98967083333338</v>
      </c>
      <c r="O20" s="284">
        <f t="shared" si="6"/>
        <v>6.2116562722691313</v>
      </c>
      <c r="P20" s="284">
        <f t="shared" si="7"/>
        <v>13.287946792476045</v>
      </c>
      <c r="Q20">
        <f t="shared" ref="Q20" si="23">((O20-O21)/AVERAGE(O20:O21))*100</f>
        <v>-0.36857103510375205</v>
      </c>
      <c r="T20">
        <f t="shared" ref="T20" si="24">AVERAGE(O20:O21)</f>
        <v>6.2231245896270231</v>
      </c>
      <c r="U20">
        <f t="shared" ref="U20" si="25">AVERAGE(P20:P21)</f>
        <v>13.31247976470943</v>
      </c>
      <c r="W20" s="85">
        <v>45180.5</v>
      </c>
    </row>
    <row r="21" spans="1:28">
      <c r="A21" s="450">
        <v>30897</v>
      </c>
      <c r="B21" s="450" t="s">
        <v>2271</v>
      </c>
      <c r="C21" s="443" t="s">
        <v>2288</v>
      </c>
      <c r="D21" s="450">
        <v>18</v>
      </c>
      <c r="E21" s="450" t="s">
        <v>2313</v>
      </c>
      <c r="F21" s="450">
        <v>365.7</v>
      </c>
      <c r="G21" s="451">
        <v>2.0556999999999999</v>
      </c>
      <c r="H21" s="43">
        <f t="shared" si="0"/>
        <v>2055.6999999999998</v>
      </c>
      <c r="J21">
        <f t="shared" si="1"/>
        <v>365.01111111111112</v>
      </c>
      <c r="K21">
        <f t="shared" si="2"/>
        <v>3.6501111111111113</v>
      </c>
      <c r="L21">
        <f t="shared" si="3"/>
        <v>4.5626388888888894</v>
      </c>
      <c r="M21">
        <f t="shared" si="4"/>
        <v>128.1645263888889</v>
      </c>
      <c r="N21">
        <f t="shared" si="5"/>
        <v>274.16897083333339</v>
      </c>
      <c r="O21" s="284">
        <f t="shared" si="6"/>
        <v>6.2345929069849158</v>
      </c>
      <c r="P21" s="284">
        <f t="shared" si="7"/>
        <v>13.337012736942814</v>
      </c>
      <c r="W21" s="85">
        <v>45180.5</v>
      </c>
      <c r="X21" s="458"/>
    </row>
    <row r="22" spans="1:28">
      <c r="A22" s="450">
        <v>30898</v>
      </c>
      <c r="B22" s="450" t="s">
        <v>2271</v>
      </c>
      <c r="C22" s="443" t="s">
        <v>2289</v>
      </c>
      <c r="D22" s="450">
        <v>19</v>
      </c>
      <c r="E22" s="450" t="s">
        <v>2313</v>
      </c>
      <c r="F22" s="450">
        <v>460.1</v>
      </c>
      <c r="G22" s="451">
        <v>2.7972000000000001</v>
      </c>
      <c r="H22" s="43">
        <f t="shared" si="0"/>
        <v>2797.2000000000003</v>
      </c>
      <c r="J22">
        <f t="shared" si="1"/>
        <v>459.41111111111115</v>
      </c>
      <c r="K22">
        <f t="shared" si="2"/>
        <v>4.5941111111111113</v>
      </c>
      <c r="L22">
        <f t="shared" si="3"/>
        <v>5.7426388888888891</v>
      </c>
      <c r="M22">
        <f t="shared" si="4"/>
        <v>161.3107263888889</v>
      </c>
      <c r="N22">
        <f t="shared" si="5"/>
        <v>345.07517083333335</v>
      </c>
      <c r="O22" s="284">
        <f t="shared" si="6"/>
        <v>5.766864235267013</v>
      </c>
      <c r="P22" s="284">
        <f t="shared" si="7"/>
        <v>12.336449693741359</v>
      </c>
      <c r="Q22">
        <f t="shared" ref="Q22" si="26">((O22-O23)/AVERAGE(O22:O23))*100</f>
        <v>-1.2276635171727037</v>
      </c>
      <c r="T22" s="444">
        <f t="shared" ref="T22" si="27">AVERAGE(O22:O23)</f>
        <v>5.8024817107940319</v>
      </c>
      <c r="U22" s="444">
        <f t="shared" ref="U22" si="28">AVERAGE(P22:P23)</f>
        <v>12.412642435087694</v>
      </c>
      <c r="W22" s="85">
        <v>45195.5</v>
      </c>
      <c r="Z22" s="29"/>
    </row>
    <row r="23" spans="1:28">
      <c r="A23" s="450">
        <v>30899</v>
      </c>
      <c r="B23" s="450" t="s">
        <v>2271</v>
      </c>
      <c r="C23" s="443" t="s">
        <v>2290</v>
      </c>
      <c r="D23" s="450">
        <v>20</v>
      </c>
      <c r="E23" s="450" t="s">
        <v>2313</v>
      </c>
      <c r="F23" s="450">
        <v>517.9</v>
      </c>
      <c r="G23" s="451">
        <v>3.1107</v>
      </c>
      <c r="H23" s="43">
        <f t="shared" si="0"/>
        <v>3110.7</v>
      </c>
      <c r="J23">
        <f t="shared" si="1"/>
        <v>517.21111111111111</v>
      </c>
      <c r="K23">
        <f t="shared" si="2"/>
        <v>5.1721111111111107</v>
      </c>
      <c r="L23">
        <f t="shared" si="3"/>
        <v>6.4651388888888883</v>
      </c>
      <c r="M23">
        <f t="shared" si="4"/>
        <v>181.60575138888888</v>
      </c>
      <c r="N23">
        <f t="shared" si="5"/>
        <v>388.4901958333333</v>
      </c>
      <c r="O23" s="284">
        <f t="shared" si="6"/>
        <v>5.8380991863210498</v>
      </c>
      <c r="P23" s="284">
        <f t="shared" si="7"/>
        <v>12.488835176434028</v>
      </c>
      <c r="T23" s="444"/>
      <c r="U23" s="444"/>
      <c r="W23" s="85">
        <v>45195.5</v>
      </c>
    </row>
    <row r="24" spans="1:28">
      <c r="A24" s="450">
        <v>30900</v>
      </c>
      <c r="B24" s="450" t="s">
        <v>2271</v>
      </c>
      <c r="C24" s="443" t="s">
        <v>2291</v>
      </c>
      <c r="D24" s="450">
        <v>21</v>
      </c>
      <c r="E24" s="450" t="s">
        <v>2313</v>
      </c>
      <c r="F24" s="450">
        <v>391.5</v>
      </c>
      <c r="G24" s="451">
        <v>2.9037999999999999</v>
      </c>
      <c r="H24" s="43">
        <f t="shared" si="0"/>
        <v>2903.7999999999997</v>
      </c>
      <c r="J24">
        <f t="shared" si="1"/>
        <v>390.81111111111113</v>
      </c>
      <c r="K24">
        <f t="shared" si="2"/>
        <v>3.9081111111111113</v>
      </c>
      <c r="L24">
        <f t="shared" si="3"/>
        <v>4.8851388888888891</v>
      </c>
      <c r="M24">
        <f t="shared" si="4"/>
        <v>137.22355138888889</v>
      </c>
      <c r="N24">
        <f t="shared" si="5"/>
        <v>293.54799583333335</v>
      </c>
      <c r="O24" s="284">
        <f t="shared" si="6"/>
        <v>4.7256543628655177</v>
      </c>
      <c r="P24" s="284">
        <f t="shared" si="7"/>
        <v>10.10909827926625</v>
      </c>
      <c r="Q24">
        <f t="shared" ref="Q24" si="29">((O24-O25)/AVERAGE(O24:O25))*100</f>
        <v>-1.5244354387505028</v>
      </c>
      <c r="T24">
        <f t="shared" ref="T24" si="30">AVERAGE(O24:O25)</f>
        <v>4.7619507956176461</v>
      </c>
      <c r="U24">
        <f t="shared" ref="U24" si="31">AVERAGE(P24:P25)</f>
        <v>10.186743442814681</v>
      </c>
      <c r="W24" s="85">
        <v>45210.5</v>
      </c>
      <c r="AB24" s="37"/>
    </row>
    <row r="25" spans="1:28">
      <c r="A25" s="450">
        <v>30901</v>
      </c>
      <c r="B25" s="450" t="s">
        <v>2271</v>
      </c>
      <c r="C25" s="443" t="s">
        <v>2292</v>
      </c>
      <c r="D25" s="450">
        <v>22</v>
      </c>
      <c r="E25" s="450" t="s">
        <v>2313</v>
      </c>
      <c r="F25" s="450">
        <v>290.89999999999998</v>
      </c>
      <c r="G25" s="451">
        <v>2.1236999999999999</v>
      </c>
      <c r="H25" s="43">
        <f t="shared" si="0"/>
        <v>2123.6999999999998</v>
      </c>
      <c r="J25">
        <f t="shared" si="1"/>
        <v>290.21111111111111</v>
      </c>
      <c r="K25">
        <f t="shared" si="2"/>
        <v>2.9021111111111111</v>
      </c>
      <c r="L25">
        <f t="shared" si="3"/>
        <v>3.6276388888888889</v>
      </c>
      <c r="M25">
        <f t="shared" si="4"/>
        <v>101.90037638888889</v>
      </c>
      <c r="N25">
        <f t="shared" si="5"/>
        <v>217.98482083333334</v>
      </c>
      <c r="O25" s="284">
        <f t="shared" si="6"/>
        <v>4.7982472283697746</v>
      </c>
      <c r="P25" s="284">
        <f t="shared" si="7"/>
        <v>10.264388606363111</v>
      </c>
      <c r="W25" s="85">
        <v>45210.5</v>
      </c>
      <c r="Z25" s="29"/>
    </row>
    <row r="26" spans="1:28">
      <c r="A26" s="450">
        <v>30902</v>
      </c>
      <c r="B26" s="450" t="s">
        <v>2274</v>
      </c>
      <c r="C26" s="443" t="s">
        <v>25</v>
      </c>
      <c r="D26" s="450">
        <v>23</v>
      </c>
      <c r="E26" s="450" t="s">
        <v>2313</v>
      </c>
      <c r="F26" s="450">
        <v>0.5</v>
      </c>
      <c r="G26" s="451"/>
      <c r="H26" s="43">
        <f t="shared" si="0"/>
        <v>0</v>
      </c>
      <c r="J26">
        <f t="shared" si="1"/>
        <v>-0.18888888888888899</v>
      </c>
      <c r="K26">
        <f t="shared" si="2"/>
        <v>-1.88888888888889E-3</v>
      </c>
      <c r="L26">
        <f t="shared" si="3"/>
        <v>-2.3611111111111124E-3</v>
      </c>
      <c r="M26">
        <f t="shared" si="4"/>
        <v>-6.6323611111111153E-2</v>
      </c>
      <c r="N26">
        <f t="shared" si="5"/>
        <v>-0.14187916666666675</v>
      </c>
      <c r="O26" s="284" t="e">
        <f t="shared" si="6"/>
        <v>#DIV/0!</v>
      </c>
      <c r="P26" s="284" t="e">
        <f t="shared" si="7"/>
        <v>#DIV/0!</v>
      </c>
      <c r="Z26" s="29"/>
    </row>
    <row r="27" spans="1:28" ht="15.75" thickBot="1">
      <c r="A27" s="454">
        <v>30903</v>
      </c>
      <c r="B27" s="454" t="s">
        <v>2273</v>
      </c>
      <c r="C27" s="445" t="s">
        <v>25</v>
      </c>
      <c r="D27" s="454">
        <v>24</v>
      </c>
      <c r="E27" s="454" t="s">
        <v>2313</v>
      </c>
      <c r="F27" s="454">
        <v>368.5</v>
      </c>
      <c r="G27" s="455">
        <v>3.0205000000000002</v>
      </c>
      <c r="H27" s="88">
        <f t="shared" si="0"/>
        <v>3020.5</v>
      </c>
      <c r="I27" s="391"/>
      <c r="J27" s="391">
        <f t="shared" si="1"/>
        <v>367.81111111111113</v>
      </c>
      <c r="K27" s="391">
        <f t="shared" si="2"/>
        <v>3.6781111111111113</v>
      </c>
      <c r="L27" s="391">
        <f t="shared" si="3"/>
        <v>4.5976388888888895</v>
      </c>
      <c r="M27" s="391">
        <f t="shared" si="4"/>
        <v>129.1476763888889</v>
      </c>
      <c r="N27" s="391">
        <f t="shared" si="5"/>
        <v>276.27212083333336</v>
      </c>
      <c r="O27" s="284">
        <f t="shared" si="6"/>
        <v>4.2757052272434661</v>
      </c>
      <c r="P27" s="284">
        <f t="shared" si="7"/>
        <v>9.1465691386635779</v>
      </c>
      <c r="R27">
        <f>((O27-AVERAGE(O$15,O$27,O$39,O$51,O$63,O$75,O$99,O$87,O$109))/AVERAGE(O$15,O$27,O$39,O$51,O$99,O$63,O$75,O$87,O$109)) *100</f>
        <v>0.93619798778585839</v>
      </c>
    </row>
    <row r="28" spans="1:28" ht="15.75" thickTop="1">
      <c r="A28" s="450">
        <v>30904</v>
      </c>
      <c r="B28" s="450" t="s">
        <v>2271</v>
      </c>
      <c r="C28" s="446" t="s">
        <v>2258</v>
      </c>
      <c r="D28" s="450">
        <v>25</v>
      </c>
      <c r="E28" s="450" t="s">
        <v>2313</v>
      </c>
      <c r="F28" s="450">
        <v>373.9</v>
      </c>
      <c r="G28" s="452">
        <v>2.6278000000000001</v>
      </c>
      <c r="H28" s="43">
        <f t="shared" si="0"/>
        <v>2627.8</v>
      </c>
      <c r="J28">
        <f t="shared" si="1"/>
        <v>373.21111111111111</v>
      </c>
      <c r="K28">
        <f t="shared" si="2"/>
        <v>3.7321111111111112</v>
      </c>
      <c r="L28">
        <f t="shared" si="3"/>
        <v>4.6651388888888885</v>
      </c>
      <c r="M28">
        <f t="shared" si="4"/>
        <v>131.04375138888886</v>
      </c>
      <c r="N28">
        <f t="shared" si="5"/>
        <v>280.32819583333333</v>
      </c>
      <c r="O28" s="284">
        <f t="shared" si="6"/>
        <v>4.9868236315126291</v>
      </c>
      <c r="P28" s="284">
        <f t="shared" si="7"/>
        <v>10.667790388664788</v>
      </c>
      <c r="Q28">
        <f t="shared" ref="Q28" si="32">((O28-O29)/AVERAGE(O28:O29))*100</f>
        <v>0.35470427579287606</v>
      </c>
      <c r="T28">
        <f t="shared" ref="T28" si="33">AVERAGE(O28:O29)</f>
        <v>4.9779950508655402</v>
      </c>
      <c r="U28">
        <f t="shared" ref="U28" si="34">AVERAGE(P28:P29)</f>
        <v>10.648904329174449</v>
      </c>
      <c r="W28" s="85">
        <v>45225.5</v>
      </c>
    </row>
    <row r="29" spans="1:28">
      <c r="A29" s="450">
        <v>30905</v>
      </c>
      <c r="B29" s="450" t="s">
        <v>2271</v>
      </c>
      <c r="C29" s="443" t="s">
        <v>2259</v>
      </c>
      <c r="D29" s="450">
        <v>26</v>
      </c>
      <c r="E29" s="450" t="s">
        <v>2313</v>
      </c>
      <c r="F29" s="450">
        <v>380.9</v>
      </c>
      <c r="G29" s="451">
        <v>2.6865999999999999</v>
      </c>
      <c r="H29" s="43">
        <f t="shared" si="0"/>
        <v>2686.6</v>
      </c>
      <c r="J29">
        <f t="shared" si="1"/>
        <v>380.21111111111111</v>
      </c>
      <c r="K29">
        <f t="shared" si="2"/>
        <v>3.802111111111111</v>
      </c>
      <c r="L29">
        <f t="shared" si="3"/>
        <v>4.7526388888888889</v>
      </c>
      <c r="M29">
        <f t="shared" si="4"/>
        <v>133.50162638888889</v>
      </c>
      <c r="N29">
        <f t="shared" si="5"/>
        <v>285.58607083333334</v>
      </c>
      <c r="O29" s="284">
        <f t="shared" si="6"/>
        <v>4.9691664702184513</v>
      </c>
      <c r="P29" s="284">
        <f t="shared" si="7"/>
        <v>10.630018269684111</v>
      </c>
      <c r="W29" s="85">
        <v>45225.5</v>
      </c>
    </row>
    <row r="30" spans="1:28">
      <c r="A30" s="450">
        <v>30906</v>
      </c>
      <c r="B30" s="450" t="s">
        <v>2271</v>
      </c>
      <c r="C30" s="443" t="s">
        <v>2262</v>
      </c>
      <c r="D30" s="450">
        <v>27</v>
      </c>
      <c r="E30" s="450" t="s">
        <v>2313</v>
      </c>
      <c r="F30" s="450">
        <v>353</v>
      </c>
      <c r="G30" s="451">
        <v>2.0874000000000001</v>
      </c>
      <c r="H30" s="43">
        <f t="shared" si="0"/>
        <v>2087.4</v>
      </c>
      <c r="J30">
        <f t="shared" si="1"/>
        <v>352.31111111111113</v>
      </c>
      <c r="K30">
        <f t="shared" si="2"/>
        <v>3.5231111111111115</v>
      </c>
      <c r="L30">
        <f t="shared" si="3"/>
        <v>4.4038888888888899</v>
      </c>
      <c r="M30">
        <f t="shared" si="4"/>
        <v>123.70523888888891</v>
      </c>
      <c r="N30">
        <f t="shared" si="5"/>
        <v>264.62968333333339</v>
      </c>
      <c r="O30" s="284">
        <f t="shared" si="6"/>
        <v>5.9262833615449315</v>
      </c>
      <c r="P30" s="284">
        <f t="shared" si="7"/>
        <v>12.677478362236915</v>
      </c>
      <c r="Q30">
        <f t="shared" ref="Q30" si="35">((O30-O31)/AVERAGE(O30:O31))*100</f>
        <v>0.48260337687029531</v>
      </c>
      <c r="T30" s="444">
        <f t="shared" ref="T30" si="36">AVERAGE(O30:O31)</f>
        <v>5.9120175633439995</v>
      </c>
      <c r="U30" s="444">
        <f t="shared" ref="U30" si="37">AVERAGE(P30:P31)</f>
        <v>12.646961031731612</v>
      </c>
      <c r="W30" s="85">
        <v>45240.5</v>
      </c>
    </row>
    <row r="31" spans="1:28">
      <c r="A31" s="450">
        <v>30907</v>
      </c>
      <c r="B31" s="450" t="s">
        <v>2271</v>
      </c>
      <c r="C31" s="443" t="s">
        <v>2263</v>
      </c>
      <c r="D31" s="450">
        <v>28</v>
      </c>
      <c r="E31" s="450" t="s">
        <v>2313</v>
      </c>
      <c r="F31" s="450">
        <v>342.2</v>
      </c>
      <c r="G31" s="451">
        <v>2.0331999999999999</v>
      </c>
      <c r="H31" s="43">
        <f t="shared" si="0"/>
        <v>2033.1999999999998</v>
      </c>
      <c r="J31">
        <f t="shared" si="1"/>
        <v>341.51111111111112</v>
      </c>
      <c r="K31">
        <f t="shared" si="2"/>
        <v>3.415111111111111</v>
      </c>
      <c r="L31">
        <f t="shared" si="3"/>
        <v>4.2688888888888883</v>
      </c>
      <c r="M31">
        <f t="shared" si="4"/>
        <v>119.91308888888886</v>
      </c>
      <c r="N31">
        <f t="shared" si="5"/>
        <v>256.51753333333329</v>
      </c>
      <c r="O31" s="284">
        <f t="shared" si="6"/>
        <v>5.8977517651430684</v>
      </c>
      <c r="P31" s="284">
        <f t="shared" si="7"/>
        <v>12.616443701226309</v>
      </c>
      <c r="T31" s="444"/>
      <c r="U31" s="444"/>
      <c r="W31" s="85">
        <v>45240.5</v>
      </c>
    </row>
    <row r="32" spans="1:28" s="444" customFormat="1">
      <c r="A32" s="450">
        <v>30908</v>
      </c>
      <c r="B32" s="450" t="s">
        <v>2271</v>
      </c>
      <c r="C32" s="443" t="s">
        <v>2293</v>
      </c>
      <c r="D32" s="450">
        <v>29</v>
      </c>
      <c r="E32" s="450" t="s">
        <v>2313</v>
      </c>
      <c r="F32" s="450">
        <v>608.6</v>
      </c>
      <c r="G32" s="451">
        <v>2.4965999999999999</v>
      </c>
      <c r="H32" s="43">
        <f t="shared" si="0"/>
        <v>2496.6</v>
      </c>
      <c r="I32"/>
      <c r="J32">
        <f t="shared" si="1"/>
        <v>607.91111111111115</v>
      </c>
      <c r="K32">
        <f t="shared" si="2"/>
        <v>6.0791111111111116</v>
      </c>
      <c r="L32">
        <f t="shared" si="3"/>
        <v>7.5988888888888892</v>
      </c>
      <c r="M32">
        <f t="shared" si="4"/>
        <v>213.4527888888889</v>
      </c>
      <c r="N32">
        <f t="shared" si="5"/>
        <v>456.61723333333339</v>
      </c>
      <c r="O32" s="284">
        <f t="shared" si="6"/>
        <v>8.5497392008687374</v>
      </c>
      <c r="P32" s="284">
        <f t="shared" si="7"/>
        <v>18.289563139202652</v>
      </c>
      <c r="Q32">
        <f t="shared" ref="Q32" si="38">((O32-O33)/AVERAGE(O32:O33))*100</f>
        <v>-0.39714968781767257</v>
      </c>
      <c r="R32"/>
      <c r="S32"/>
      <c r="T32">
        <f t="shared" ref="T32" si="39">AVERAGE(O32:O33)</f>
        <v>8.5667506125256203</v>
      </c>
      <c r="U32">
        <f t="shared" ref="U32" si="40">AVERAGE(P32:P33)</f>
        <v>18.32595387350176</v>
      </c>
      <c r="V32"/>
      <c r="W32" s="85">
        <v>45255.5</v>
      </c>
      <c r="X32"/>
      <c r="Z32"/>
      <c r="AA32"/>
      <c r="AB32" s="37"/>
    </row>
    <row r="33" spans="1:28" s="444" customFormat="1">
      <c r="A33" s="450">
        <v>30909</v>
      </c>
      <c r="B33" s="450" t="s">
        <v>2271</v>
      </c>
      <c r="C33" s="443" t="s">
        <v>2294</v>
      </c>
      <c r="D33" s="450">
        <v>30</v>
      </c>
      <c r="E33" s="450" t="s">
        <v>2313</v>
      </c>
      <c r="F33" s="450">
        <v>567.70000000000005</v>
      </c>
      <c r="G33" s="451">
        <v>2.3193999999999999</v>
      </c>
      <c r="H33" s="43">
        <f t="shared" si="0"/>
        <v>2319.4</v>
      </c>
      <c r="I33"/>
      <c r="J33">
        <f t="shared" si="1"/>
        <v>567.01111111111118</v>
      </c>
      <c r="K33">
        <f t="shared" si="2"/>
        <v>5.6701111111111118</v>
      </c>
      <c r="L33">
        <f t="shared" si="3"/>
        <v>7.0876388888888897</v>
      </c>
      <c r="M33">
        <f t="shared" si="4"/>
        <v>199.09177638888892</v>
      </c>
      <c r="N33">
        <f t="shared" si="5"/>
        <v>425.89622083333342</v>
      </c>
      <c r="O33" s="284">
        <f t="shared" si="6"/>
        <v>8.5837620241825014</v>
      </c>
      <c r="P33" s="284">
        <f t="shared" si="7"/>
        <v>18.362344607800871</v>
      </c>
      <c r="Q33"/>
      <c r="R33"/>
      <c r="S33"/>
      <c r="T33"/>
      <c r="U33"/>
      <c r="V33"/>
      <c r="W33" s="85">
        <v>45255.5</v>
      </c>
      <c r="X33"/>
      <c r="Z33"/>
    </row>
    <row r="34" spans="1:28">
      <c r="A34" s="450">
        <v>30910</v>
      </c>
      <c r="B34" s="450" t="s">
        <v>2271</v>
      </c>
      <c r="C34" s="443" t="s">
        <v>2295</v>
      </c>
      <c r="D34" s="450">
        <v>31</v>
      </c>
      <c r="E34" s="450" t="s">
        <v>2313</v>
      </c>
      <c r="F34" s="450">
        <v>551.20000000000005</v>
      </c>
      <c r="G34" s="451">
        <v>2.3346</v>
      </c>
      <c r="H34" s="43">
        <f t="shared" si="0"/>
        <v>2334.6</v>
      </c>
      <c r="J34">
        <f t="shared" si="1"/>
        <v>550.51111111111118</v>
      </c>
      <c r="K34">
        <f t="shared" si="2"/>
        <v>5.5051111111111117</v>
      </c>
      <c r="L34">
        <f t="shared" si="3"/>
        <v>6.8813888888888899</v>
      </c>
      <c r="M34">
        <f t="shared" si="4"/>
        <v>193.29821388888891</v>
      </c>
      <c r="N34">
        <f t="shared" si="5"/>
        <v>413.50265833333344</v>
      </c>
      <c r="O34" s="284">
        <f t="shared" si="6"/>
        <v>8.2797144645287819</v>
      </c>
      <c r="P34" s="284">
        <f t="shared" si="7"/>
        <v>17.711927453668014</v>
      </c>
      <c r="Q34">
        <f t="shared" ref="Q34" si="41">((O34-O35)/AVERAGE(O34:O35))*100</f>
        <v>-1.57311590857796</v>
      </c>
      <c r="T34" s="444">
        <f t="shared" ref="T34" si="42">AVERAGE(O34:O35)</f>
        <v>8.3453555222023592</v>
      </c>
      <c r="U34" s="444">
        <f t="shared" ref="U34" si="43">AVERAGE(P34:P35)</f>
        <v>17.852346505131358</v>
      </c>
      <c r="W34" s="85">
        <v>45270.5</v>
      </c>
    </row>
    <row r="35" spans="1:28">
      <c r="A35" s="450">
        <v>30911</v>
      </c>
      <c r="B35" s="450" t="s">
        <v>2271</v>
      </c>
      <c r="C35" s="443" t="s">
        <v>2296</v>
      </c>
      <c r="D35" s="450">
        <v>32</v>
      </c>
      <c r="E35" s="450" t="s">
        <v>2313</v>
      </c>
      <c r="F35" s="450">
        <v>589.79999999999995</v>
      </c>
      <c r="G35" s="451">
        <v>2.4592999999999998</v>
      </c>
      <c r="H35" s="43">
        <f t="shared" si="0"/>
        <v>2459.2999999999997</v>
      </c>
      <c r="J35">
        <f t="shared" si="1"/>
        <v>589.11111111111109</v>
      </c>
      <c r="K35">
        <f t="shared" si="2"/>
        <v>5.8911111111111119</v>
      </c>
      <c r="L35">
        <f t="shared" si="3"/>
        <v>7.3638888888888898</v>
      </c>
      <c r="M35">
        <f t="shared" si="4"/>
        <v>206.85163888888891</v>
      </c>
      <c r="N35">
        <f t="shared" si="5"/>
        <v>442.49608333333339</v>
      </c>
      <c r="O35" s="284">
        <f t="shared" si="6"/>
        <v>8.4109965798759365</v>
      </c>
      <c r="P35" s="284">
        <f t="shared" si="7"/>
        <v>17.992765556594701</v>
      </c>
      <c r="T35" s="444"/>
      <c r="U35" s="444"/>
      <c r="W35" s="85">
        <v>45270.5</v>
      </c>
    </row>
    <row r="36" spans="1:28">
      <c r="A36" s="450">
        <v>30912</v>
      </c>
      <c r="B36" s="450" t="s">
        <v>2271</v>
      </c>
      <c r="C36" s="443" t="s">
        <v>2264</v>
      </c>
      <c r="D36" s="450">
        <v>33</v>
      </c>
      <c r="E36" s="450" t="s">
        <v>2313</v>
      </c>
      <c r="F36" s="450">
        <v>375.8</v>
      </c>
      <c r="G36" s="451">
        <v>2.2044000000000001</v>
      </c>
      <c r="H36" s="43">
        <f t="shared" si="0"/>
        <v>2204.4</v>
      </c>
      <c r="J36">
        <f t="shared" si="1"/>
        <v>375.11111111111114</v>
      </c>
      <c r="K36">
        <f>(J36/1000)*10</f>
        <v>3.7511111111111113</v>
      </c>
      <c r="L36">
        <f>K36*(5/4)</f>
        <v>4.6888888888888891</v>
      </c>
      <c r="M36">
        <f t="shared" si="4"/>
        <v>131.71088888888889</v>
      </c>
      <c r="N36">
        <f t="shared" si="5"/>
        <v>281.75533333333334</v>
      </c>
      <c r="O36" s="284">
        <f t="shared" si="6"/>
        <v>5.9749087683219422</v>
      </c>
      <c r="P36" s="284">
        <f t="shared" si="7"/>
        <v>12.781497610838926</v>
      </c>
      <c r="Q36" s="457">
        <f>((O36-O37)/AVERAGE(O36:O37))*100</f>
        <v>66.213990770674215</v>
      </c>
      <c r="T36">
        <f t="shared" ref="T36" si="44">AVERAGE(O36:O37)</f>
        <v>4.4888014720976344</v>
      </c>
      <c r="U36">
        <f t="shared" ref="U36" si="45">AVERAGE(P36:P37)</f>
        <v>9.6024236546225286</v>
      </c>
      <c r="W36" s="85">
        <v>45285.5</v>
      </c>
    </row>
    <row r="37" spans="1:28">
      <c r="A37" s="450">
        <v>30913</v>
      </c>
      <c r="B37" s="450" t="s">
        <v>2271</v>
      </c>
      <c r="C37" s="443" t="s">
        <v>2265</v>
      </c>
      <c r="D37" s="450">
        <v>34</v>
      </c>
      <c r="E37" s="450" t="s">
        <v>2313</v>
      </c>
      <c r="F37" s="450">
        <v>228</v>
      </c>
      <c r="G37" s="451">
        <v>2.6581000000000001</v>
      </c>
      <c r="H37" s="43">
        <f t="shared" si="0"/>
        <v>2658.1</v>
      </c>
      <c r="J37">
        <f t="shared" si="1"/>
        <v>227.3111111111111</v>
      </c>
      <c r="K37">
        <f>(J37/1000)*10</f>
        <v>2.2731111111111111</v>
      </c>
      <c r="L37">
        <f>K37*(5/4)</f>
        <v>2.841388888888889</v>
      </c>
      <c r="M37">
        <f t="shared" si="4"/>
        <v>79.814613888888886</v>
      </c>
      <c r="N37">
        <f t="shared" si="5"/>
        <v>170.73905833333336</v>
      </c>
      <c r="O37" s="284">
        <f t="shared" si="6"/>
        <v>3.0026941758733265</v>
      </c>
      <c r="P37" s="284">
        <f t="shared" si="7"/>
        <v>6.4233496984061302</v>
      </c>
      <c r="Q37" s="457" t="s">
        <v>2318</v>
      </c>
      <c r="W37" s="85">
        <v>45285.5</v>
      </c>
    </row>
    <row r="38" spans="1:28">
      <c r="A38" s="450">
        <v>30914</v>
      </c>
      <c r="B38" s="450" t="s">
        <v>2274</v>
      </c>
      <c r="C38" s="443" t="s">
        <v>24</v>
      </c>
      <c r="D38" s="450">
        <v>35</v>
      </c>
      <c r="E38" s="450" t="s">
        <v>2313</v>
      </c>
      <c r="F38" s="450">
        <v>1.2</v>
      </c>
      <c r="G38" s="451"/>
      <c r="H38" s="43">
        <f t="shared" si="0"/>
        <v>0</v>
      </c>
      <c r="J38">
        <f t="shared" si="1"/>
        <v>0.51111111111111096</v>
      </c>
      <c r="K38">
        <f t="shared" si="2"/>
        <v>5.1111111111111097E-3</v>
      </c>
      <c r="L38">
        <f t="shared" si="3"/>
        <v>6.3888888888888867E-3</v>
      </c>
      <c r="M38">
        <f t="shared" si="4"/>
        <v>0.17946388888888881</v>
      </c>
      <c r="N38">
        <f t="shared" si="5"/>
        <v>0.38390833333333324</v>
      </c>
      <c r="O38" s="284" t="e">
        <f t="shared" si="6"/>
        <v>#DIV/0!</v>
      </c>
      <c r="P38" s="284" t="e">
        <f t="shared" si="7"/>
        <v>#DIV/0!</v>
      </c>
    </row>
    <row r="39" spans="1:28" s="444" customFormat="1" ht="15.75" thickBot="1">
      <c r="A39" s="454">
        <v>30915</v>
      </c>
      <c r="B39" s="454" t="s">
        <v>2273</v>
      </c>
      <c r="C39" s="445" t="s">
        <v>24</v>
      </c>
      <c r="D39" s="454">
        <v>36</v>
      </c>
      <c r="E39" s="454" t="s">
        <v>2313</v>
      </c>
      <c r="F39" s="454">
        <v>295.39999999999998</v>
      </c>
      <c r="G39" s="455">
        <v>2.4333999999999998</v>
      </c>
      <c r="H39" s="88">
        <f t="shared" si="0"/>
        <v>2433.3999999999996</v>
      </c>
      <c r="I39" s="391"/>
      <c r="J39" s="391">
        <f t="shared" si="1"/>
        <v>294.71111111111111</v>
      </c>
      <c r="K39" s="391">
        <f t="shared" si="2"/>
        <v>2.947111111111111</v>
      </c>
      <c r="L39" s="391">
        <f t="shared" si="3"/>
        <v>3.6838888888888888</v>
      </c>
      <c r="M39" s="391">
        <f t="shared" si="4"/>
        <v>103.48043888888888</v>
      </c>
      <c r="N39" s="391">
        <f t="shared" si="5"/>
        <v>221.36488333333335</v>
      </c>
      <c r="O39" s="284">
        <f t="shared" si="6"/>
        <v>4.2525042692894264</v>
      </c>
      <c r="P39" s="284">
        <f t="shared" si="7"/>
        <v>9.0969377551299981</v>
      </c>
      <c r="Q39"/>
      <c r="R39">
        <f>((O39-AVERAGE(O$15,O$27,O$39,O$51,O$63,O$75,O$99,O$87,O$109))/AVERAGE(O$15,O$27,O$39,O$51,O$99,O$63,O$75,O$87,O$109)) *100</f>
        <v>0.38849500989254515</v>
      </c>
      <c r="S39"/>
      <c r="T39"/>
      <c r="U39"/>
      <c r="V39"/>
      <c r="X39"/>
      <c r="Z39"/>
    </row>
    <row r="40" spans="1:28" s="444" customFormat="1" ht="15.75" thickTop="1">
      <c r="A40" s="450">
        <v>30916</v>
      </c>
      <c r="B40" s="450" t="s">
        <v>2271</v>
      </c>
      <c r="C40" s="446" t="s">
        <v>2297</v>
      </c>
      <c r="D40" s="450">
        <v>37</v>
      </c>
      <c r="E40" s="450" t="s">
        <v>2313</v>
      </c>
      <c r="F40" s="450">
        <v>406.8</v>
      </c>
      <c r="G40" s="452">
        <v>2.3041999999999998</v>
      </c>
      <c r="H40" s="43">
        <f t="shared" si="0"/>
        <v>2304.1999999999998</v>
      </c>
      <c r="I40"/>
      <c r="J40">
        <f t="shared" si="1"/>
        <v>406.11111111111114</v>
      </c>
      <c r="K40">
        <f t="shared" si="2"/>
        <v>4.0611111111111118</v>
      </c>
      <c r="L40">
        <f t="shared" si="3"/>
        <v>5.0763888888888893</v>
      </c>
      <c r="M40">
        <f t="shared" si="4"/>
        <v>142.59576388888891</v>
      </c>
      <c r="N40">
        <f t="shared" si="5"/>
        <v>305.0402083333334</v>
      </c>
      <c r="O40" s="284">
        <f t="shared" si="6"/>
        <v>6.188515054634534</v>
      </c>
      <c r="P40" s="284">
        <f t="shared" si="7"/>
        <v>13.238443205161593</v>
      </c>
      <c r="Q40">
        <f t="shared" ref="Q40" si="46">((O40-O41)/AVERAGE(O40:O41))*100</f>
        <v>-7.7541941550734336E-2</v>
      </c>
      <c r="R40"/>
      <c r="S40"/>
      <c r="T40">
        <f t="shared" ref="T40" si="47">AVERAGE(O40:O41)</f>
        <v>6.1909153326088671</v>
      </c>
      <c r="U40">
        <f t="shared" ref="U40" si="48">AVERAGE(P40:P41)</f>
        <v>13.243577868866744</v>
      </c>
      <c r="V40"/>
      <c r="W40" s="85">
        <v>45300.5</v>
      </c>
      <c r="X40"/>
      <c r="Z40"/>
    </row>
    <row r="41" spans="1:28">
      <c r="A41" s="450">
        <v>30917</v>
      </c>
      <c r="B41" s="450" t="s">
        <v>2271</v>
      </c>
      <c r="C41" s="443" t="s">
        <v>2298</v>
      </c>
      <c r="D41" s="450">
        <v>38</v>
      </c>
      <c r="E41" s="450" t="s">
        <v>2313</v>
      </c>
      <c r="F41" s="450">
        <v>377.5</v>
      </c>
      <c r="G41" s="451">
        <v>2.1362999999999999</v>
      </c>
      <c r="H41" s="43">
        <f t="shared" si="0"/>
        <v>2136.2999999999997</v>
      </c>
      <c r="J41">
        <f t="shared" si="1"/>
        <v>376.81111111111113</v>
      </c>
      <c r="K41">
        <f t="shared" si="2"/>
        <v>3.7681111111111116</v>
      </c>
      <c r="L41">
        <f t="shared" si="3"/>
        <v>4.7101388888888893</v>
      </c>
      <c r="M41">
        <f t="shared" si="4"/>
        <v>132.30780138888889</v>
      </c>
      <c r="N41">
        <f t="shared" si="5"/>
        <v>283.03224583333338</v>
      </c>
      <c r="O41" s="284">
        <f t="shared" si="6"/>
        <v>6.193315610583201</v>
      </c>
      <c r="P41" s="284">
        <f t="shared" si="7"/>
        <v>13.248712532571897</v>
      </c>
      <c r="W41" s="85">
        <v>45300.5</v>
      </c>
    </row>
    <row r="42" spans="1:28" ht="15.75" thickBot="1">
      <c r="A42" s="450">
        <v>30918</v>
      </c>
      <c r="B42" s="450" t="s">
        <v>2271</v>
      </c>
      <c r="C42" s="443" t="s">
        <v>2299</v>
      </c>
      <c r="D42" s="450">
        <v>39</v>
      </c>
      <c r="E42" s="450" t="s">
        <v>2313</v>
      </c>
      <c r="F42" s="450">
        <v>340.4</v>
      </c>
      <c r="G42" s="451">
        <v>2.7086999999999999</v>
      </c>
      <c r="H42" s="43">
        <f t="shared" si="0"/>
        <v>2708.7</v>
      </c>
      <c r="J42">
        <f t="shared" si="1"/>
        <v>339.71111111111111</v>
      </c>
      <c r="K42">
        <f t="shared" si="2"/>
        <v>3.3971111111111112</v>
      </c>
      <c r="L42">
        <f t="shared" si="3"/>
        <v>4.2463888888888892</v>
      </c>
      <c r="M42">
        <f t="shared" si="4"/>
        <v>119.28106388888889</v>
      </c>
      <c r="N42">
        <f t="shared" si="5"/>
        <v>255.16550833333338</v>
      </c>
      <c r="O42" s="284">
        <f t="shared" si="6"/>
        <v>4.4036277139915416</v>
      </c>
      <c r="P42" s="284">
        <f t="shared" si="7"/>
        <v>9.4202203394002062</v>
      </c>
      <c r="Q42">
        <f t="shared" ref="Q42" si="49">((O42-O43)/AVERAGE(O42:O43))*100</f>
        <v>-1.7768420008491892</v>
      </c>
      <c r="T42" s="444">
        <f t="shared" ref="T42" si="50">AVERAGE(O42:O43)</f>
        <v>4.4431011577470745</v>
      </c>
      <c r="U42" s="444">
        <f t="shared" ref="U42" si="51">AVERAGE(P42:P43)</f>
        <v>9.5046617504101736</v>
      </c>
      <c r="V42" s="268"/>
      <c r="W42" s="305">
        <v>45315.5</v>
      </c>
      <c r="Y42" s="37"/>
    </row>
    <row r="43" spans="1:28">
      <c r="A43" s="450">
        <v>30919</v>
      </c>
      <c r="B43" s="450" t="s">
        <v>2271</v>
      </c>
      <c r="C43" s="443" t="s">
        <v>2300</v>
      </c>
      <c r="D43" s="450">
        <v>40</v>
      </c>
      <c r="E43" s="450" t="s">
        <v>2313</v>
      </c>
      <c r="F43" s="450">
        <v>315.8</v>
      </c>
      <c r="G43" s="451">
        <v>2.4683000000000002</v>
      </c>
      <c r="H43" s="43">
        <f t="shared" si="0"/>
        <v>2468.3000000000002</v>
      </c>
      <c r="J43">
        <f t="shared" si="1"/>
        <v>315.11111111111114</v>
      </c>
      <c r="K43">
        <f t="shared" si="2"/>
        <v>3.1511111111111112</v>
      </c>
      <c r="L43">
        <f t="shared" si="3"/>
        <v>3.9388888888888891</v>
      </c>
      <c r="M43">
        <f t="shared" si="4"/>
        <v>110.64338888888889</v>
      </c>
      <c r="N43">
        <f t="shared" si="5"/>
        <v>236.68783333333337</v>
      </c>
      <c r="O43" s="284">
        <f t="shared" si="6"/>
        <v>4.4825746015026082</v>
      </c>
      <c r="P43" s="284">
        <f t="shared" si="7"/>
        <v>9.589103161420141</v>
      </c>
      <c r="T43" s="444"/>
      <c r="U43" s="444"/>
      <c r="W43" s="305">
        <v>45315.5</v>
      </c>
    </row>
    <row r="44" spans="1:28" s="391" customFormat="1">
      <c r="A44" s="450">
        <v>30920</v>
      </c>
      <c r="B44" s="450" t="s">
        <v>2271</v>
      </c>
      <c r="C44" s="443" t="s">
        <v>2301</v>
      </c>
      <c r="D44" s="450">
        <v>41</v>
      </c>
      <c r="E44" s="450" t="s">
        <v>2313</v>
      </c>
      <c r="F44" s="450">
        <v>368.9</v>
      </c>
      <c r="G44" s="451">
        <v>2.6166999999999998</v>
      </c>
      <c r="H44" s="43">
        <f t="shared" si="0"/>
        <v>2616.6999999999998</v>
      </c>
      <c r="I44"/>
      <c r="J44">
        <f t="shared" si="1"/>
        <v>368.21111111111111</v>
      </c>
      <c r="K44">
        <f t="shared" si="2"/>
        <v>3.6821111111111109</v>
      </c>
      <c r="L44">
        <f t="shared" si="3"/>
        <v>4.6026388888888885</v>
      </c>
      <c r="M44">
        <f t="shared" si="4"/>
        <v>129.28812638888888</v>
      </c>
      <c r="N44">
        <f t="shared" si="5"/>
        <v>276.57257083333332</v>
      </c>
      <c r="O44" s="284">
        <f t="shared" si="6"/>
        <v>4.940884564103218</v>
      </c>
      <c r="P44" s="284">
        <f t="shared" si="7"/>
        <v>10.569517744996878</v>
      </c>
      <c r="Q44">
        <f t="shared" ref="Q44" si="52">((O44-O45)/AVERAGE(O44:O45))*100</f>
        <v>-0.77681648407801884</v>
      </c>
      <c r="R44"/>
      <c r="S44"/>
      <c r="T44">
        <f t="shared" ref="T44" si="53">AVERAGE(O44:O45)</f>
        <v>4.9601501962830952</v>
      </c>
      <c r="U44">
        <f t="shared" ref="U44" si="54">AVERAGE(P44:P45)</f>
        <v>10.610730697566792</v>
      </c>
      <c r="V44"/>
      <c r="W44" s="85">
        <v>45330.5</v>
      </c>
      <c r="X44"/>
      <c r="Z44"/>
    </row>
    <row r="45" spans="1:28">
      <c r="A45" s="450">
        <v>30921</v>
      </c>
      <c r="B45" s="450" t="s">
        <v>2271</v>
      </c>
      <c r="C45" s="443" t="s">
        <v>2302</v>
      </c>
      <c r="D45" s="450">
        <v>42</v>
      </c>
      <c r="E45" s="450" t="s">
        <v>2313</v>
      </c>
      <c r="F45" s="450">
        <v>377.6</v>
      </c>
      <c r="G45" s="451">
        <v>2.6577999999999999</v>
      </c>
      <c r="H45" s="43">
        <f t="shared" si="0"/>
        <v>2657.7999999999997</v>
      </c>
      <c r="J45">
        <f t="shared" si="1"/>
        <v>376.91111111111115</v>
      </c>
      <c r="K45">
        <f t="shared" si="2"/>
        <v>3.7691111111111115</v>
      </c>
      <c r="L45">
        <f t="shared" si="3"/>
        <v>4.7113888888888891</v>
      </c>
      <c r="M45">
        <f t="shared" si="4"/>
        <v>132.34291388888889</v>
      </c>
      <c r="N45">
        <f t="shared" si="5"/>
        <v>283.10735833333337</v>
      </c>
      <c r="O45" s="284">
        <f t="shared" si="6"/>
        <v>4.9794158284629733</v>
      </c>
      <c r="P45" s="284">
        <f t="shared" si="7"/>
        <v>10.651943650136706</v>
      </c>
      <c r="W45" s="85">
        <v>45330.5</v>
      </c>
    </row>
    <row r="46" spans="1:28">
      <c r="A46" s="450">
        <v>30922</v>
      </c>
      <c r="B46" s="450" t="s">
        <v>2271</v>
      </c>
      <c r="C46" s="443" t="s">
        <v>2303</v>
      </c>
      <c r="D46" s="450">
        <v>43</v>
      </c>
      <c r="E46" s="450" t="s">
        <v>2313</v>
      </c>
      <c r="F46" s="450">
        <v>237.1</v>
      </c>
      <c r="G46" s="451">
        <v>2.8723999999999998</v>
      </c>
      <c r="H46" s="43">
        <f t="shared" si="0"/>
        <v>2872.3999999999996</v>
      </c>
      <c r="J46">
        <f t="shared" si="1"/>
        <v>236.4111111111111</v>
      </c>
      <c r="K46">
        <f t="shared" si="2"/>
        <v>2.3641111111111108</v>
      </c>
      <c r="L46">
        <f t="shared" si="3"/>
        <v>2.9551388888888885</v>
      </c>
      <c r="M46">
        <f t="shared" si="4"/>
        <v>83.009851388888876</v>
      </c>
      <c r="N46">
        <f t="shared" si="5"/>
        <v>177.57429583333331</v>
      </c>
      <c r="O46" s="284">
        <f t="shared" si="6"/>
        <v>2.889912664980117</v>
      </c>
      <c r="P46" s="284">
        <f t="shared" si="7"/>
        <v>6.1820880042241102</v>
      </c>
      <c r="Q46">
        <f t="shared" ref="Q46" si="55">((O46-O47)/AVERAGE(O46:O47))*100</f>
        <v>-2.0156016736044871</v>
      </c>
      <c r="T46" s="444">
        <f t="shared" ref="T46" si="56">AVERAGE(O46:O47)</f>
        <v>2.9193337347883643</v>
      </c>
      <c r="U46" s="444">
        <f t="shared" ref="U46" si="57">AVERAGE(P46:P47)</f>
        <v>6.2450254226925175</v>
      </c>
      <c r="W46" s="85">
        <v>45345.5</v>
      </c>
    </row>
    <row r="47" spans="1:28">
      <c r="A47" s="450">
        <v>30923</v>
      </c>
      <c r="B47" s="450" t="s">
        <v>2271</v>
      </c>
      <c r="C47" s="443" t="s">
        <v>2304</v>
      </c>
      <c r="D47" s="450">
        <v>44</v>
      </c>
      <c r="E47" s="450" t="s">
        <v>2313</v>
      </c>
      <c r="F47" s="450">
        <v>236.9</v>
      </c>
      <c r="G47" s="451">
        <v>2.8127</v>
      </c>
      <c r="H47" s="43">
        <f t="shared" si="0"/>
        <v>2812.7</v>
      </c>
      <c r="J47">
        <f t="shared" si="1"/>
        <v>236.21111111111111</v>
      </c>
      <c r="K47">
        <f t="shared" si="2"/>
        <v>2.3621111111111111</v>
      </c>
      <c r="L47">
        <f t="shared" si="3"/>
        <v>2.952638888888889</v>
      </c>
      <c r="M47">
        <f t="shared" si="4"/>
        <v>82.939626388888897</v>
      </c>
      <c r="N47">
        <f t="shared" si="5"/>
        <v>177.42407083333336</v>
      </c>
      <c r="O47" s="284">
        <f t="shared" si="6"/>
        <v>2.9487548045966117</v>
      </c>
      <c r="P47" s="284">
        <f t="shared" si="7"/>
        <v>6.3079628411609256</v>
      </c>
      <c r="T47" s="444"/>
      <c r="U47" s="444"/>
      <c r="W47" s="85">
        <v>45345.5</v>
      </c>
    </row>
    <row r="48" spans="1:28">
      <c r="A48" s="450">
        <v>30924</v>
      </c>
      <c r="B48" s="450" t="s">
        <v>2271</v>
      </c>
      <c r="C48" s="443" t="s">
        <v>2305</v>
      </c>
      <c r="D48" s="450">
        <v>45</v>
      </c>
      <c r="E48" s="450" t="s">
        <v>2313</v>
      </c>
      <c r="F48" s="450">
        <v>308.7</v>
      </c>
      <c r="G48" s="451">
        <v>2.9097</v>
      </c>
      <c r="H48" s="43">
        <f t="shared" si="0"/>
        <v>2909.7</v>
      </c>
      <c r="J48">
        <f t="shared" si="1"/>
        <v>308.01111111111112</v>
      </c>
      <c r="K48">
        <f t="shared" si="2"/>
        <v>3.080111111111111</v>
      </c>
      <c r="L48">
        <f t="shared" si="3"/>
        <v>3.850138888888889</v>
      </c>
      <c r="M48">
        <f t="shared" si="4"/>
        <v>108.15040138888889</v>
      </c>
      <c r="N48">
        <f t="shared" si="5"/>
        <v>231.35484583333334</v>
      </c>
      <c r="O48" s="284">
        <f t="shared" si="6"/>
        <v>3.716891823517507</v>
      </c>
      <c r="P48" s="284">
        <f t="shared" si="7"/>
        <v>7.9511580518037377</v>
      </c>
      <c r="Q48">
        <f t="shared" ref="Q48" si="58">((O48-O49)/AVERAGE(O48:O49))*100</f>
        <v>-2.3454876981674988</v>
      </c>
      <c r="T48">
        <f t="shared" ref="T48" si="59">AVERAGE(O48:O49)</f>
        <v>3.7609987044885154</v>
      </c>
      <c r="U48">
        <f t="shared" ref="U48" si="60">AVERAGE(P48:P49)</f>
        <v>8.0455112905914881</v>
      </c>
      <c r="W48" s="85">
        <v>45360.5</v>
      </c>
      <c r="AB48" s="37"/>
    </row>
    <row r="49" spans="1:28">
      <c r="A49" s="450">
        <v>30925</v>
      </c>
      <c r="B49" s="450" t="s">
        <v>2271</v>
      </c>
      <c r="C49" s="443" t="s">
        <v>2306</v>
      </c>
      <c r="D49" s="450">
        <v>46</v>
      </c>
      <c r="E49" s="450" t="s">
        <v>2313</v>
      </c>
      <c r="F49" s="450">
        <v>320.8</v>
      </c>
      <c r="G49" s="451">
        <v>2.9539</v>
      </c>
      <c r="H49" s="43">
        <f t="shared" si="0"/>
        <v>2953.9</v>
      </c>
      <c r="J49">
        <f t="shared" si="1"/>
        <v>320.11111111111114</v>
      </c>
      <c r="K49">
        <f t="shared" si="2"/>
        <v>3.2011111111111115</v>
      </c>
      <c r="L49">
        <f t="shared" si="3"/>
        <v>4.0013888888888891</v>
      </c>
      <c r="M49">
        <f t="shared" si="4"/>
        <v>112.39901388888889</v>
      </c>
      <c r="N49">
        <f t="shared" si="5"/>
        <v>240.44345833333335</v>
      </c>
      <c r="O49" s="284">
        <f t="shared" si="6"/>
        <v>3.8051055854595242</v>
      </c>
      <c r="P49" s="284">
        <f t="shared" si="7"/>
        <v>8.1398645293792384</v>
      </c>
      <c r="W49" s="85">
        <v>45360.5</v>
      </c>
    </row>
    <row r="50" spans="1:28">
      <c r="A50" s="450">
        <v>30926</v>
      </c>
      <c r="B50" s="450" t="s">
        <v>2272</v>
      </c>
      <c r="C50" s="443" t="s">
        <v>2266</v>
      </c>
      <c r="D50" s="450">
        <v>47</v>
      </c>
      <c r="E50" s="450" t="s">
        <v>2313</v>
      </c>
      <c r="F50" s="450">
        <v>0</v>
      </c>
      <c r="G50" s="451"/>
      <c r="H50" s="43">
        <f t="shared" si="0"/>
        <v>0</v>
      </c>
      <c r="J50">
        <f t="shared" si="1"/>
        <v>-0.68888888888888899</v>
      </c>
      <c r="K50">
        <f t="shared" si="2"/>
        <v>-6.8888888888888897E-3</v>
      </c>
      <c r="L50">
        <f t="shared" si="3"/>
        <v>-8.6111111111111128E-3</v>
      </c>
      <c r="M50">
        <f t="shared" si="4"/>
        <v>-0.24188611111111116</v>
      </c>
      <c r="N50">
        <f t="shared" si="5"/>
        <v>-0.5174416666666668</v>
      </c>
      <c r="O50" s="284" t="e">
        <f t="shared" si="6"/>
        <v>#DIV/0!</v>
      </c>
      <c r="P50" s="284" t="e">
        <f t="shared" si="7"/>
        <v>#DIV/0!</v>
      </c>
    </row>
    <row r="51" spans="1:28" ht="15.75" thickBot="1">
      <c r="A51" s="454">
        <v>30927</v>
      </c>
      <c r="B51" s="454" t="s">
        <v>2273</v>
      </c>
      <c r="C51" s="445" t="s">
        <v>2266</v>
      </c>
      <c r="D51" s="454">
        <v>48</v>
      </c>
      <c r="E51" s="454" t="s">
        <v>2313</v>
      </c>
      <c r="F51" s="454">
        <v>270</v>
      </c>
      <c r="G51" s="455">
        <v>2.2155999999999998</v>
      </c>
      <c r="H51" s="88">
        <f t="shared" si="0"/>
        <v>2215.6</v>
      </c>
      <c r="I51" s="391"/>
      <c r="J51" s="391">
        <f t="shared" si="1"/>
        <v>269.31111111111113</v>
      </c>
      <c r="K51" s="391">
        <f t="shared" si="2"/>
        <v>2.693111111111111</v>
      </c>
      <c r="L51" s="391">
        <f t="shared" si="3"/>
        <v>3.3663888888888889</v>
      </c>
      <c r="M51" s="391">
        <f t="shared" si="4"/>
        <v>94.561863888888894</v>
      </c>
      <c r="N51" s="391">
        <f t="shared" si="5"/>
        <v>202.28630833333335</v>
      </c>
      <c r="O51" s="284">
        <f t="shared" si="6"/>
        <v>4.2680025225171008</v>
      </c>
      <c r="P51" s="284">
        <f t="shared" si="7"/>
        <v>9.1300915478124836</v>
      </c>
      <c r="R51">
        <f>((O51-AVERAGE(O$15,O$27,O$39,O$51,O$63,O$75,O$99,O$87,O$109))/AVERAGE(O$15,O$27,O$39,O$51,O$99,O$63,O$75,O$87,O$109)) *100</f>
        <v>0.75436091343658007</v>
      </c>
    </row>
    <row r="52" spans="1:28" s="444" customFormat="1" ht="15.75" thickTop="1">
      <c r="A52" s="450">
        <v>30928</v>
      </c>
      <c r="B52" s="450" t="s">
        <v>2271</v>
      </c>
      <c r="C52" s="446" t="s">
        <v>2307</v>
      </c>
      <c r="D52" s="450">
        <v>49</v>
      </c>
      <c r="E52" s="450" t="s">
        <v>2313</v>
      </c>
      <c r="F52" s="450">
        <v>261.39999999999998</v>
      </c>
      <c r="G52" s="452">
        <v>2.7645</v>
      </c>
      <c r="H52" s="43">
        <f t="shared" si="0"/>
        <v>2764.5</v>
      </c>
      <c r="I52"/>
      <c r="J52">
        <f t="shared" si="1"/>
        <v>260.71111111111111</v>
      </c>
      <c r="K52">
        <f t="shared" si="2"/>
        <v>2.6071111111111112</v>
      </c>
      <c r="L52">
        <f t="shared" si="3"/>
        <v>3.2588888888888889</v>
      </c>
      <c r="M52">
        <f t="shared" si="4"/>
        <v>91.542188888888887</v>
      </c>
      <c r="N52">
        <f t="shared" si="5"/>
        <v>195.82663333333335</v>
      </c>
      <c r="O52" s="284">
        <f t="shared" si="6"/>
        <v>3.3113470388456823</v>
      </c>
      <c r="P52" s="284">
        <f t="shared" si="7"/>
        <v>7.0836184964128535</v>
      </c>
      <c r="Q52">
        <f t="shared" ref="Q52" si="61">((O52-O53)/AVERAGE(O52:O53))*100</f>
        <v>1.1108114379016349</v>
      </c>
      <c r="R52"/>
      <c r="S52"/>
      <c r="T52">
        <f t="shared" ref="T52" si="62">AVERAGE(O52:O53)</f>
        <v>3.2930572107687501</v>
      </c>
      <c r="U52">
        <f t="shared" ref="U52" si="63">AVERAGE(P52:P53)</f>
        <v>7.0444929795334357</v>
      </c>
      <c r="V52"/>
      <c r="W52" s="85">
        <v>45375.5</v>
      </c>
      <c r="X52"/>
      <c r="Z52"/>
    </row>
    <row r="53" spans="1:28" s="444" customFormat="1">
      <c r="A53" s="450">
        <v>30929</v>
      </c>
      <c r="B53" s="450" t="s">
        <v>2271</v>
      </c>
      <c r="C53" s="443" t="s">
        <v>2308</v>
      </c>
      <c r="D53" s="450">
        <v>50</v>
      </c>
      <c r="E53" s="450" t="s">
        <v>2313</v>
      </c>
      <c r="F53" s="450">
        <v>285.8</v>
      </c>
      <c r="G53" s="451">
        <v>3.0569999999999999</v>
      </c>
      <c r="H53" s="43">
        <f t="shared" si="0"/>
        <v>3057</v>
      </c>
      <c r="I53"/>
      <c r="J53">
        <f t="shared" si="1"/>
        <v>285.11111111111114</v>
      </c>
      <c r="K53">
        <f t="shared" si="2"/>
        <v>2.8511111111111114</v>
      </c>
      <c r="L53">
        <f t="shared" si="3"/>
        <v>3.5638888888888891</v>
      </c>
      <c r="M53">
        <f t="shared" si="4"/>
        <v>100.1096388888889</v>
      </c>
      <c r="N53">
        <f t="shared" si="5"/>
        <v>214.15408333333335</v>
      </c>
      <c r="O53" s="284">
        <f t="shared" si="6"/>
        <v>3.2747673826918184</v>
      </c>
      <c r="P53" s="284">
        <f t="shared" si="7"/>
        <v>7.0053674626540188</v>
      </c>
      <c r="Q53"/>
      <c r="R53"/>
      <c r="S53"/>
      <c r="T53"/>
      <c r="U53"/>
      <c r="V53"/>
      <c r="W53" s="85">
        <v>45375.5</v>
      </c>
      <c r="X53"/>
      <c r="Z53"/>
    </row>
    <row r="54" spans="1:28">
      <c r="A54" s="450">
        <v>30930</v>
      </c>
      <c r="B54" s="450" t="s">
        <v>2275</v>
      </c>
      <c r="C54" s="443" t="s">
        <v>2277</v>
      </c>
      <c r="D54" s="450">
        <v>51</v>
      </c>
      <c r="E54" s="450" t="s">
        <v>2313</v>
      </c>
      <c r="F54" s="450">
        <v>475.5</v>
      </c>
      <c r="G54" s="451">
        <v>2.4782999999999999</v>
      </c>
      <c r="H54" s="43">
        <f t="shared" si="0"/>
        <v>2478.2999999999997</v>
      </c>
      <c r="J54">
        <f t="shared" si="1"/>
        <v>474.81111111111113</v>
      </c>
      <c r="K54">
        <f t="shared" si="2"/>
        <v>4.7481111111111112</v>
      </c>
      <c r="L54">
        <f t="shared" si="3"/>
        <v>5.935138888888889</v>
      </c>
      <c r="M54">
        <f t="shared" si="4"/>
        <v>166.71805138888888</v>
      </c>
      <c r="N54">
        <f t="shared" si="5"/>
        <v>356.64249583333338</v>
      </c>
      <c r="O54" s="284">
        <f t="shared" si="6"/>
        <v>6.727113399866397</v>
      </c>
      <c r="P54" s="284">
        <f t="shared" si="7"/>
        <v>14.390610331006473</v>
      </c>
      <c r="Q54">
        <f t="shared" ref="Q54" si="64">((O54-O55)/AVERAGE(O54:O55))*100</f>
        <v>-0.16886107479627449</v>
      </c>
      <c r="T54" s="444">
        <f t="shared" ref="T54" si="65">AVERAGE(O54:O55)</f>
        <v>6.7327979373468292</v>
      </c>
      <c r="U54" s="444">
        <f t="shared" ref="U54" si="66">AVERAGE(P54:P55)</f>
        <v>14.402770667681416</v>
      </c>
      <c r="AB54" s="37"/>
    </row>
    <row r="55" spans="1:28" s="391" customFormat="1">
      <c r="A55" s="450">
        <v>30931</v>
      </c>
      <c r="B55" s="450" t="s">
        <v>2275</v>
      </c>
      <c r="C55" s="443" t="s">
        <v>2278</v>
      </c>
      <c r="D55" s="450">
        <v>52</v>
      </c>
      <c r="E55" s="450" t="s">
        <v>2313</v>
      </c>
      <c r="F55" s="450">
        <v>535.20000000000005</v>
      </c>
      <c r="G55" s="451">
        <v>2.7852000000000001</v>
      </c>
      <c r="H55" s="43">
        <f t="shared" si="0"/>
        <v>2785.2000000000003</v>
      </c>
      <c r="I55"/>
      <c r="J55">
        <f t="shared" si="1"/>
        <v>534.51111111111118</v>
      </c>
      <c r="K55">
        <f t="shared" si="2"/>
        <v>5.3451111111111116</v>
      </c>
      <c r="L55">
        <f t="shared" si="3"/>
        <v>6.6813888888888897</v>
      </c>
      <c r="M55">
        <f t="shared" si="4"/>
        <v>187.68021388888891</v>
      </c>
      <c r="N55">
        <f t="shared" si="5"/>
        <v>401.48465833333341</v>
      </c>
      <c r="O55" s="284">
        <f t="shared" si="6"/>
        <v>6.7384824748272623</v>
      </c>
      <c r="P55" s="284">
        <f t="shared" si="7"/>
        <v>14.41493100435636</v>
      </c>
      <c r="Q55"/>
      <c r="R55"/>
      <c r="S55"/>
      <c r="T55" s="444"/>
      <c r="U55" s="444"/>
      <c r="V55"/>
      <c r="W55"/>
      <c r="X55"/>
      <c r="Z55"/>
    </row>
    <row r="56" spans="1:28">
      <c r="A56" s="450">
        <v>30932</v>
      </c>
      <c r="B56" s="450" t="s">
        <v>2275</v>
      </c>
      <c r="C56" s="443" t="s">
        <v>2279</v>
      </c>
      <c r="D56" s="450">
        <v>53</v>
      </c>
      <c r="E56" s="450" t="s">
        <v>2313</v>
      </c>
      <c r="F56" s="450">
        <v>143.5</v>
      </c>
      <c r="G56" s="451">
        <v>2.0196000000000001</v>
      </c>
      <c r="H56" s="43">
        <f t="shared" si="0"/>
        <v>2019.6000000000001</v>
      </c>
      <c r="J56">
        <f t="shared" si="1"/>
        <v>142.8111111111111</v>
      </c>
      <c r="K56">
        <f t="shared" si="2"/>
        <v>1.4281111111111111</v>
      </c>
      <c r="L56">
        <f t="shared" si="3"/>
        <v>1.7851388888888888</v>
      </c>
      <c r="M56">
        <f t="shared" si="4"/>
        <v>50.144551388888885</v>
      </c>
      <c r="N56">
        <f t="shared" si="5"/>
        <v>107.26899583333334</v>
      </c>
      <c r="O56" s="284">
        <f t="shared" si="6"/>
        <v>2.4828951965185619</v>
      </c>
      <c r="P56" s="284">
        <f t="shared" si="7"/>
        <v>5.3113980903809335</v>
      </c>
      <c r="Q56">
        <f t="shared" ref="Q56" si="67">((O56-O57)/AVERAGE(O56:O57))*100</f>
        <v>0.14072264075366905</v>
      </c>
      <c r="T56">
        <f t="shared" ref="T56" si="68">AVERAGE(O56:O57)</f>
        <v>2.4811494270211876</v>
      </c>
      <c r="U56">
        <f t="shared" ref="U56" si="69">AVERAGE(P56:P57)</f>
        <v>5.3076635482272412</v>
      </c>
    </row>
    <row r="57" spans="1:28">
      <c r="A57" s="450">
        <v>30933</v>
      </c>
      <c r="B57" s="450" t="s">
        <v>2275</v>
      </c>
      <c r="C57" s="443" t="s">
        <v>2280</v>
      </c>
      <c r="D57" s="450">
        <v>54</v>
      </c>
      <c r="E57" s="450" t="s">
        <v>2313</v>
      </c>
      <c r="F57" s="450">
        <v>205.7</v>
      </c>
      <c r="G57" s="451">
        <v>2.9033000000000002</v>
      </c>
      <c r="H57" s="43">
        <f t="shared" si="0"/>
        <v>2903.3</v>
      </c>
      <c r="J57">
        <f t="shared" si="1"/>
        <v>205.01111111111109</v>
      </c>
      <c r="K57">
        <f t="shared" si="2"/>
        <v>2.0501111111111108</v>
      </c>
      <c r="L57">
        <f t="shared" si="3"/>
        <v>2.5626388888888885</v>
      </c>
      <c r="M57">
        <f t="shared" si="4"/>
        <v>71.984526388888881</v>
      </c>
      <c r="N57">
        <f t="shared" si="5"/>
        <v>153.98897083333333</v>
      </c>
      <c r="O57" s="284">
        <f t="shared" si="6"/>
        <v>2.4794036575238132</v>
      </c>
      <c r="P57" s="284">
        <f t="shared" si="7"/>
        <v>5.303929006073548</v>
      </c>
    </row>
    <row r="58" spans="1:28">
      <c r="A58" s="450">
        <v>30934</v>
      </c>
      <c r="B58" s="450" t="s">
        <v>2276</v>
      </c>
      <c r="C58" s="443" t="s">
        <v>2277</v>
      </c>
      <c r="D58" s="450">
        <v>55</v>
      </c>
      <c r="E58" s="450" t="s">
        <v>2313</v>
      </c>
      <c r="F58" s="450">
        <v>487.9</v>
      </c>
      <c r="G58" s="451">
        <v>2.7435999999999998</v>
      </c>
      <c r="H58" s="43">
        <f t="shared" si="0"/>
        <v>2743.6</v>
      </c>
      <c r="J58">
        <f t="shared" si="1"/>
        <v>487.21111111111111</v>
      </c>
      <c r="K58">
        <f t="shared" si="2"/>
        <v>4.8721111111111108</v>
      </c>
      <c r="L58">
        <f t="shared" si="3"/>
        <v>6.0901388888888883</v>
      </c>
      <c r="M58">
        <f t="shared" si="4"/>
        <v>171.07200138888888</v>
      </c>
      <c r="N58">
        <f t="shared" si="5"/>
        <v>365.95644583333331</v>
      </c>
      <c r="O58" s="284">
        <f t="shared" si="6"/>
        <v>6.2353113204872752</v>
      </c>
      <c r="P58" s="284">
        <f t="shared" si="7"/>
        <v>13.338549563833405</v>
      </c>
      <c r="Q58">
        <f t="shared" ref="Q58" si="70">((O58-O59)/AVERAGE(O58:O59))*100</f>
        <v>2.3164194628759072</v>
      </c>
      <c r="T58" s="444">
        <f t="shared" ref="T58" si="71">AVERAGE(O58:O59)</f>
        <v>6.1639201969283812</v>
      </c>
      <c r="U58" s="444">
        <f t="shared" ref="U58" si="72">AVERAGE(P58:P59)</f>
        <v>13.185829997629989</v>
      </c>
      <c r="W58" s="85">
        <v>45075.5</v>
      </c>
    </row>
    <row r="59" spans="1:28">
      <c r="A59" s="450">
        <v>30935</v>
      </c>
      <c r="B59" s="450" t="s">
        <v>2276</v>
      </c>
      <c r="C59" s="443" t="s">
        <v>2278</v>
      </c>
      <c r="D59" s="450">
        <v>56</v>
      </c>
      <c r="E59" s="450" t="s">
        <v>2313</v>
      </c>
      <c r="F59" s="450">
        <v>529.70000000000005</v>
      </c>
      <c r="G59" s="451">
        <v>3.0488</v>
      </c>
      <c r="H59" s="43">
        <f t="shared" si="0"/>
        <v>3048.8</v>
      </c>
      <c r="J59">
        <f t="shared" si="1"/>
        <v>529.01111111111118</v>
      </c>
      <c r="K59">
        <f t="shared" si="2"/>
        <v>5.2901111111111119</v>
      </c>
      <c r="L59">
        <f t="shared" si="3"/>
        <v>6.6126388888888901</v>
      </c>
      <c r="M59">
        <f t="shared" si="4"/>
        <v>185.74902638888892</v>
      </c>
      <c r="N59">
        <f t="shared" si="5"/>
        <v>397.3534708333334</v>
      </c>
      <c r="O59" s="284">
        <f t="shared" si="6"/>
        <v>6.0925290733694872</v>
      </c>
      <c r="P59" s="284">
        <f t="shared" si="7"/>
        <v>13.033110431426573</v>
      </c>
      <c r="T59" s="444"/>
      <c r="U59" s="444"/>
      <c r="W59" s="85">
        <v>45075.5</v>
      </c>
    </row>
    <row r="60" spans="1:28">
      <c r="A60" s="450">
        <v>30936</v>
      </c>
      <c r="B60" s="450" t="s">
        <v>2276</v>
      </c>
      <c r="C60" s="443" t="s">
        <v>2279</v>
      </c>
      <c r="D60" s="450">
        <v>57</v>
      </c>
      <c r="E60" s="450" t="s">
        <v>2313</v>
      </c>
      <c r="F60" s="450">
        <v>380.7</v>
      </c>
      <c r="G60" s="451">
        <v>2.5514999999999999</v>
      </c>
      <c r="H60" s="43">
        <f t="shared" si="0"/>
        <v>2551.5</v>
      </c>
      <c r="J60">
        <f t="shared" si="1"/>
        <v>380.01111111111112</v>
      </c>
      <c r="K60">
        <f t="shared" si="2"/>
        <v>3.8001111111111112</v>
      </c>
      <c r="L60">
        <f t="shared" si="3"/>
        <v>4.7501388888888894</v>
      </c>
      <c r="M60">
        <f t="shared" si="4"/>
        <v>133.4314013888889</v>
      </c>
      <c r="N60">
        <f t="shared" si="5"/>
        <v>285.43584583333336</v>
      </c>
      <c r="O60" s="284">
        <f t="shared" si="6"/>
        <v>5.229527783221199</v>
      </c>
      <c r="P60" s="284">
        <f t="shared" si="7"/>
        <v>11.186982004049906</v>
      </c>
      <c r="Q60">
        <f t="shared" ref="Q60" si="73">((O60-O61)/AVERAGE(O60:O61))*100</f>
        <v>0.86993551073333353</v>
      </c>
      <c r="T60">
        <f t="shared" ref="T60" si="74">AVERAGE(O60:O61)</f>
        <v>5.2068795361780396</v>
      </c>
      <c r="U60">
        <f t="shared" ref="U60" si="75">AVERAGE(P60:P61)</f>
        <v>11.138532977178297</v>
      </c>
      <c r="W60" s="85">
        <v>45090.5</v>
      </c>
    </row>
    <row r="61" spans="1:28">
      <c r="A61" s="450">
        <v>30937</v>
      </c>
      <c r="B61" s="450" t="s">
        <v>2276</v>
      </c>
      <c r="C61" s="443" t="s">
        <v>2280</v>
      </c>
      <c r="D61" s="450">
        <v>58</v>
      </c>
      <c r="E61" s="450" t="s">
        <v>2313</v>
      </c>
      <c r="F61" s="450">
        <v>411.5</v>
      </c>
      <c r="G61" s="451">
        <v>2.7824</v>
      </c>
      <c r="H61" s="43">
        <f t="shared" si="0"/>
        <v>2782.4</v>
      </c>
      <c r="J61">
        <f t="shared" si="1"/>
        <v>410.81111111111113</v>
      </c>
      <c r="K61">
        <f t="shared" si="2"/>
        <v>4.1081111111111115</v>
      </c>
      <c r="L61">
        <f t="shared" si="3"/>
        <v>5.1351388888888891</v>
      </c>
      <c r="M61">
        <f t="shared" si="4"/>
        <v>144.2460513888889</v>
      </c>
      <c r="N61">
        <f t="shared" si="5"/>
        <v>308.57049583333338</v>
      </c>
      <c r="O61" s="284">
        <f t="shared" si="6"/>
        <v>5.1842312891348792</v>
      </c>
      <c r="P61" s="284">
        <f t="shared" si="7"/>
        <v>11.09008395030669</v>
      </c>
      <c r="W61" s="85">
        <v>45090.5</v>
      </c>
    </row>
    <row r="62" spans="1:28">
      <c r="A62" s="450">
        <v>30938</v>
      </c>
      <c r="B62" s="450" t="s">
        <v>2272</v>
      </c>
      <c r="C62" s="443" t="s">
        <v>2267</v>
      </c>
      <c r="D62" s="450">
        <v>59</v>
      </c>
      <c r="E62" s="450" t="s">
        <v>2313</v>
      </c>
      <c r="F62" s="450">
        <v>0.2</v>
      </c>
      <c r="G62" s="451"/>
      <c r="H62" s="43">
        <f t="shared" si="0"/>
        <v>0</v>
      </c>
      <c r="J62">
        <f t="shared" si="1"/>
        <v>-0.48888888888888898</v>
      </c>
      <c r="K62">
        <f t="shared" si="2"/>
        <v>-4.8888888888888897E-3</v>
      </c>
      <c r="L62">
        <f t="shared" si="3"/>
        <v>-6.1111111111111123E-3</v>
      </c>
      <c r="M62">
        <f t="shared" si="4"/>
        <v>-0.17166111111111115</v>
      </c>
      <c r="N62">
        <f t="shared" si="5"/>
        <v>-0.36721666666666675</v>
      </c>
      <c r="O62" s="284" t="e">
        <f t="shared" si="6"/>
        <v>#DIV/0!</v>
      </c>
      <c r="P62" s="284" t="e">
        <f t="shared" si="7"/>
        <v>#DIV/0!</v>
      </c>
    </row>
    <row r="63" spans="1:28" ht="15.75" thickBot="1">
      <c r="A63" s="454">
        <v>30939</v>
      </c>
      <c r="B63" s="454" t="s">
        <v>2273</v>
      </c>
      <c r="C63" s="445" t="s">
        <v>2267</v>
      </c>
      <c r="D63" s="454">
        <v>60</v>
      </c>
      <c r="E63" s="454" t="s">
        <v>2313</v>
      </c>
      <c r="F63" s="454">
        <v>307.8</v>
      </c>
      <c r="G63" s="455">
        <v>2.6326999999999998</v>
      </c>
      <c r="H63" s="88">
        <f t="shared" si="0"/>
        <v>2632.7</v>
      </c>
      <c r="I63" s="391"/>
      <c r="J63" s="391">
        <f t="shared" si="1"/>
        <v>307.11111111111114</v>
      </c>
      <c r="K63" s="391">
        <f t="shared" si="2"/>
        <v>3.0711111111111116</v>
      </c>
      <c r="L63" s="391">
        <f t="shared" si="3"/>
        <v>3.8388888888888895</v>
      </c>
      <c r="M63" s="391">
        <f t="shared" si="4"/>
        <v>107.83438888888891</v>
      </c>
      <c r="N63" s="391">
        <f t="shared" si="5"/>
        <v>230.67883333333339</v>
      </c>
      <c r="O63" s="284">
        <f t="shared" si="6"/>
        <v>4.0959618980092269</v>
      </c>
      <c r="P63" s="284">
        <f t="shared" si="7"/>
        <v>8.7620630278168186</v>
      </c>
      <c r="R63">
        <f>((O63-AVERAGE(O$15,O$27,O$39,O$51,O$63,O$75,O$99,O$87,O$109))/AVERAGE(O$15,O$27,O$39,O$51,O$99,O$63,O$75,O$87,O$109)) *100</f>
        <v>-3.3069870079832322</v>
      </c>
      <c r="V63" s="268"/>
      <c r="Z63" s="29"/>
    </row>
    <row r="64" spans="1:28" s="444" customFormat="1" ht="15.75" thickTop="1">
      <c r="A64" s="450">
        <v>30940</v>
      </c>
      <c r="B64" s="450" t="s">
        <v>2276</v>
      </c>
      <c r="C64" s="446" t="s">
        <v>2256</v>
      </c>
      <c r="D64" s="450">
        <v>61</v>
      </c>
      <c r="E64" s="450" t="s">
        <v>2313</v>
      </c>
      <c r="F64" s="450">
        <v>338</v>
      </c>
      <c r="G64" s="452">
        <v>2.7711999999999999</v>
      </c>
      <c r="H64" s="43">
        <f t="shared" si="0"/>
        <v>2771.2</v>
      </c>
      <c r="I64"/>
      <c r="J64">
        <f t="shared" si="1"/>
        <v>337.31111111111113</v>
      </c>
      <c r="K64">
        <f t="shared" si="2"/>
        <v>3.3731111111111112</v>
      </c>
      <c r="L64">
        <f t="shared" si="3"/>
        <v>4.216388888888889</v>
      </c>
      <c r="M64">
        <f t="shared" si="4"/>
        <v>118.43836388888889</v>
      </c>
      <c r="N64">
        <f t="shared" si="5"/>
        <v>253.36280833333336</v>
      </c>
      <c r="O64" s="284">
        <f t="shared" si="6"/>
        <v>4.273901699223762</v>
      </c>
      <c r="P64" s="284">
        <f t="shared" si="7"/>
        <v>9.1427110397421121</v>
      </c>
      <c r="Q64">
        <f t="shared" ref="Q64" si="76">((O64-O65)/AVERAGE(O64:O65))*100</f>
        <v>0.24040218382606221</v>
      </c>
      <c r="R64"/>
      <c r="S64"/>
      <c r="T64">
        <f t="shared" ref="T64" si="77">AVERAGE(O64:O65)</f>
        <v>4.2687705903628839</v>
      </c>
      <c r="U64">
        <f t="shared" ref="U64" si="78">AVERAGE(P64:P65)</f>
        <v>9.1317345950482647</v>
      </c>
      <c r="V64"/>
      <c r="W64" s="85">
        <v>45105.5</v>
      </c>
      <c r="X64"/>
      <c r="Z64"/>
    </row>
    <row r="65" spans="1:28" s="444" customFormat="1">
      <c r="A65" s="450">
        <v>30941</v>
      </c>
      <c r="B65" s="450" t="s">
        <v>2276</v>
      </c>
      <c r="C65" s="443" t="s">
        <v>2257</v>
      </c>
      <c r="D65" s="450">
        <v>62</v>
      </c>
      <c r="E65" s="450" t="s">
        <v>2313</v>
      </c>
      <c r="F65" s="450">
        <v>351.3</v>
      </c>
      <c r="G65" s="451">
        <v>2.8874</v>
      </c>
      <c r="H65" s="43">
        <f t="shared" si="0"/>
        <v>2887.4</v>
      </c>
      <c r="I65"/>
      <c r="J65">
        <f t="shared" si="1"/>
        <v>350.61111111111114</v>
      </c>
      <c r="K65">
        <f t="shared" si="2"/>
        <v>3.5061111111111116</v>
      </c>
      <c r="L65">
        <f t="shared" si="3"/>
        <v>4.3826388888888896</v>
      </c>
      <c r="M65">
        <f t="shared" si="4"/>
        <v>123.10832638888891</v>
      </c>
      <c r="N65">
        <f t="shared" si="5"/>
        <v>263.35277083333341</v>
      </c>
      <c r="O65" s="284">
        <f t="shared" si="6"/>
        <v>4.2636394815020049</v>
      </c>
      <c r="P65" s="284">
        <f t="shared" si="7"/>
        <v>9.1207581503544155</v>
      </c>
      <c r="Q65"/>
      <c r="R65"/>
      <c r="S65"/>
      <c r="T65"/>
      <c r="U65"/>
      <c r="V65"/>
      <c r="W65" s="85">
        <v>45105.5</v>
      </c>
      <c r="X65"/>
      <c r="Z65"/>
    </row>
    <row r="66" spans="1:28">
      <c r="A66" s="450">
        <v>30942</v>
      </c>
      <c r="B66" s="450" t="s">
        <v>2276</v>
      </c>
      <c r="C66" s="443" t="s">
        <v>2281</v>
      </c>
      <c r="D66" s="450">
        <v>63</v>
      </c>
      <c r="E66" s="450" t="s">
        <v>2313</v>
      </c>
      <c r="F66" s="450">
        <v>346.4</v>
      </c>
      <c r="G66" s="451">
        <v>2.4127999999999998</v>
      </c>
      <c r="H66" s="43">
        <f t="shared" si="0"/>
        <v>2412.7999999999997</v>
      </c>
      <c r="J66">
        <f t="shared" si="1"/>
        <v>345.71111111111111</v>
      </c>
      <c r="K66">
        <f t="shared" si="2"/>
        <v>3.4571111111111112</v>
      </c>
      <c r="L66">
        <f t="shared" si="3"/>
        <v>4.3213888888888894</v>
      </c>
      <c r="M66">
        <f t="shared" si="4"/>
        <v>121.3878138888889</v>
      </c>
      <c r="N66">
        <f t="shared" si="5"/>
        <v>259.67225833333339</v>
      </c>
      <c r="O66" s="284">
        <f t="shared" si="6"/>
        <v>5.0309936127689374</v>
      </c>
      <c r="P66" s="284">
        <f t="shared" si="7"/>
        <v>10.762278611295317</v>
      </c>
      <c r="Q66">
        <f t="shared" ref="Q66" si="79">((O66-O67)/AVERAGE(O66:O67))*100</f>
        <v>0.83383439814973481</v>
      </c>
      <c r="T66" s="444">
        <f t="shared" ref="T66" si="80">AVERAGE(O66:O67)</f>
        <v>5.0101056207442376</v>
      </c>
      <c r="U66" s="444">
        <f t="shared" ref="U66" si="81">AVERAGE(P66:P67)</f>
        <v>10.717595113938103</v>
      </c>
      <c r="W66" s="85">
        <v>45120.5</v>
      </c>
    </row>
    <row r="67" spans="1:28">
      <c r="A67" s="450">
        <v>30943</v>
      </c>
      <c r="B67" s="450" t="s">
        <v>2276</v>
      </c>
      <c r="C67" s="443" t="s">
        <v>2282</v>
      </c>
      <c r="D67" s="450">
        <v>64</v>
      </c>
      <c r="E67" s="450" t="s">
        <v>2313</v>
      </c>
      <c r="F67" s="450">
        <v>428.6</v>
      </c>
      <c r="G67" s="451">
        <v>3.0114999999999998</v>
      </c>
      <c r="H67" s="43">
        <f t="shared" si="0"/>
        <v>3011.5</v>
      </c>
      <c r="J67">
        <f t="shared" si="1"/>
        <v>427.91111111111115</v>
      </c>
      <c r="K67">
        <f t="shared" si="2"/>
        <v>4.2791111111111118</v>
      </c>
      <c r="L67">
        <f t="shared" si="3"/>
        <v>5.3488888888888901</v>
      </c>
      <c r="M67">
        <f t="shared" si="4"/>
        <v>150.25028888888892</v>
      </c>
      <c r="N67">
        <f t="shared" si="5"/>
        <v>321.4147333333334</v>
      </c>
      <c r="O67" s="284">
        <f t="shared" si="6"/>
        <v>4.9892176287195387</v>
      </c>
      <c r="P67" s="284">
        <f t="shared" si="7"/>
        <v>10.672911616580887</v>
      </c>
      <c r="T67" s="444"/>
      <c r="U67" s="444"/>
      <c r="W67" s="85">
        <v>45120.5</v>
      </c>
    </row>
    <row r="68" spans="1:28">
      <c r="A68" s="450">
        <v>30944</v>
      </c>
      <c r="B68" s="450" t="s">
        <v>2276</v>
      </c>
      <c r="C68" s="443" t="s">
        <v>2283</v>
      </c>
      <c r="D68" s="450">
        <v>65</v>
      </c>
      <c r="E68" s="450" t="s">
        <v>2313</v>
      </c>
      <c r="F68" s="450">
        <v>342.7</v>
      </c>
      <c r="G68" s="451">
        <v>2.3887</v>
      </c>
      <c r="H68" s="43">
        <f t="shared" si="0"/>
        <v>2388.6999999999998</v>
      </c>
      <c r="J68">
        <f t="shared" si="1"/>
        <v>342.01111111111112</v>
      </c>
      <c r="K68">
        <f t="shared" si="2"/>
        <v>3.4201111111111109</v>
      </c>
      <c r="L68">
        <f t="shared" si="3"/>
        <v>4.2751388888888888</v>
      </c>
      <c r="M68">
        <f t="shared" si="4"/>
        <v>120.08865138888889</v>
      </c>
      <c r="N68">
        <f t="shared" si="5"/>
        <v>256.89309583333335</v>
      </c>
      <c r="O68" s="284">
        <f t="shared" si="6"/>
        <v>5.0273643148528029</v>
      </c>
      <c r="P68" s="284">
        <f t="shared" si="7"/>
        <v>10.75451483373104</v>
      </c>
      <c r="Q68">
        <f t="shared" ref="Q68" si="82">((O68-O69)/AVERAGE(O68:O69))*100</f>
        <v>0.3191326585181215</v>
      </c>
      <c r="T68">
        <f t="shared" ref="T68" si="83">AVERAGE(O68:O69)</f>
        <v>5.0193551141446857</v>
      </c>
      <c r="U68">
        <f t="shared" ref="U68" si="84">AVERAGE(P68:P69)</f>
        <v>10.737381588072415</v>
      </c>
      <c r="W68" s="85">
        <v>45135.5</v>
      </c>
    </row>
    <row r="69" spans="1:28">
      <c r="A69" s="450">
        <v>30945</v>
      </c>
      <c r="B69" s="450" t="s">
        <v>2276</v>
      </c>
      <c r="C69" s="443" t="s">
        <v>2284</v>
      </c>
      <c r="D69" s="450">
        <v>66</v>
      </c>
      <c r="E69" s="450" t="s">
        <v>2313</v>
      </c>
      <c r="F69" s="450">
        <v>443.4</v>
      </c>
      <c r="G69" s="451">
        <v>3.1019000000000001</v>
      </c>
      <c r="H69" s="43">
        <f t="shared" ref="H69:H109" si="85">G69*1000</f>
        <v>3101.9</v>
      </c>
      <c r="J69">
        <f t="shared" ref="J69:J109" si="86">F69-$J$1</f>
        <v>442.71111111111111</v>
      </c>
      <c r="K69">
        <f t="shared" ref="K69:K109" si="87">(J69/1000)*10</f>
        <v>4.4271111111111114</v>
      </c>
      <c r="L69">
        <f t="shared" ref="L69:L109" si="88">K69*(5/4)</f>
        <v>5.5338888888888889</v>
      </c>
      <c r="M69">
        <f t="shared" ref="M69:M109" si="89">L69*28.09</f>
        <v>155.44693888888889</v>
      </c>
      <c r="N69">
        <f t="shared" ref="N69:N109" si="90">L69*(28.09+2*16)</f>
        <v>332.53138333333334</v>
      </c>
      <c r="O69" s="284">
        <f t="shared" ref="O69:O109" si="91">(M69/H69)*100</f>
        <v>5.0113459134365677</v>
      </c>
      <c r="P69" s="284">
        <f t="shared" ref="P69:P109" si="92">(N69/H69)*100</f>
        <v>10.72024834241379</v>
      </c>
      <c r="W69" s="85">
        <v>45135.5</v>
      </c>
      <c r="AB69" s="37"/>
    </row>
    <row r="70" spans="1:28">
      <c r="A70" s="450">
        <v>30946</v>
      </c>
      <c r="B70" s="450" t="s">
        <v>2276</v>
      </c>
      <c r="C70" s="443" t="s">
        <v>2260</v>
      </c>
      <c r="D70" s="450">
        <v>67</v>
      </c>
      <c r="E70" s="450" t="s">
        <v>2313</v>
      </c>
      <c r="F70" s="450">
        <v>326.5</v>
      </c>
      <c r="G70" s="451">
        <v>2.5827</v>
      </c>
      <c r="H70" s="43">
        <f t="shared" si="85"/>
        <v>2582.6999999999998</v>
      </c>
      <c r="J70">
        <f t="shared" si="86"/>
        <v>325.81111111111113</v>
      </c>
      <c r="K70">
        <f t="shared" si="87"/>
        <v>3.258111111111111</v>
      </c>
      <c r="L70">
        <f t="shared" si="88"/>
        <v>4.0726388888888891</v>
      </c>
      <c r="M70">
        <f t="shared" si="89"/>
        <v>114.40042638888889</v>
      </c>
      <c r="N70">
        <f t="shared" si="90"/>
        <v>244.72487083333337</v>
      </c>
      <c r="O70" s="284">
        <f t="shared" si="91"/>
        <v>4.4294895415220079</v>
      </c>
      <c r="P70" s="284">
        <f t="shared" si="92"/>
        <v>9.4755438430066743</v>
      </c>
      <c r="Q70">
        <f t="shared" ref="Q70" si="93">((O70-O71)/AVERAGE(O70:O71))*100</f>
        <v>-0.22264517416979079</v>
      </c>
      <c r="T70" s="444">
        <f t="shared" ref="T70" si="94">AVERAGE(O70:O71)</f>
        <v>4.4344260593336244</v>
      </c>
      <c r="U70" s="444">
        <f t="shared" ref="U70" si="95">AVERAGE(P70:P71)</f>
        <v>9.4861040194146504</v>
      </c>
      <c r="W70" s="85">
        <v>45150.5</v>
      </c>
    </row>
    <row r="71" spans="1:28">
      <c r="A71" s="450">
        <v>30947</v>
      </c>
      <c r="B71" s="450" t="s">
        <v>2276</v>
      </c>
      <c r="C71" s="443" t="s">
        <v>2261</v>
      </c>
      <c r="D71" s="450">
        <v>68</v>
      </c>
      <c r="E71" s="450" t="s">
        <v>2313</v>
      </c>
      <c r="F71" s="450">
        <v>320.5</v>
      </c>
      <c r="G71" s="451">
        <v>2.5295000000000001</v>
      </c>
      <c r="H71" s="43">
        <f t="shared" si="85"/>
        <v>2529.5</v>
      </c>
      <c r="J71">
        <f t="shared" si="86"/>
        <v>319.81111111111113</v>
      </c>
      <c r="K71">
        <f t="shared" si="87"/>
        <v>3.1981111111111113</v>
      </c>
      <c r="L71">
        <f t="shared" si="88"/>
        <v>3.997638888888889</v>
      </c>
      <c r="M71">
        <f t="shared" si="89"/>
        <v>112.29367638888888</v>
      </c>
      <c r="N71">
        <f t="shared" si="90"/>
        <v>240.21812083333336</v>
      </c>
      <c r="O71" s="284">
        <f t="shared" si="91"/>
        <v>4.4393625771452419</v>
      </c>
      <c r="P71" s="284">
        <f t="shared" si="92"/>
        <v>9.4966641958226266</v>
      </c>
      <c r="T71" s="444"/>
      <c r="U71" s="444"/>
      <c r="W71" s="85">
        <v>45150.5</v>
      </c>
    </row>
    <row r="72" spans="1:28">
      <c r="A72" s="450">
        <v>30948</v>
      </c>
      <c r="B72" s="450" t="s">
        <v>2276</v>
      </c>
      <c r="C72" s="443" t="s">
        <v>2285</v>
      </c>
      <c r="D72" s="450">
        <v>69</v>
      </c>
      <c r="E72" s="450" t="s">
        <v>2313</v>
      </c>
      <c r="F72" s="450">
        <v>312.39999999999998</v>
      </c>
      <c r="G72" s="451">
        <v>2.403</v>
      </c>
      <c r="H72" s="43">
        <f t="shared" si="85"/>
        <v>2403</v>
      </c>
      <c r="J72">
        <f t="shared" si="86"/>
        <v>311.71111111111111</v>
      </c>
      <c r="K72">
        <f t="shared" si="87"/>
        <v>3.1171111111111109</v>
      </c>
      <c r="L72">
        <f t="shared" si="88"/>
        <v>3.8963888888888887</v>
      </c>
      <c r="M72">
        <f t="shared" si="89"/>
        <v>109.44956388888889</v>
      </c>
      <c r="N72">
        <f t="shared" si="90"/>
        <v>234.13400833333333</v>
      </c>
      <c r="O72" s="284">
        <f t="shared" si="91"/>
        <v>4.5547051139778976</v>
      </c>
      <c r="P72" s="284">
        <f t="shared" si="92"/>
        <v>9.7434044250242753</v>
      </c>
      <c r="Q72">
        <f t="shared" ref="Q72" si="96">((O72-O73)/AVERAGE(O72:O73))*100</f>
        <v>-1.665779091671838</v>
      </c>
      <c r="T72">
        <f t="shared" ref="T72" si="97">AVERAGE(O72:O73)</f>
        <v>4.5929593926033796</v>
      </c>
      <c r="U72">
        <f t="shared" ref="U72" si="98">AVERAGE(P72:P73)</f>
        <v>9.8252378035435086</v>
      </c>
      <c r="W72" s="85">
        <v>45165.5</v>
      </c>
    </row>
    <row r="73" spans="1:28" s="391" customFormat="1">
      <c r="A73" s="450">
        <v>30949</v>
      </c>
      <c r="B73" s="450" t="s">
        <v>2276</v>
      </c>
      <c r="C73" s="443" t="s">
        <v>2286</v>
      </c>
      <c r="D73" s="450">
        <v>70</v>
      </c>
      <c r="E73" s="450" t="s">
        <v>2313</v>
      </c>
      <c r="F73" s="450">
        <v>410.9</v>
      </c>
      <c r="G73" s="451">
        <v>3.1101000000000001</v>
      </c>
      <c r="H73" s="43">
        <f t="shared" si="85"/>
        <v>3110.1</v>
      </c>
      <c r="I73"/>
      <c r="J73">
        <f t="shared" si="86"/>
        <v>410.21111111111111</v>
      </c>
      <c r="K73">
        <f t="shared" si="87"/>
        <v>4.1021111111111104</v>
      </c>
      <c r="L73">
        <f t="shared" si="88"/>
        <v>5.127638888888888</v>
      </c>
      <c r="M73">
        <f t="shared" si="89"/>
        <v>144.03537638888886</v>
      </c>
      <c r="N73">
        <f t="shared" si="90"/>
        <v>308.11982083333328</v>
      </c>
      <c r="O73" s="284">
        <f t="shared" si="91"/>
        <v>4.6312136712288625</v>
      </c>
      <c r="P73" s="284">
        <f t="shared" si="92"/>
        <v>9.9070711820627402</v>
      </c>
      <c r="Q73"/>
      <c r="R73"/>
      <c r="S73"/>
      <c r="T73"/>
      <c r="U73"/>
      <c r="V73"/>
      <c r="W73" s="85">
        <v>45165.5</v>
      </c>
      <c r="X73"/>
      <c r="Z73"/>
    </row>
    <row r="74" spans="1:28" s="391" customFormat="1">
      <c r="A74" s="450">
        <v>30950</v>
      </c>
      <c r="B74" s="450" t="s">
        <v>2272</v>
      </c>
      <c r="C74" s="443" t="s">
        <v>2309</v>
      </c>
      <c r="D74" s="450">
        <v>71</v>
      </c>
      <c r="E74" s="450" t="s">
        <v>2313</v>
      </c>
      <c r="F74" s="450">
        <v>1.6</v>
      </c>
      <c r="G74" s="451"/>
      <c r="H74" s="43">
        <f t="shared" si="85"/>
        <v>0</v>
      </c>
      <c r="I74"/>
      <c r="J74">
        <f t="shared" si="86"/>
        <v>0.91111111111111109</v>
      </c>
      <c r="K74">
        <f t="shared" si="87"/>
        <v>9.1111111111111115E-3</v>
      </c>
      <c r="L74">
        <f t="shared" si="88"/>
        <v>1.1388888888888889E-2</v>
      </c>
      <c r="M74">
        <f t="shared" si="89"/>
        <v>0.31991388888888889</v>
      </c>
      <c r="N74">
        <f t="shared" si="90"/>
        <v>0.6843583333333334</v>
      </c>
      <c r="O74" s="284" t="e">
        <f t="shared" si="91"/>
        <v>#DIV/0!</v>
      </c>
      <c r="P74" s="284" t="e">
        <f t="shared" si="92"/>
        <v>#DIV/0!</v>
      </c>
      <c r="Q74"/>
      <c r="R74"/>
      <c r="S74"/>
      <c r="T74"/>
      <c r="U74"/>
      <c r="V74"/>
      <c r="X74"/>
      <c r="Z74"/>
    </row>
    <row r="75" spans="1:28" ht="15.75" thickBot="1">
      <c r="A75" s="454">
        <v>30951</v>
      </c>
      <c r="B75" s="454" t="s">
        <v>2273</v>
      </c>
      <c r="C75" s="445" t="s">
        <v>2309</v>
      </c>
      <c r="D75" s="454">
        <v>72</v>
      </c>
      <c r="E75" s="454" t="s">
        <v>2313</v>
      </c>
      <c r="F75" s="454">
        <v>342.3</v>
      </c>
      <c r="G75" s="455">
        <v>2.8288000000000002</v>
      </c>
      <c r="H75" s="88">
        <f t="shared" si="85"/>
        <v>2828.8</v>
      </c>
      <c r="I75" s="391"/>
      <c r="J75" s="391">
        <f t="shared" si="86"/>
        <v>341.61111111111114</v>
      </c>
      <c r="K75" s="391">
        <f t="shared" si="87"/>
        <v>3.4161111111111113</v>
      </c>
      <c r="L75" s="391">
        <f t="shared" si="88"/>
        <v>4.2701388888888889</v>
      </c>
      <c r="M75" s="391">
        <f t="shared" si="89"/>
        <v>119.94820138888889</v>
      </c>
      <c r="N75" s="391">
        <f t="shared" si="90"/>
        <v>256.59264583333334</v>
      </c>
      <c r="O75" s="284">
        <f t="shared" si="91"/>
        <v>4.240250331903594</v>
      </c>
      <c r="P75" s="284">
        <f t="shared" si="92"/>
        <v>9.0707241881127452</v>
      </c>
      <c r="R75">
        <f>((O75-AVERAGE(O$15,O$27,O$39,O$51,O$63,O$75,O$99,O$87,O$109))/AVERAGE(O$15,O$27,O$39,O$51,O$99,O$63,O$75,O$87,O$109)) *100</f>
        <v>9.9217385648155951E-2</v>
      </c>
    </row>
    <row r="76" spans="1:28" ht="15.75" thickTop="1">
      <c r="A76" s="450">
        <v>30952</v>
      </c>
      <c r="B76" s="450" t="s">
        <v>2276</v>
      </c>
      <c r="C76" s="446" t="s">
        <v>2287</v>
      </c>
      <c r="D76" s="450">
        <v>73</v>
      </c>
      <c r="E76" s="450" t="s">
        <v>2313</v>
      </c>
      <c r="F76" s="450">
        <v>446.7</v>
      </c>
      <c r="G76" s="452">
        <v>3.0356999999999998</v>
      </c>
      <c r="H76" s="43">
        <f t="shared" si="85"/>
        <v>3035.7</v>
      </c>
      <c r="J76">
        <f t="shared" si="86"/>
        <v>446.01111111111112</v>
      </c>
      <c r="K76">
        <f t="shared" si="87"/>
        <v>4.4601111111111109</v>
      </c>
      <c r="L76">
        <f t="shared" si="88"/>
        <v>5.5751388888888886</v>
      </c>
      <c r="M76">
        <f t="shared" si="89"/>
        <v>156.60565138888887</v>
      </c>
      <c r="N76">
        <f t="shared" si="90"/>
        <v>335.01009583333331</v>
      </c>
      <c r="O76" s="284">
        <f t="shared" si="91"/>
        <v>5.1587986753924593</v>
      </c>
      <c r="P76" s="284">
        <f t="shared" si="92"/>
        <v>11.035678618879775</v>
      </c>
      <c r="Q76">
        <f t="shared" ref="Q76" si="99">((O76-O77)/AVERAGE(O76:O77))*100</f>
        <v>-0.49226725374626479</v>
      </c>
      <c r="T76">
        <f t="shared" ref="T76" si="100">AVERAGE(O76:O77)</f>
        <v>5.1715275437005124</v>
      </c>
      <c r="U76">
        <f t="shared" ref="U76" si="101">AVERAGE(P76:P77)</f>
        <v>11.062908155961688</v>
      </c>
      <c r="W76" s="85">
        <v>45180.5</v>
      </c>
    </row>
    <row r="77" spans="1:28">
      <c r="A77" s="450">
        <v>30953</v>
      </c>
      <c r="B77" s="450" t="s">
        <v>2276</v>
      </c>
      <c r="C77" s="443" t="s">
        <v>2288</v>
      </c>
      <c r="D77" s="450">
        <v>74</v>
      </c>
      <c r="E77" s="450" t="s">
        <v>2313</v>
      </c>
      <c r="F77" s="450">
        <v>360.8</v>
      </c>
      <c r="G77" s="451">
        <v>2.4390000000000001</v>
      </c>
      <c r="H77" s="43">
        <f t="shared" si="85"/>
        <v>2439</v>
      </c>
      <c r="I77" s="37"/>
      <c r="J77">
        <f t="shared" si="86"/>
        <v>360.11111111111114</v>
      </c>
      <c r="K77">
        <f t="shared" si="87"/>
        <v>3.6011111111111118</v>
      </c>
      <c r="L77">
        <f t="shared" si="88"/>
        <v>4.50138888888889</v>
      </c>
      <c r="M77">
        <f t="shared" si="89"/>
        <v>126.44401388888892</v>
      </c>
      <c r="N77">
        <f t="shared" si="90"/>
        <v>270.48845833333343</v>
      </c>
      <c r="O77" s="284">
        <f t="shared" si="91"/>
        <v>5.1842564120085655</v>
      </c>
      <c r="P77" s="284">
        <f t="shared" si="92"/>
        <v>11.090137693043602</v>
      </c>
      <c r="W77" s="85">
        <v>45180.5</v>
      </c>
    </row>
    <row r="78" spans="1:28">
      <c r="A78" s="450">
        <v>30954</v>
      </c>
      <c r="B78" s="450" t="s">
        <v>2276</v>
      </c>
      <c r="C78" s="443" t="s">
        <v>2289</v>
      </c>
      <c r="D78" s="450">
        <v>75</v>
      </c>
      <c r="E78" s="450" t="s">
        <v>2313</v>
      </c>
      <c r="F78" s="450">
        <v>338.5</v>
      </c>
      <c r="G78" s="451">
        <v>2.4893000000000001</v>
      </c>
      <c r="H78" s="43">
        <f t="shared" si="85"/>
        <v>2489.3000000000002</v>
      </c>
      <c r="J78">
        <f t="shared" si="86"/>
        <v>337.81111111111113</v>
      </c>
      <c r="K78">
        <f t="shared" si="87"/>
        <v>3.3781111111111111</v>
      </c>
      <c r="L78">
        <f t="shared" si="88"/>
        <v>4.2226388888888886</v>
      </c>
      <c r="M78">
        <f t="shared" si="89"/>
        <v>118.61392638888888</v>
      </c>
      <c r="N78">
        <f t="shared" si="90"/>
        <v>253.73837083333333</v>
      </c>
      <c r="O78" s="284">
        <f t="shared" si="91"/>
        <v>4.7649510460325741</v>
      </c>
      <c r="P78" s="284">
        <f t="shared" si="92"/>
        <v>10.19316156483081</v>
      </c>
      <c r="Q78">
        <f t="shared" ref="Q78" si="102">((O78-O79)/AVERAGE(O78:O79))*100</f>
        <v>0.44050289657761077</v>
      </c>
      <c r="T78" s="444">
        <f t="shared" ref="T78" si="103">AVERAGE(O78:O79)</f>
        <v>4.75447923665525</v>
      </c>
      <c r="U78" s="444">
        <f t="shared" ref="U78" si="104">AVERAGE(P78:P79)</f>
        <v>10.170760317928588</v>
      </c>
      <c r="W78" s="85">
        <v>45195.5</v>
      </c>
      <c r="AB78" s="37"/>
    </row>
    <row r="79" spans="1:28">
      <c r="A79" s="450">
        <v>30955</v>
      </c>
      <c r="B79" s="450" t="s">
        <v>2276</v>
      </c>
      <c r="C79" s="443" t="s">
        <v>2290</v>
      </c>
      <c r="D79" s="450">
        <v>76</v>
      </c>
      <c r="E79" s="450" t="s">
        <v>2313</v>
      </c>
      <c r="F79" s="450">
        <v>373.4</v>
      </c>
      <c r="G79" s="451">
        <v>2.7585999999999999</v>
      </c>
      <c r="H79" s="43">
        <f t="shared" si="85"/>
        <v>2758.6</v>
      </c>
      <c r="J79">
        <f t="shared" si="86"/>
        <v>372.71111111111111</v>
      </c>
      <c r="K79">
        <f t="shared" si="87"/>
        <v>3.7271111111111113</v>
      </c>
      <c r="L79">
        <f t="shared" si="88"/>
        <v>4.6588888888888889</v>
      </c>
      <c r="M79">
        <f t="shared" si="89"/>
        <v>130.86818888888888</v>
      </c>
      <c r="N79">
        <f t="shared" si="90"/>
        <v>279.95263333333332</v>
      </c>
      <c r="O79" s="284">
        <f t="shared" si="91"/>
        <v>4.7440074272779267</v>
      </c>
      <c r="P79" s="284">
        <f t="shared" si="92"/>
        <v>10.148359071026366</v>
      </c>
      <c r="T79" s="444"/>
      <c r="U79" s="444"/>
      <c r="W79" s="85">
        <v>45195.5</v>
      </c>
    </row>
    <row r="80" spans="1:28" s="444" customFormat="1">
      <c r="A80" s="450">
        <v>30956</v>
      </c>
      <c r="B80" s="450" t="s">
        <v>2276</v>
      </c>
      <c r="C80" s="443" t="s">
        <v>2291</v>
      </c>
      <c r="D80" s="450">
        <v>77</v>
      </c>
      <c r="E80" s="450" t="s">
        <v>2313</v>
      </c>
      <c r="F80" s="450">
        <v>428.3</v>
      </c>
      <c r="G80" s="451">
        <v>3.1120999999999999</v>
      </c>
      <c r="H80" s="43">
        <f t="shared" si="85"/>
        <v>3112.1</v>
      </c>
      <c r="I80"/>
      <c r="J80">
        <f t="shared" si="86"/>
        <v>427.61111111111114</v>
      </c>
      <c r="K80">
        <f t="shared" si="87"/>
        <v>4.2761111111111116</v>
      </c>
      <c r="L80">
        <f t="shared" si="88"/>
        <v>5.34513888888889</v>
      </c>
      <c r="M80">
        <f t="shared" si="89"/>
        <v>150.14495138888893</v>
      </c>
      <c r="N80">
        <f t="shared" si="90"/>
        <v>321.18939583333344</v>
      </c>
      <c r="O80" s="284">
        <f t="shared" si="91"/>
        <v>4.824554204199381</v>
      </c>
      <c r="P80" s="284">
        <f t="shared" si="92"/>
        <v>10.320664369182657</v>
      </c>
      <c r="Q80">
        <f t="shared" ref="Q80" si="105">((O80-O81)/AVERAGE(O80:O81))*100</f>
        <v>-0.47429894103716147</v>
      </c>
      <c r="R80"/>
      <c r="S80"/>
      <c r="T80">
        <f t="shared" ref="T80" si="106">AVERAGE(O80:O81)</f>
        <v>4.8360228066795798</v>
      </c>
      <c r="U80">
        <f t="shared" ref="U80" si="107">AVERAGE(P80:P81)</f>
        <v>10.345197951348378</v>
      </c>
      <c r="V80"/>
      <c r="W80" s="85">
        <v>45210.5</v>
      </c>
      <c r="X80"/>
      <c r="Z80"/>
    </row>
    <row r="81" spans="1:26" s="444" customFormat="1">
      <c r="A81" s="450">
        <v>30957</v>
      </c>
      <c r="B81" s="450" t="s">
        <v>2276</v>
      </c>
      <c r="C81" s="443" t="s">
        <v>2292</v>
      </c>
      <c r="D81" s="450">
        <v>78</v>
      </c>
      <c r="E81" s="450" t="s">
        <v>2313</v>
      </c>
      <c r="F81" s="450">
        <v>352</v>
      </c>
      <c r="G81" s="451">
        <v>2.5447000000000002</v>
      </c>
      <c r="H81" s="43">
        <f t="shared" si="85"/>
        <v>2544.7000000000003</v>
      </c>
      <c r="I81"/>
      <c r="J81">
        <f t="shared" si="86"/>
        <v>351.31111111111113</v>
      </c>
      <c r="K81">
        <f t="shared" si="87"/>
        <v>3.5131111111111113</v>
      </c>
      <c r="L81">
        <f t="shared" si="88"/>
        <v>4.3913888888888888</v>
      </c>
      <c r="M81">
        <f t="shared" si="89"/>
        <v>123.35411388888889</v>
      </c>
      <c r="N81">
        <f t="shared" si="90"/>
        <v>263.87855833333333</v>
      </c>
      <c r="O81" s="284">
        <f t="shared" si="91"/>
        <v>4.8474914091597778</v>
      </c>
      <c r="P81" s="284">
        <f t="shared" si="92"/>
        <v>10.3697315335141</v>
      </c>
      <c r="Q81"/>
      <c r="R81"/>
      <c r="S81"/>
      <c r="T81"/>
      <c r="U81"/>
      <c r="V81"/>
      <c r="W81" s="85">
        <v>45210.5</v>
      </c>
      <c r="X81"/>
      <c r="Z81" s="29"/>
    </row>
    <row r="82" spans="1:26">
      <c r="A82" s="450">
        <v>30958</v>
      </c>
      <c r="B82" s="450" t="s">
        <v>2276</v>
      </c>
      <c r="C82" s="443" t="s">
        <v>2258</v>
      </c>
      <c r="D82" s="450">
        <v>79</v>
      </c>
      <c r="E82" s="450" t="s">
        <v>2313</v>
      </c>
      <c r="F82" s="450">
        <v>447.8</v>
      </c>
      <c r="G82" s="451">
        <v>3.1364999999999998</v>
      </c>
      <c r="H82" s="43">
        <f t="shared" si="85"/>
        <v>3136.5</v>
      </c>
      <c r="J82">
        <f t="shared" si="86"/>
        <v>447.11111111111114</v>
      </c>
      <c r="K82">
        <f t="shared" si="87"/>
        <v>4.471111111111111</v>
      </c>
      <c r="L82">
        <f t="shared" si="88"/>
        <v>5.5888888888888886</v>
      </c>
      <c r="M82">
        <f t="shared" si="89"/>
        <v>156.99188888888887</v>
      </c>
      <c r="N82">
        <f t="shared" si="90"/>
        <v>335.83633333333336</v>
      </c>
      <c r="O82" s="284">
        <f t="shared" si="91"/>
        <v>5.0053208636661521</v>
      </c>
      <c r="P82" s="284">
        <f t="shared" si="92"/>
        <v>10.707359583399755</v>
      </c>
      <c r="Q82">
        <f t="shared" ref="Q82" si="108">((O82-O83)/AVERAGE(O82:O83))*100</f>
        <v>1.9961586343088655</v>
      </c>
      <c r="T82" s="444">
        <f t="shared" ref="T82" si="109">AVERAGE(O82:O83)</f>
        <v>4.9558574752183464</v>
      </c>
      <c r="U82" s="444">
        <f t="shared" ref="U82" si="110">AVERAGE(P82:P83)</f>
        <v>10.601547728226073</v>
      </c>
      <c r="W82" s="85">
        <v>45225.5</v>
      </c>
    </row>
    <row r="83" spans="1:26">
      <c r="A83" s="450">
        <v>30959</v>
      </c>
      <c r="B83" s="450" t="s">
        <v>2276</v>
      </c>
      <c r="C83" s="443" t="s">
        <v>2259</v>
      </c>
      <c r="D83" s="450">
        <v>80</v>
      </c>
      <c r="E83" s="450" t="s">
        <v>2313</v>
      </c>
      <c r="F83" s="450">
        <v>365.1</v>
      </c>
      <c r="G83" s="451">
        <v>2.6078999999999999</v>
      </c>
      <c r="H83" s="43">
        <f t="shared" si="85"/>
        <v>2607.9</v>
      </c>
      <c r="J83">
        <f t="shared" si="86"/>
        <v>364.41111111111115</v>
      </c>
      <c r="K83">
        <f t="shared" si="87"/>
        <v>3.6441111111111111</v>
      </c>
      <c r="L83">
        <f t="shared" si="88"/>
        <v>4.5551388888888891</v>
      </c>
      <c r="M83">
        <f t="shared" si="89"/>
        <v>127.95385138888889</v>
      </c>
      <c r="N83">
        <f t="shared" si="90"/>
        <v>273.71829583333334</v>
      </c>
      <c r="O83" s="284">
        <f t="shared" si="91"/>
        <v>4.9063940867705398</v>
      </c>
      <c r="P83" s="284">
        <f t="shared" si="92"/>
        <v>10.495735873052393</v>
      </c>
      <c r="T83" s="444"/>
      <c r="U83" s="444"/>
      <c r="W83" s="85">
        <v>45225.5</v>
      </c>
    </row>
    <row r="84" spans="1:26">
      <c r="A84" s="450">
        <v>30960</v>
      </c>
      <c r="B84" s="450" t="s">
        <v>2276</v>
      </c>
      <c r="C84" s="443" t="s">
        <v>2262</v>
      </c>
      <c r="D84" s="450">
        <v>81</v>
      </c>
      <c r="E84" s="450" t="s">
        <v>2313</v>
      </c>
      <c r="F84" s="450">
        <v>350.5</v>
      </c>
      <c r="G84" s="451">
        <v>2.4906000000000001</v>
      </c>
      <c r="H84" s="43">
        <f t="shared" si="85"/>
        <v>2490.6000000000004</v>
      </c>
      <c r="J84">
        <f t="shared" si="86"/>
        <v>349.81111111111113</v>
      </c>
      <c r="K84">
        <f t="shared" si="87"/>
        <v>3.4981111111111112</v>
      </c>
      <c r="L84">
        <f t="shared" si="88"/>
        <v>4.372638888888889</v>
      </c>
      <c r="M84">
        <f t="shared" si="89"/>
        <v>122.8274263888889</v>
      </c>
      <c r="N84">
        <f t="shared" si="90"/>
        <v>262.75187083333333</v>
      </c>
      <c r="O84" s="284">
        <f t="shared" si="91"/>
        <v>4.9316400220384189</v>
      </c>
      <c r="P84" s="284">
        <f t="shared" si="92"/>
        <v>10.549741862737223</v>
      </c>
      <c r="Q84">
        <f t="shared" ref="Q84" si="111">((O84-O85)/AVERAGE(O84:O85))*100</f>
        <v>0.21915602015557728</v>
      </c>
      <c r="T84">
        <f t="shared" ref="T84" si="112">AVERAGE(O84:O85)</f>
        <v>4.9262419441444081</v>
      </c>
      <c r="U84">
        <f t="shared" ref="U84" si="113">AVERAGE(P84:P85)</f>
        <v>10.538194319104218</v>
      </c>
      <c r="W84" s="85">
        <v>45240.5</v>
      </c>
    </row>
    <row r="85" spans="1:26">
      <c r="A85" s="450">
        <v>30961</v>
      </c>
      <c r="B85" s="450" t="s">
        <v>2276</v>
      </c>
      <c r="C85" s="443" t="s">
        <v>2263</v>
      </c>
      <c r="D85" s="450">
        <v>82</v>
      </c>
      <c r="E85" s="450" t="s">
        <v>2313</v>
      </c>
      <c r="F85" s="450">
        <v>401.7</v>
      </c>
      <c r="G85" s="451">
        <v>2.8614000000000002</v>
      </c>
      <c r="H85" s="43">
        <f t="shared" si="85"/>
        <v>2861.4</v>
      </c>
      <c r="J85">
        <f t="shared" si="86"/>
        <v>401.01111111111112</v>
      </c>
      <c r="K85">
        <f t="shared" si="87"/>
        <v>4.0101111111111107</v>
      </c>
      <c r="L85">
        <f t="shared" si="88"/>
        <v>5.0126388888888886</v>
      </c>
      <c r="M85">
        <f t="shared" si="89"/>
        <v>140.80502638888888</v>
      </c>
      <c r="N85">
        <f t="shared" si="90"/>
        <v>301.20947083333334</v>
      </c>
      <c r="O85" s="284">
        <f t="shared" si="91"/>
        <v>4.9208438662503973</v>
      </c>
      <c r="P85" s="284">
        <f t="shared" si="92"/>
        <v>10.526646775471214</v>
      </c>
      <c r="W85" s="85">
        <v>45240.5</v>
      </c>
    </row>
    <row r="86" spans="1:26">
      <c r="A86" s="450">
        <v>30962</v>
      </c>
      <c r="B86" s="450" t="s">
        <v>2274</v>
      </c>
      <c r="C86" s="443" t="s">
        <v>2310</v>
      </c>
      <c r="D86" s="450">
        <v>83</v>
      </c>
      <c r="E86" s="450" t="s">
        <v>2313</v>
      </c>
      <c r="F86" s="450">
        <v>0.5</v>
      </c>
      <c r="G86" s="451"/>
      <c r="H86" s="43">
        <f t="shared" si="85"/>
        <v>0</v>
      </c>
      <c r="J86">
        <f t="shared" si="86"/>
        <v>-0.18888888888888899</v>
      </c>
      <c r="K86">
        <f t="shared" si="87"/>
        <v>-1.88888888888889E-3</v>
      </c>
      <c r="L86">
        <f t="shared" si="88"/>
        <v>-2.3611111111111124E-3</v>
      </c>
      <c r="M86">
        <f t="shared" si="89"/>
        <v>-6.6323611111111153E-2</v>
      </c>
      <c r="N86">
        <f t="shared" si="90"/>
        <v>-0.14187916666666675</v>
      </c>
      <c r="O86" s="284" t="e">
        <f t="shared" si="91"/>
        <v>#DIV/0!</v>
      </c>
      <c r="P86" s="284" t="e">
        <f t="shared" si="92"/>
        <v>#DIV/0!</v>
      </c>
    </row>
    <row r="87" spans="1:26" ht="15.75" thickBot="1">
      <c r="A87" s="454">
        <v>30963</v>
      </c>
      <c r="B87" s="454" t="s">
        <v>2273</v>
      </c>
      <c r="C87" s="445" t="s">
        <v>2310</v>
      </c>
      <c r="D87" s="454">
        <v>84</v>
      </c>
      <c r="E87" s="454" t="s">
        <v>2313</v>
      </c>
      <c r="F87" s="454">
        <v>362.6</v>
      </c>
      <c r="G87" s="455">
        <v>2.9681999999999999</v>
      </c>
      <c r="H87" s="88">
        <f t="shared" si="85"/>
        <v>2968.2</v>
      </c>
      <c r="I87" s="391"/>
      <c r="J87" s="391">
        <f t="shared" si="86"/>
        <v>361.91111111111115</v>
      </c>
      <c r="K87" s="391">
        <f t="shared" si="87"/>
        <v>3.6191111111111112</v>
      </c>
      <c r="L87" s="391">
        <f t="shared" si="88"/>
        <v>4.5238888888888891</v>
      </c>
      <c r="M87" s="391">
        <f t="shared" si="89"/>
        <v>127.07603888888889</v>
      </c>
      <c r="N87" s="391">
        <f t="shared" si="90"/>
        <v>271.84048333333334</v>
      </c>
      <c r="O87" s="284">
        <f t="shared" si="91"/>
        <v>4.281249204530992</v>
      </c>
      <c r="P87" s="284">
        <f t="shared" si="92"/>
        <v>9.1584287896143568</v>
      </c>
      <c r="R87">
        <f>((O87-AVERAGE(O$15,O$27,O$39,O$51,O$63,O$75,O$99,O$87,O$109))/AVERAGE(O$15,O$27,O$39,O$51,O$99,O$63,O$75,O$87,O$109)) *100</f>
        <v>1.0670741729746731</v>
      </c>
    </row>
    <row r="88" spans="1:26" ht="15.75" thickTop="1">
      <c r="A88" s="450">
        <v>30964</v>
      </c>
      <c r="B88" s="450" t="s">
        <v>2276</v>
      </c>
      <c r="C88" s="446" t="s">
        <v>2293</v>
      </c>
      <c r="D88" s="450">
        <v>85</v>
      </c>
      <c r="E88" s="450" t="s">
        <v>2313</v>
      </c>
      <c r="F88" s="450">
        <v>598.6</v>
      </c>
      <c r="G88" s="452">
        <v>2.5171000000000001</v>
      </c>
      <c r="H88" s="43">
        <f t="shared" si="85"/>
        <v>2517.1</v>
      </c>
      <c r="J88">
        <f t="shared" si="86"/>
        <v>597.91111111111115</v>
      </c>
      <c r="K88">
        <f t="shared" si="87"/>
        <v>5.9791111111111119</v>
      </c>
      <c r="L88">
        <f t="shared" si="88"/>
        <v>7.4738888888888901</v>
      </c>
      <c r="M88">
        <f t="shared" si="89"/>
        <v>209.94153888888891</v>
      </c>
      <c r="N88">
        <f t="shared" si="90"/>
        <v>449.10598333333343</v>
      </c>
      <c r="O88" s="284">
        <f t="shared" si="91"/>
        <v>8.3406117710416332</v>
      </c>
      <c r="P88" s="284">
        <f t="shared" si="92"/>
        <v>17.842198694264567</v>
      </c>
      <c r="Q88">
        <f t="shared" ref="Q88" si="114">((O88-O89)/AVERAGE(O88:O89))*100</f>
        <v>0.99014771458293183</v>
      </c>
      <c r="T88">
        <f t="shared" ref="T88" si="115">AVERAGE(O88:O89)</f>
        <v>8.2995230023769722</v>
      </c>
      <c r="U88">
        <f t="shared" ref="U88" si="116">AVERAGE(P88:P89)</f>
        <v>17.75430178756968</v>
      </c>
      <c r="W88" s="85">
        <v>45255.5</v>
      </c>
    </row>
    <row r="89" spans="1:26" s="391" customFormat="1">
      <c r="A89" s="450">
        <v>30965</v>
      </c>
      <c r="B89" s="450" t="s">
        <v>2276</v>
      </c>
      <c r="C89" s="443" t="s">
        <v>2294</v>
      </c>
      <c r="D89" s="450">
        <v>86</v>
      </c>
      <c r="E89" s="450" t="s">
        <v>2313</v>
      </c>
      <c r="F89" s="450">
        <v>542</v>
      </c>
      <c r="G89" s="451">
        <v>2.3014999999999999</v>
      </c>
      <c r="H89" s="43">
        <f t="shared" si="85"/>
        <v>2301.5</v>
      </c>
      <c r="I89"/>
      <c r="J89">
        <f t="shared" si="86"/>
        <v>541.31111111111113</v>
      </c>
      <c r="K89">
        <f t="shared" si="87"/>
        <v>5.4131111111111103</v>
      </c>
      <c r="L89">
        <f t="shared" si="88"/>
        <v>6.7663888888888879</v>
      </c>
      <c r="M89">
        <f t="shared" si="89"/>
        <v>190.06786388888887</v>
      </c>
      <c r="N89">
        <f t="shared" si="90"/>
        <v>406.59230833333328</v>
      </c>
      <c r="O89" s="284">
        <f t="shared" si="91"/>
        <v>8.2584342337123129</v>
      </c>
      <c r="P89" s="284">
        <f t="shared" si="92"/>
        <v>17.66640488087479</v>
      </c>
      <c r="Q89"/>
      <c r="R89"/>
      <c r="S89"/>
      <c r="T89"/>
      <c r="U89"/>
      <c r="V89"/>
      <c r="W89" s="85">
        <v>45255.5</v>
      </c>
      <c r="X89"/>
    </row>
    <row r="90" spans="1:26">
      <c r="A90" s="450">
        <v>30966</v>
      </c>
      <c r="B90" s="450" t="s">
        <v>2276</v>
      </c>
      <c r="C90" s="443" t="s">
        <v>2295</v>
      </c>
      <c r="D90" s="450">
        <v>87</v>
      </c>
      <c r="E90" s="450" t="s">
        <v>2313</v>
      </c>
      <c r="F90" s="450">
        <v>804.2</v>
      </c>
      <c r="G90" s="451">
        <v>2.6293000000000002</v>
      </c>
      <c r="H90" s="43">
        <f t="shared" si="85"/>
        <v>2629.3</v>
      </c>
      <c r="J90">
        <f t="shared" si="86"/>
        <v>803.51111111111118</v>
      </c>
      <c r="K90">
        <f t="shared" si="87"/>
        <v>8.035111111111112</v>
      </c>
      <c r="L90">
        <f t="shared" si="88"/>
        <v>10.04388888888889</v>
      </c>
      <c r="M90">
        <f t="shared" si="89"/>
        <v>282.13283888888895</v>
      </c>
      <c r="N90">
        <f t="shared" si="90"/>
        <v>603.53728333333345</v>
      </c>
      <c r="O90" s="284">
        <f t="shared" si="91"/>
        <v>10.730340352523065</v>
      </c>
      <c r="P90" s="284">
        <f t="shared" si="92"/>
        <v>22.954295186298005</v>
      </c>
      <c r="Q90">
        <f t="shared" ref="Q90" si="117">((O90-O91)/AVERAGE(O90:O91))*100</f>
        <v>-0.52894916241777923</v>
      </c>
      <c r="T90" s="444">
        <f t="shared" ref="T90" si="118">AVERAGE(O90:O91)</f>
        <v>10.758794629562725</v>
      </c>
      <c r="U90" s="444">
        <f t="shared" ref="U90" si="119">AVERAGE(P90:P91)</f>
        <v>23.015164446081315</v>
      </c>
      <c r="W90" s="85">
        <v>45270.5</v>
      </c>
    </row>
    <row r="91" spans="1:26" s="444" customFormat="1">
      <c r="A91" s="450">
        <v>30967</v>
      </c>
      <c r="B91" s="450" t="s">
        <v>2276</v>
      </c>
      <c r="C91" s="443" t="s">
        <v>2296</v>
      </c>
      <c r="D91" s="450">
        <v>88</v>
      </c>
      <c r="E91" s="450" t="s">
        <v>2313</v>
      </c>
      <c r="F91" s="450">
        <v>748.4</v>
      </c>
      <c r="G91" s="451">
        <v>2.4338000000000002</v>
      </c>
      <c r="H91" s="43">
        <f t="shared" si="85"/>
        <v>2433.8000000000002</v>
      </c>
      <c r="I91"/>
      <c r="J91">
        <f t="shared" si="86"/>
        <v>747.71111111111111</v>
      </c>
      <c r="K91">
        <f t="shared" si="87"/>
        <v>7.4771111111111113</v>
      </c>
      <c r="L91">
        <f t="shared" si="88"/>
        <v>9.3463888888888889</v>
      </c>
      <c r="M91">
        <f t="shared" si="89"/>
        <v>262.54006388888888</v>
      </c>
      <c r="N91">
        <f t="shared" si="90"/>
        <v>561.62450833333332</v>
      </c>
      <c r="O91" s="284">
        <f t="shared" si="91"/>
        <v>10.787248906602386</v>
      </c>
      <c r="P91" s="284">
        <f t="shared" si="92"/>
        <v>23.076033705864628</v>
      </c>
      <c r="Q91"/>
      <c r="R91"/>
      <c r="S91"/>
      <c r="V91"/>
      <c r="W91" s="85">
        <v>45270.5</v>
      </c>
      <c r="X91"/>
    </row>
    <row r="92" spans="1:26" s="444" customFormat="1">
      <c r="A92" s="450">
        <v>30968</v>
      </c>
      <c r="B92" s="450" t="s">
        <v>2276</v>
      </c>
      <c r="C92" s="443" t="s">
        <v>2264</v>
      </c>
      <c r="D92" s="450">
        <v>89</v>
      </c>
      <c r="E92" s="450" t="s">
        <v>2313</v>
      </c>
      <c r="F92" s="450">
        <v>796.7</v>
      </c>
      <c r="G92" s="451">
        <v>2.6516000000000002</v>
      </c>
      <c r="H92" s="43">
        <f t="shared" si="85"/>
        <v>2651.6000000000004</v>
      </c>
      <c r="I92"/>
      <c r="J92">
        <f t="shared" si="86"/>
        <v>796.01111111111118</v>
      </c>
      <c r="K92">
        <f t="shared" si="87"/>
        <v>7.9601111111111127</v>
      </c>
      <c r="L92">
        <f t="shared" si="88"/>
        <v>9.9501388888888904</v>
      </c>
      <c r="M92">
        <f t="shared" si="89"/>
        <v>279.49940138888894</v>
      </c>
      <c r="N92">
        <f t="shared" si="90"/>
        <v>597.90384583333343</v>
      </c>
      <c r="O92" s="284">
        <f t="shared" si="91"/>
        <v>10.540782975897153</v>
      </c>
      <c r="P92" s="284">
        <f t="shared" si="92"/>
        <v>22.54879490999145</v>
      </c>
      <c r="Q92">
        <f t="shared" ref="Q92" si="120">((O92-O93)/AVERAGE(O92:O93))*100</f>
        <v>-0.140058250126183</v>
      </c>
      <c r="R92"/>
      <c r="S92"/>
      <c r="T92">
        <f t="shared" ref="T92" si="121">AVERAGE(O92:O93)</f>
        <v>10.548169766895079</v>
      </c>
      <c r="U92">
        <f t="shared" ref="U92" si="122">AVERAGE(P92:P93)</f>
        <v>22.564596699634222</v>
      </c>
      <c r="V92"/>
      <c r="W92" s="85">
        <v>45285.5</v>
      </c>
      <c r="X92"/>
    </row>
    <row r="93" spans="1:26">
      <c r="A93" s="450">
        <v>30969</v>
      </c>
      <c r="B93" s="450" t="s">
        <v>2276</v>
      </c>
      <c r="C93" s="443" t="s">
        <v>2265</v>
      </c>
      <c r="D93" s="450">
        <v>90</v>
      </c>
      <c r="E93" s="450" t="s">
        <v>2313</v>
      </c>
      <c r="F93" s="450">
        <v>833.8</v>
      </c>
      <c r="G93" s="451">
        <v>2.7713000000000001</v>
      </c>
      <c r="H93" s="43">
        <f t="shared" si="85"/>
        <v>2771.3</v>
      </c>
      <c r="J93">
        <f t="shared" si="86"/>
        <v>833.11111111111109</v>
      </c>
      <c r="K93">
        <f t="shared" si="87"/>
        <v>8.3311111111111114</v>
      </c>
      <c r="L93">
        <f t="shared" si="88"/>
        <v>10.41388888888889</v>
      </c>
      <c r="M93">
        <f t="shared" si="89"/>
        <v>292.52613888888891</v>
      </c>
      <c r="N93">
        <f t="shared" si="90"/>
        <v>625.77058333333343</v>
      </c>
      <c r="O93" s="284">
        <f t="shared" si="91"/>
        <v>10.555556557893006</v>
      </c>
      <c r="P93" s="284">
        <f t="shared" si="92"/>
        <v>22.580398489276995</v>
      </c>
      <c r="W93" s="85">
        <v>45285.5</v>
      </c>
    </row>
    <row r="94" spans="1:26">
      <c r="A94" s="450">
        <v>30970</v>
      </c>
      <c r="B94" s="450" t="s">
        <v>2276</v>
      </c>
      <c r="C94" s="443" t="s">
        <v>2297</v>
      </c>
      <c r="D94" s="450">
        <v>91</v>
      </c>
      <c r="E94" s="450" t="s">
        <v>2313</v>
      </c>
      <c r="F94" s="450">
        <v>516.6</v>
      </c>
      <c r="G94" s="451">
        <v>2.5594000000000001</v>
      </c>
      <c r="H94" s="43">
        <f t="shared" si="85"/>
        <v>2559.4</v>
      </c>
      <c r="J94">
        <f t="shared" si="86"/>
        <v>515.91111111111115</v>
      </c>
      <c r="K94">
        <f t="shared" si="87"/>
        <v>5.1591111111111125</v>
      </c>
      <c r="L94">
        <f t="shared" si="88"/>
        <v>6.4488888888888907</v>
      </c>
      <c r="M94">
        <f t="shared" si="89"/>
        <v>181.14928888888895</v>
      </c>
      <c r="N94">
        <f t="shared" si="90"/>
        <v>387.51373333333345</v>
      </c>
      <c r="O94" s="284">
        <f t="shared" si="91"/>
        <v>7.0778029572903396</v>
      </c>
      <c r="P94" s="284">
        <f t="shared" si="92"/>
        <v>15.140803834231987</v>
      </c>
      <c r="Q94">
        <f t="shared" ref="Q94" si="123">((O94-O95)/AVERAGE(O94:O95))*100</f>
        <v>-0.12100517893257438</v>
      </c>
      <c r="T94" s="444">
        <f t="shared" ref="T94" si="124">AVERAGE(O94:O95)</f>
        <v>7.0820878037999151</v>
      </c>
      <c r="U94" s="444">
        <f t="shared" ref="U94" si="125">AVERAGE(P94:P95)</f>
        <v>15.149969958360161</v>
      </c>
      <c r="W94" s="85">
        <v>45300.5</v>
      </c>
    </row>
    <row r="95" spans="1:26">
      <c r="A95" s="450">
        <v>30971</v>
      </c>
      <c r="B95" s="450" t="s">
        <v>2276</v>
      </c>
      <c r="C95" s="443" t="s">
        <v>2298</v>
      </c>
      <c r="D95" s="450">
        <v>92</v>
      </c>
      <c r="E95" s="450" t="s">
        <v>2313</v>
      </c>
      <c r="F95" s="450">
        <v>492.3</v>
      </c>
      <c r="G95" s="451">
        <v>2.4359000000000002</v>
      </c>
      <c r="H95" s="43">
        <f t="shared" si="85"/>
        <v>2435.9</v>
      </c>
      <c r="J95">
        <f t="shared" si="86"/>
        <v>491.61111111111114</v>
      </c>
      <c r="K95">
        <f t="shared" si="87"/>
        <v>4.9161111111111113</v>
      </c>
      <c r="L95">
        <f t="shared" si="88"/>
        <v>6.1451388888888889</v>
      </c>
      <c r="M95">
        <f t="shared" si="89"/>
        <v>172.61695138888888</v>
      </c>
      <c r="N95">
        <f t="shared" si="90"/>
        <v>369.26139583333338</v>
      </c>
      <c r="O95" s="284">
        <f t="shared" si="91"/>
        <v>7.0863726503094897</v>
      </c>
      <c r="P95" s="284">
        <f t="shared" si="92"/>
        <v>15.159136082488336</v>
      </c>
      <c r="T95" s="444"/>
      <c r="U95" s="444"/>
      <c r="W95" s="85">
        <v>45300.5</v>
      </c>
    </row>
    <row r="96" spans="1:26">
      <c r="A96" s="450">
        <v>30972</v>
      </c>
      <c r="B96" s="450" t="s">
        <v>2276</v>
      </c>
      <c r="C96" s="443" t="s">
        <v>2299</v>
      </c>
      <c r="D96" s="450">
        <v>93</v>
      </c>
      <c r="E96" s="450" t="s">
        <v>2313</v>
      </c>
      <c r="F96" s="450">
        <v>579.5</v>
      </c>
      <c r="G96" s="451">
        <v>2.9929000000000001</v>
      </c>
      <c r="H96" s="43">
        <f t="shared" si="85"/>
        <v>2992.9</v>
      </c>
      <c r="J96">
        <f t="shared" si="86"/>
        <v>578.81111111111113</v>
      </c>
      <c r="K96">
        <f t="shared" si="87"/>
        <v>5.7881111111111121</v>
      </c>
      <c r="L96">
        <f t="shared" si="88"/>
        <v>7.2351388888888906</v>
      </c>
      <c r="M96">
        <f t="shared" si="89"/>
        <v>203.23505138888893</v>
      </c>
      <c r="N96">
        <f t="shared" si="90"/>
        <v>434.75949583333346</v>
      </c>
      <c r="O96" s="284">
        <f t="shared" si="91"/>
        <v>6.7905727351027068</v>
      </c>
      <c r="P96" s="284">
        <f t="shared" si="92"/>
        <v>14.526362251773644</v>
      </c>
      <c r="Q96" s="457">
        <f t="shared" ref="Q96" si="126">((O96-O97)/AVERAGE(O96:O97))*100</f>
        <v>10.967967814727224</v>
      </c>
      <c r="T96">
        <f t="shared" ref="T96" si="127">AVERAGE(O96:O97)</f>
        <v>6.4375391254336876</v>
      </c>
      <c r="U96">
        <f t="shared" ref="U96" si="128">AVERAGE(P96:P97)</f>
        <v>13.771154362666795</v>
      </c>
      <c r="W96" s="305">
        <v>45315.5</v>
      </c>
    </row>
    <row r="97" spans="1:24">
      <c r="A97" s="450">
        <v>30973</v>
      </c>
      <c r="B97" s="450" t="s">
        <v>2276</v>
      </c>
      <c r="C97" s="443" t="s">
        <v>2300</v>
      </c>
      <c r="D97" s="450">
        <v>94</v>
      </c>
      <c r="E97" s="450" t="s">
        <v>2313</v>
      </c>
      <c r="F97" s="450">
        <v>438.6</v>
      </c>
      <c r="G97" s="451">
        <v>2.5270999999999999</v>
      </c>
      <c r="H97" s="43">
        <f t="shared" si="85"/>
        <v>2527.1</v>
      </c>
      <c r="J97">
        <f t="shared" si="86"/>
        <v>437.91111111111115</v>
      </c>
      <c r="K97">
        <f>(J97/1000)*10</f>
        <v>4.3791111111111114</v>
      </c>
      <c r="L97">
        <f>K97*(5/4)</f>
        <v>5.4738888888888892</v>
      </c>
      <c r="M97">
        <f t="shared" si="89"/>
        <v>153.76153888888891</v>
      </c>
      <c r="N97">
        <f t="shared" si="90"/>
        <v>328.92598333333336</v>
      </c>
      <c r="O97" s="284">
        <f t="shared" si="91"/>
        <v>6.0845055157646675</v>
      </c>
      <c r="P97" s="284">
        <f t="shared" si="92"/>
        <v>13.015946473559945</v>
      </c>
      <c r="Q97" s="457" t="s">
        <v>2319</v>
      </c>
      <c r="W97" s="305">
        <v>45315.5</v>
      </c>
    </row>
    <row r="98" spans="1:24">
      <c r="A98" s="450">
        <v>30974</v>
      </c>
      <c r="B98" s="450" t="s">
        <v>2272</v>
      </c>
      <c r="C98" s="443" t="s">
        <v>2311</v>
      </c>
      <c r="D98" s="450">
        <v>95</v>
      </c>
      <c r="E98" s="450" t="s">
        <v>2313</v>
      </c>
      <c r="F98" s="450">
        <v>1</v>
      </c>
      <c r="G98" s="451"/>
      <c r="H98" s="43">
        <f t="shared" si="85"/>
        <v>0</v>
      </c>
      <c r="J98">
        <f t="shared" si="86"/>
        <v>0.31111111111111101</v>
      </c>
      <c r="K98">
        <f t="shared" si="87"/>
        <v>3.1111111111111101E-3</v>
      </c>
      <c r="L98">
        <f t="shared" si="88"/>
        <v>3.8888888888888875E-3</v>
      </c>
      <c r="M98">
        <f t="shared" si="89"/>
        <v>0.10923888888888884</v>
      </c>
      <c r="N98">
        <f t="shared" si="90"/>
        <v>0.23368333333333327</v>
      </c>
      <c r="O98" s="284" t="e">
        <f t="shared" si="91"/>
        <v>#DIV/0!</v>
      </c>
      <c r="P98" s="284" t="e">
        <f t="shared" si="92"/>
        <v>#DIV/0!</v>
      </c>
    </row>
    <row r="99" spans="1:24" ht="15.75" thickBot="1">
      <c r="A99" s="454">
        <v>30975</v>
      </c>
      <c r="B99" s="454" t="s">
        <v>2273</v>
      </c>
      <c r="C99" s="445" t="s">
        <v>2311</v>
      </c>
      <c r="D99" s="454">
        <v>96</v>
      </c>
      <c r="E99" s="454" t="s">
        <v>2313</v>
      </c>
      <c r="F99" s="454">
        <v>282.5</v>
      </c>
      <c r="G99" s="455">
        <v>2.3014000000000001</v>
      </c>
      <c r="H99" s="88">
        <f t="shared" si="85"/>
        <v>2301.4</v>
      </c>
      <c r="I99" s="391"/>
      <c r="J99" s="391">
        <f t="shared" si="86"/>
        <v>281.81111111111113</v>
      </c>
      <c r="K99" s="391">
        <f t="shared" si="87"/>
        <v>2.8181111111111115</v>
      </c>
      <c r="L99" s="391">
        <f t="shared" si="88"/>
        <v>3.5226388888888893</v>
      </c>
      <c r="M99" s="391">
        <f t="shared" si="89"/>
        <v>98.950926388888902</v>
      </c>
      <c r="N99" s="391">
        <f t="shared" si="90"/>
        <v>211.67537083333337</v>
      </c>
      <c r="O99" s="284">
        <f t="shared" si="91"/>
        <v>4.2995970447939911</v>
      </c>
      <c r="P99" s="284">
        <f t="shared" si="92"/>
        <v>9.1976784058978609</v>
      </c>
      <c r="R99">
        <f>((O99-AVERAGE(O$15,O$27,O$39,O$51,O$63,O$75,O$99,O$87,O$109))/AVERAGE(O$15,O$27,O$39,O$51,O$99,O$63,O$75,O$87,O$109)) *100</f>
        <v>1.5002100275313019</v>
      </c>
    </row>
    <row r="100" spans="1:24" ht="15.75" thickTop="1">
      <c r="A100" s="450">
        <v>30976</v>
      </c>
      <c r="B100" s="450" t="s">
        <v>2276</v>
      </c>
      <c r="C100" s="446" t="s">
        <v>2301</v>
      </c>
      <c r="D100" s="450">
        <v>97</v>
      </c>
      <c r="E100" s="450" t="s">
        <v>2313</v>
      </c>
      <c r="F100" s="450">
        <v>509.2</v>
      </c>
      <c r="G100" s="452">
        <v>3.1385999999999998</v>
      </c>
      <c r="H100" s="43">
        <f t="shared" si="85"/>
        <v>3138.6</v>
      </c>
      <c r="J100">
        <f t="shared" si="86"/>
        <v>508.51111111111112</v>
      </c>
      <c r="K100">
        <f t="shared" si="87"/>
        <v>5.0851111111111109</v>
      </c>
      <c r="L100">
        <f t="shared" si="88"/>
        <v>6.3563888888888886</v>
      </c>
      <c r="M100">
        <f t="shared" si="89"/>
        <v>178.55096388888887</v>
      </c>
      <c r="N100">
        <f t="shared" si="90"/>
        <v>381.95540833333337</v>
      </c>
      <c r="O100" s="284">
        <f t="shared" si="91"/>
        <v>5.6888728697154427</v>
      </c>
      <c r="P100" s="284">
        <f t="shared" si="92"/>
        <v>12.169610919943077</v>
      </c>
      <c r="Q100">
        <f>((O100-O101)/AVERAGE(O100:O101))*100</f>
        <v>0.30503317344084735</v>
      </c>
      <c r="T100">
        <f t="shared" ref="T100" si="129">AVERAGE(O100:O101)</f>
        <v>5.6802096079029036</v>
      </c>
      <c r="U100">
        <f t="shared" ref="U100" si="130">AVERAGE(P100:P101)</f>
        <v>12.151078509750285</v>
      </c>
      <c r="W100" s="85">
        <v>45330.5</v>
      </c>
    </row>
    <row r="101" spans="1:24">
      <c r="A101" s="450">
        <v>30977</v>
      </c>
      <c r="B101" s="450" t="s">
        <v>2276</v>
      </c>
      <c r="C101" s="443" t="s">
        <v>2302</v>
      </c>
      <c r="D101" s="450">
        <v>98</v>
      </c>
      <c r="E101" s="450" t="s">
        <v>2313</v>
      </c>
      <c r="F101" s="450">
        <v>430.2</v>
      </c>
      <c r="G101" s="451">
        <v>2.6591</v>
      </c>
      <c r="H101" s="43">
        <f t="shared" si="85"/>
        <v>2659.1</v>
      </c>
      <c r="J101">
        <f t="shared" si="86"/>
        <v>429.51111111111112</v>
      </c>
      <c r="K101">
        <f t="shared" si="87"/>
        <v>4.2951111111111109</v>
      </c>
      <c r="L101">
        <f t="shared" si="88"/>
        <v>5.3688888888888888</v>
      </c>
      <c r="M101">
        <f t="shared" si="89"/>
        <v>150.81208888888889</v>
      </c>
      <c r="N101">
        <f t="shared" si="90"/>
        <v>322.61653333333334</v>
      </c>
      <c r="O101" s="284">
        <f t="shared" si="91"/>
        <v>5.6715463460903646</v>
      </c>
      <c r="P101" s="284">
        <f t="shared" si="92"/>
        <v>12.132546099557494</v>
      </c>
      <c r="W101" s="85">
        <v>45330.5</v>
      </c>
    </row>
    <row r="102" spans="1:24">
      <c r="A102" s="450">
        <v>30978</v>
      </c>
      <c r="B102" s="450" t="s">
        <v>2276</v>
      </c>
      <c r="C102" s="443" t="s">
        <v>2303</v>
      </c>
      <c r="D102" s="450">
        <v>99</v>
      </c>
      <c r="E102" s="450" t="s">
        <v>2313</v>
      </c>
      <c r="F102" s="450">
        <v>326</v>
      </c>
      <c r="G102" s="451">
        <v>2.71</v>
      </c>
      <c r="H102" s="43">
        <f t="shared" si="85"/>
        <v>2710</v>
      </c>
      <c r="J102">
        <f t="shared" si="86"/>
        <v>325.31111111111113</v>
      </c>
      <c r="K102">
        <f t="shared" si="87"/>
        <v>3.2531111111111111</v>
      </c>
      <c r="L102">
        <f t="shared" si="88"/>
        <v>4.0663888888888886</v>
      </c>
      <c r="M102">
        <f t="shared" si="89"/>
        <v>114.22486388888888</v>
      </c>
      <c r="N102">
        <f t="shared" si="90"/>
        <v>244.34930833333334</v>
      </c>
      <c r="O102" s="284">
        <f t="shared" si="91"/>
        <v>4.2149396268962684</v>
      </c>
      <c r="P102" s="284">
        <f t="shared" si="92"/>
        <v>9.0165796432964331</v>
      </c>
      <c r="Q102">
        <f t="shared" ref="Q102" si="131">((O102-O103)/AVERAGE(O102:O103))*100</f>
        <v>-0.81425081052181936</v>
      </c>
      <c r="T102" s="444">
        <f t="shared" ref="T102" si="132">AVERAGE(O102:O103)</f>
        <v>4.2321698656129758</v>
      </c>
      <c r="U102" s="444">
        <f t="shared" ref="U102" si="133">AVERAGE(P102:P103)</f>
        <v>9.0534384914447745</v>
      </c>
      <c r="W102" s="85">
        <v>45345.5</v>
      </c>
    </row>
    <row r="103" spans="1:24">
      <c r="A103" s="450">
        <v>30979</v>
      </c>
      <c r="B103" s="450" t="s">
        <v>2276</v>
      </c>
      <c r="C103" s="443" t="s">
        <v>2304</v>
      </c>
      <c r="D103" s="450">
        <v>100</v>
      </c>
      <c r="E103" s="450" t="s">
        <v>2313</v>
      </c>
      <c r="F103" s="450">
        <v>312.60000000000002</v>
      </c>
      <c r="G103" s="451">
        <v>2.5773000000000001</v>
      </c>
      <c r="H103" s="43">
        <f t="shared" si="85"/>
        <v>2577.3000000000002</v>
      </c>
      <c r="J103">
        <f t="shared" si="86"/>
        <v>311.91111111111115</v>
      </c>
      <c r="K103">
        <f t="shared" si="87"/>
        <v>3.1191111111111116</v>
      </c>
      <c r="L103">
        <f t="shared" si="88"/>
        <v>3.8988888888888895</v>
      </c>
      <c r="M103">
        <f t="shared" si="89"/>
        <v>109.51978888888891</v>
      </c>
      <c r="N103">
        <f t="shared" si="90"/>
        <v>234.28423333333339</v>
      </c>
      <c r="O103" s="284">
        <f t="shared" si="91"/>
        <v>4.2494001043296823</v>
      </c>
      <c r="P103" s="284">
        <f t="shared" si="92"/>
        <v>9.0902973395931159</v>
      </c>
      <c r="T103" s="444"/>
      <c r="U103" s="444"/>
      <c r="W103" s="85">
        <v>45345.5</v>
      </c>
    </row>
    <row r="104" spans="1:24">
      <c r="A104" s="450">
        <v>30980</v>
      </c>
      <c r="B104" s="450" t="s">
        <v>2276</v>
      </c>
      <c r="C104" s="443" t="s">
        <v>2305</v>
      </c>
      <c r="D104" s="450">
        <v>101</v>
      </c>
      <c r="E104" s="450" t="s">
        <v>2313</v>
      </c>
      <c r="F104" s="450">
        <v>248.6</v>
      </c>
      <c r="G104" s="451">
        <v>2.5284</v>
      </c>
      <c r="H104" s="43">
        <f t="shared" si="85"/>
        <v>2528.4</v>
      </c>
      <c r="J104">
        <f t="shared" si="86"/>
        <v>247.9111111111111</v>
      </c>
      <c r="K104">
        <f t="shared" si="87"/>
        <v>2.479111111111111</v>
      </c>
      <c r="L104">
        <f t="shared" si="88"/>
        <v>3.0988888888888888</v>
      </c>
      <c r="M104">
        <f t="shared" si="89"/>
        <v>87.047788888888888</v>
      </c>
      <c r="N104">
        <f t="shared" si="90"/>
        <v>186.21223333333333</v>
      </c>
      <c r="O104" s="284">
        <f t="shared" si="91"/>
        <v>3.4428013324192723</v>
      </c>
      <c r="P104" s="284">
        <f t="shared" si="92"/>
        <v>7.3648249222169486</v>
      </c>
      <c r="Q104">
        <f t="shared" ref="Q104" si="134">((O104-O105)/AVERAGE(O104:O105))*100</f>
        <v>0.45253022125632225</v>
      </c>
      <c r="T104">
        <f t="shared" ref="T104" si="135">AVERAGE(O104:O105)</f>
        <v>3.4350290601162907</v>
      </c>
      <c r="U104">
        <f t="shared" ref="U104" si="136">AVERAGE(P104:P105)</f>
        <v>7.3481985127229592</v>
      </c>
      <c r="W104" s="85">
        <v>45360.5</v>
      </c>
    </row>
    <row r="105" spans="1:24" s="444" customFormat="1">
      <c r="A105" s="450">
        <v>30981</v>
      </c>
      <c r="B105" s="450" t="s">
        <v>2276</v>
      </c>
      <c r="C105" s="443" t="s">
        <v>2306</v>
      </c>
      <c r="D105" s="450">
        <v>102</v>
      </c>
      <c r="E105" s="450" t="s">
        <v>2313</v>
      </c>
      <c r="F105" s="450">
        <v>292.8</v>
      </c>
      <c r="G105" s="451">
        <v>2.9927000000000001</v>
      </c>
      <c r="H105" s="43">
        <f t="shared" si="85"/>
        <v>2992.7000000000003</v>
      </c>
      <c r="I105"/>
      <c r="J105">
        <f t="shared" si="86"/>
        <v>292.11111111111114</v>
      </c>
      <c r="K105">
        <f t="shared" si="87"/>
        <v>2.9211111111111117</v>
      </c>
      <c r="L105">
        <f t="shared" si="88"/>
        <v>3.6513888888888895</v>
      </c>
      <c r="M105">
        <f t="shared" si="89"/>
        <v>102.56751388888891</v>
      </c>
      <c r="N105">
        <f t="shared" si="90"/>
        <v>219.41195833333339</v>
      </c>
      <c r="O105" s="284">
        <f t="shared" si="91"/>
        <v>3.4272567878133091</v>
      </c>
      <c r="P105" s="284">
        <f t="shared" si="92"/>
        <v>7.3315721032289698</v>
      </c>
      <c r="Q105"/>
      <c r="R105"/>
      <c r="S105"/>
      <c r="T105"/>
      <c r="U105"/>
      <c r="V105"/>
      <c r="W105" s="85">
        <v>45360.5</v>
      </c>
      <c r="X105"/>
    </row>
    <row r="106" spans="1:24" s="444" customFormat="1">
      <c r="A106" s="450">
        <v>30982</v>
      </c>
      <c r="B106" s="450" t="s">
        <v>2276</v>
      </c>
      <c r="C106" s="443" t="s">
        <v>2307</v>
      </c>
      <c r="D106" s="450">
        <v>103</v>
      </c>
      <c r="E106" s="450" t="s">
        <v>2313</v>
      </c>
      <c r="F106" s="450">
        <v>224.7</v>
      </c>
      <c r="G106" s="451">
        <v>2.2481</v>
      </c>
      <c r="H106" s="43">
        <f t="shared" si="85"/>
        <v>2248.1</v>
      </c>
      <c r="I106"/>
      <c r="J106">
        <f t="shared" si="86"/>
        <v>224.01111111111109</v>
      </c>
      <c r="K106">
        <f t="shared" si="87"/>
        <v>2.2401111111111112</v>
      </c>
      <c r="L106">
        <f t="shared" si="88"/>
        <v>2.8001388888888892</v>
      </c>
      <c r="M106">
        <f t="shared" si="89"/>
        <v>78.655901388888893</v>
      </c>
      <c r="N106">
        <f t="shared" si="90"/>
        <v>168.26034583333336</v>
      </c>
      <c r="O106" s="284">
        <f t="shared" si="91"/>
        <v>3.4987723583865886</v>
      </c>
      <c r="P106" s="284">
        <f t="shared" si="92"/>
        <v>7.4845578859184805</v>
      </c>
      <c r="Q106">
        <f t="shared" ref="Q106" si="137">((O106-O107)/AVERAGE(O106:O107))*100</f>
        <v>2.3396980975516284</v>
      </c>
      <c r="R106"/>
      <c r="S106"/>
      <c r="T106" s="444">
        <f t="shared" ref="T106" si="138">AVERAGE(O106:O107)</f>
        <v>3.4583152898644407</v>
      </c>
      <c r="U106" s="444">
        <f t="shared" ref="U106" si="139">AVERAGE(P106:P107)</f>
        <v>7.3980123092899346</v>
      </c>
      <c r="V106"/>
      <c r="W106" s="85">
        <v>45375.5</v>
      </c>
      <c r="X106"/>
    </row>
    <row r="107" spans="1:24">
      <c r="A107" s="450">
        <v>30983</v>
      </c>
      <c r="B107" s="450" t="s">
        <v>2276</v>
      </c>
      <c r="C107" s="443" t="s">
        <v>2308</v>
      </c>
      <c r="D107" s="450">
        <v>104</v>
      </c>
      <c r="E107" s="450" t="s">
        <v>2313</v>
      </c>
      <c r="F107" s="450">
        <v>271.10000000000002</v>
      </c>
      <c r="G107" s="451">
        <v>2.778</v>
      </c>
      <c r="H107" s="43">
        <f t="shared" si="85"/>
        <v>2778</v>
      </c>
      <c r="J107">
        <f t="shared" si="86"/>
        <v>270.41111111111115</v>
      </c>
      <c r="K107">
        <f t="shared" si="87"/>
        <v>2.7041111111111116</v>
      </c>
      <c r="L107">
        <f t="shared" si="88"/>
        <v>3.3801388888888892</v>
      </c>
      <c r="M107">
        <f t="shared" si="89"/>
        <v>94.948101388888901</v>
      </c>
      <c r="N107">
        <f t="shared" si="90"/>
        <v>203.11254583333337</v>
      </c>
      <c r="O107" s="284">
        <f t="shared" si="91"/>
        <v>3.4178582213422932</v>
      </c>
      <c r="P107" s="284">
        <f t="shared" si="92"/>
        <v>7.3114667326613887</v>
      </c>
      <c r="T107" s="444"/>
      <c r="U107" s="444"/>
      <c r="W107" s="85">
        <v>45375.5</v>
      </c>
    </row>
    <row r="108" spans="1:24">
      <c r="A108" s="450">
        <v>30984</v>
      </c>
      <c r="B108" s="450" t="s">
        <v>2272</v>
      </c>
      <c r="C108" s="443" t="s">
        <v>2312</v>
      </c>
      <c r="D108" s="450">
        <v>105</v>
      </c>
      <c r="E108" s="450" t="s">
        <v>2313</v>
      </c>
      <c r="F108" s="450">
        <v>0.9</v>
      </c>
      <c r="G108" s="451"/>
      <c r="H108" s="43">
        <f t="shared" si="85"/>
        <v>0</v>
      </c>
      <c r="J108">
        <f t="shared" si="86"/>
        <v>0.21111111111111103</v>
      </c>
      <c r="K108">
        <f t="shared" si="87"/>
        <v>2.1111111111111105E-3</v>
      </c>
      <c r="L108">
        <f t="shared" si="88"/>
        <v>2.6388888888888881E-3</v>
      </c>
      <c r="M108">
        <f t="shared" si="89"/>
        <v>7.4126388888888867E-2</v>
      </c>
      <c r="N108">
        <f t="shared" si="90"/>
        <v>0.1585708333333333</v>
      </c>
      <c r="O108" s="284" t="e">
        <f t="shared" si="91"/>
        <v>#DIV/0!</v>
      </c>
      <c r="P108" s="284" t="e">
        <f t="shared" si="92"/>
        <v>#DIV/0!</v>
      </c>
    </row>
    <row r="109" spans="1:24">
      <c r="A109" s="454">
        <v>30985</v>
      </c>
      <c r="B109" s="454" t="s">
        <v>2273</v>
      </c>
      <c r="C109" s="447" t="s">
        <v>2312</v>
      </c>
      <c r="D109" s="454">
        <v>106</v>
      </c>
      <c r="E109" s="454" t="s">
        <v>2313</v>
      </c>
      <c r="F109" s="454">
        <v>349.5</v>
      </c>
      <c r="G109" s="456">
        <v>2.9775999999999998</v>
      </c>
      <c r="H109" s="88">
        <f t="shared" si="85"/>
        <v>2977.6</v>
      </c>
      <c r="I109" s="391"/>
      <c r="J109" s="391">
        <f t="shared" si="86"/>
        <v>348.81111111111113</v>
      </c>
      <c r="K109" s="391">
        <f t="shared" si="87"/>
        <v>3.4881111111111114</v>
      </c>
      <c r="L109" s="391">
        <f t="shared" si="88"/>
        <v>4.3601388888888888</v>
      </c>
      <c r="M109" s="391">
        <f t="shared" si="89"/>
        <v>122.47630138888888</v>
      </c>
      <c r="N109" s="391">
        <f t="shared" si="90"/>
        <v>262.00074583333333</v>
      </c>
      <c r="O109" s="284">
        <f t="shared" si="91"/>
        <v>4.1132556887724636</v>
      </c>
      <c r="P109" s="284">
        <f t="shared" si="92"/>
        <v>8.7990578262135042</v>
      </c>
      <c r="R109">
        <f>((O109-AVERAGE(O$15,O$27,O$39,O$51,O$63,O$75,O$99,O$87,O$109))/AVERAGE(O$15,O$27,O$39,O$51,O$99,O$63,O$75,O$87,O$109)) *100</f>
        <v>-2.8987340074454093</v>
      </c>
    </row>
    <row r="110" spans="1:24">
      <c r="C110" s="443"/>
      <c r="H110" s="453"/>
      <c r="O110" s="284"/>
      <c r="P110" s="284"/>
    </row>
    <row r="111" spans="1:24">
      <c r="O111"/>
      <c r="P111"/>
    </row>
    <row r="112" spans="1:24" s="444" customFormat="1" ht="30">
      <c r="A112" s="100" t="s">
        <v>2268</v>
      </c>
      <c r="B112" s="100" t="s">
        <v>2269</v>
      </c>
      <c r="C112" s="100" t="s">
        <v>1746</v>
      </c>
      <c r="D112"/>
      <c r="E112"/>
      <c r="F112"/>
      <c r="G112" t="s">
        <v>2459</v>
      </c>
      <c r="H112" t="s">
        <v>2460</v>
      </c>
      <c r="I112"/>
      <c r="J112"/>
      <c r="K112"/>
      <c r="L112"/>
      <c r="M112"/>
      <c r="N112"/>
      <c r="O112"/>
      <c r="P112"/>
      <c r="Q112"/>
      <c r="R112"/>
      <c r="S112"/>
      <c r="T112"/>
      <c r="U112"/>
      <c r="V112"/>
      <c r="W112"/>
      <c r="X112"/>
    </row>
    <row r="113" spans="1:24" s="444" customFormat="1">
      <c r="A113">
        <f>AVERAGE(O15,O27,O39,O51,O63,O75,O87,O99,O109)</f>
        <v>4.2360474363823997</v>
      </c>
      <c r="B113">
        <f>_xlfn.STDEV.P(O15,O27,O39,O51,O63,O75,O87,O99,O109)</f>
        <v>7.2641979535070358E-2</v>
      </c>
      <c r="C113">
        <f>((O15-$A$113)/$A$113)*100</f>
        <v>1.4601655181594635</v>
      </c>
      <c r="D113" t="s">
        <v>1747</v>
      </c>
      <c r="E113"/>
      <c r="F113"/>
      <c r="G113">
        <f>AVERAGE(F14,F26,F38,F50,F62,F74,F86,F98,F108)</f>
        <v>0.68888888888888899</v>
      </c>
      <c r="H113">
        <f>_xlfn.STDEV.P(F108,F98,F86,F74,F62,F50,F38,F26,F14)</f>
        <v>0.49090493409721164</v>
      </c>
      <c r="I113"/>
      <c r="J113"/>
      <c r="K113"/>
      <c r="L113"/>
      <c r="M113"/>
      <c r="N113"/>
      <c r="O113"/>
      <c r="P113"/>
      <c r="Q113"/>
      <c r="R113"/>
      <c r="S113"/>
      <c r="T113"/>
      <c r="U113"/>
      <c r="V113"/>
      <c r="W113"/>
      <c r="X113"/>
    </row>
    <row r="114" spans="1:24">
      <c r="C114">
        <f>((O27-$A$113)/$A$113)*100</f>
        <v>0.93619798778585839</v>
      </c>
      <c r="D114" t="s">
        <v>1749</v>
      </c>
      <c r="O114"/>
      <c r="P114"/>
    </row>
    <row r="115" spans="1:24">
      <c r="C115">
        <f>((O39-$A$113)/$A$113)*100</f>
        <v>0.38849500989254515</v>
      </c>
      <c r="D115" t="s">
        <v>1751</v>
      </c>
      <c r="O115"/>
      <c r="P115"/>
    </row>
    <row r="116" spans="1:24">
      <c r="C116">
        <f>((O51-$A$113)/$A$113)*100</f>
        <v>0.75436091343658007</v>
      </c>
      <c r="D116" t="s">
        <v>1753</v>
      </c>
      <c r="O116"/>
      <c r="P116"/>
    </row>
    <row r="117" spans="1:24" s="391" customFormat="1">
      <c r="A117"/>
      <c r="B117"/>
      <c r="C117">
        <f>((O63-$A$113)/$A$113)*100</f>
        <v>-3.3069870079832322</v>
      </c>
      <c r="D117" t="s">
        <v>2270</v>
      </c>
      <c r="E117"/>
      <c r="F117"/>
      <c r="G117"/>
      <c r="H117"/>
      <c r="I117"/>
      <c r="J117"/>
      <c r="K117"/>
      <c r="L117"/>
      <c r="M117"/>
      <c r="N117"/>
      <c r="O117"/>
      <c r="P117"/>
      <c r="Q117"/>
      <c r="R117"/>
      <c r="S117"/>
      <c r="T117"/>
      <c r="U117"/>
      <c r="V117"/>
      <c r="W117"/>
      <c r="X117"/>
    </row>
    <row r="118" spans="1:24">
      <c r="C118">
        <f>((O75-$A$113)/$A$113)*100</f>
        <v>9.9217385648155951E-2</v>
      </c>
      <c r="D118" t="s">
        <v>2314</v>
      </c>
      <c r="O118"/>
      <c r="P118"/>
    </row>
    <row r="119" spans="1:24">
      <c r="C119">
        <f>((O87-$A$113)/$A$113)*100</f>
        <v>1.0670741729746731</v>
      </c>
      <c r="D119" t="s">
        <v>2315</v>
      </c>
      <c r="O119"/>
      <c r="P119"/>
    </row>
    <row r="120" spans="1:24">
      <c r="C120">
        <f>((O99-$A$113)/$A$113)*100</f>
        <v>1.5002100275313019</v>
      </c>
      <c r="D120" t="s">
        <v>2316</v>
      </c>
      <c r="O120"/>
      <c r="P120"/>
    </row>
    <row r="121" spans="1:24">
      <c r="C121">
        <f>((O109-$A$113)/$A$113)*100</f>
        <v>-2.8987340074454093</v>
      </c>
      <c r="D121" t="s">
        <v>2317</v>
      </c>
      <c r="O121"/>
      <c r="P121"/>
    </row>
    <row r="122" spans="1:24">
      <c r="O122"/>
      <c r="P122"/>
    </row>
    <row r="123" spans="1:24">
      <c r="O123"/>
      <c r="P123"/>
    </row>
    <row r="124" spans="1:24">
      <c r="O124"/>
      <c r="P124"/>
    </row>
    <row r="125" spans="1:24" s="444" customFormat="1">
      <c r="A125"/>
      <c r="B125"/>
      <c r="C125"/>
      <c r="D125"/>
      <c r="E125"/>
      <c r="F125"/>
      <c r="G125"/>
      <c r="H125"/>
      <c r="I125"/>
      <c r="J125"/>
      <c r="K125"/>
      <c r="L125"/>
      <c r="M125"/>
      <c r="N125"/>
      <c r="O125"/>
      <c r="P125"/>
      <c r="Q125"/>
      <c r="R125"/>
      <c r="S125"/>
      <c r="V125"/>
      <c r="W125"/>
      <c r="X125"/>
    </row>
    <row r="126" spans="1:24" s="444" customFormat="1">
      <c r="A126"/>
      <c r="B126"/>
      <c r="C126"/>
      <c r="D126"/>
      <c r="E126"/>
      <c r="F126"/>
      <c r="G126"/>
      <c r="H126"/>
      <c r="I126"/>
      <c r="J126"/>
      <c r="K126"/>
      <c r="L126"/>
      <c r="M126"/>
      <c r="N126"/>
      <c r="O126"/>
      <c r="P126"/>
      <c r="Q126"/>
      <c r="R126"/>
      <c r="S126"/>
      <c r="V126"/>
      <c r="W126"/>
      <c r="X126"/>
    </row>
    <row r="127" spans="1:24">
      <c r="O127"/>
      <c r="P127"/>
    </row>
    <row r="128" spans="1:24" s="391" customFormat="1">
      <c r="A128"/>
      <c r="B128"/>
      <c r="C128"/>
      <c r="D128"/>
      <c r="E128"/>
      <c r="F128"/>
      <c r="G128"/>
      <c r="H128"/>
      <c r="I128"/>
      <c r="J128"/>
      <c r="K128"/>
      <c r="L128"/>
      <c r="M128"/>
      <c r="N128"/>
      <c r="O128"/>
      <c r="P128"/>
      <c r="Q128"/>
      <c r="R128"/>
      <c r="S128"/>
      <c r="V128"/>
      <c r="W128"/>
      <c r="X128"/>
    </row>
    <row r="129" spans="1:24">
      <c r="O129"/>
      <c r="P129"/>
    </row>
    <row r="130" spans="1:24">
      <c r="O130"/>
      <c r="P130"/>
    </row>
    <row r="131" spans="1:24">
      <c r="O131"/>
      <c r="P131"/>
    </row>
    <row r="132" spans="1:24">
      <c r="O132"/>
      <c r="P132"/>
    </row>
    <row r="133" spans="1:24">
      <c r="O133"/>
      <c r="P133"/>
    </row>
    <row r="134" spans="1:24">
      <c r="O134"/>
      <c r="P134"/>
    </row>
    <row r="135" spans="1:24">
      <c r="O135"/>
      <c r="P135"/>
    </row>
    <row r="136" spans="1:24">
      <c r="O136"/>
      <c r="P136"/>
    </row>
    <row r="137" spans="1:24" s="444" customFormat="1">
      <c r="A137"/>
      <c r="B137"/>
      <c r="C137"/>
      <c r="D137"/>
      <c r="E137"/>
      <c r="F137"/>
      <c r="G137"/>
      <c r="H137"/>
      <c r="I137"/>
      <c r="J137"/>
      <c r="K137"/>
      <c r="L137"/>
      <c r="M137"/>
      <c r="N137"/>
      <c r="O137"/>
      <c r="P137"/>
      <c r="Q137"/>
      <c r="R137"/>
      <c r="S137"/>
      <c r="V137"/>
      <c r="W137"/>
      <c r="X137"/>
    </row>
    <row r="138" spans="1:24" s="444" customFormat="1">
      <c r="A138"/>
      <c r="B138"/>
      <c r="C138"/>
      <c r="D138"/>
      <c r="E138"/>
      <c r="F138"/>
      <c r="G138"/>
      <c r="H138"/>
      <c r="I138"/>
      <c r="J138"/>
      <c r="K138"/>
      <c r="L138"/>
      <c r="M138"/>
      <c r="N138"/>
      <c r="O138"/>
      <c r="P138"/>
      <c r="Q138"/>
      <c r="R138"/>
      <c r="S138"/>
      <c r="V138"/>
      <c r="W138"/>
      <c r="X138"/>
    </row>
    <row r="139" spans="1:24">
      <c r="O139"/>
      <c r="P139"/>
    </row>
    <row r="140" spans="1:24">
      <c r="O140"/>
      <c r="P140"/>
    </row>
    <row r="141" spans="1:24">
      <c r="O141"/>
      <c r="P141"/>
    </row>
    <row r="142" spans="1:24">
      <c r="O142"/>
      <c r="P142"/>
    </row>
    <row r="143" spans="1:24">
      <c r="O143"/>
      <c r="P143"/>
    </row>
    <row r="144" spans="1:24">
      <c r="O144"/>
      <c r="P144"/>
    </row>
    <row r="145" spans="1:24">
      <c r="O145"/>
      <c r="P145"/>
    </row>
    <row r="146" spans="1:24" s="391" customFormat="1">
      <c r="A146"/>
      <c r="B146"/>
      <c r="C146"/>
      <c r="D146"/>
      <c r="E146"/>
      <c r="F146"/>
      <c r="G146"/>
      <c r="H146"/>
      <c r="I146"/>
      <c r="J146"/>
      <c r="K146"/>
      <c r="L146"/>
      <c r="M146"/>
      <c r="N146"/>
      <c r="O146"/>
      <c r="P146"/>
      <c r="Q146"/>
      <c r="R146"/>
      <c r="S146"/>
      <c r="V146"/>
      <c r="W146"/>
      <c r="X146"/>
    </row>
    <row r="147" spans="1:24" s="391" customFormat="1">
      <c r="A147"/>
      <c r="B147"/>
      <c r="C147"/>
      <c r="D147"/>
      <c r="E147"/>
      <c r="F147"/>
      <c r="G147"/>
      <c r="H147"/>
      <c r="I147"/>
      <c r="J147"/>
      <c r="K147"/>
      <c r="L147"/>
      <c r="M147"/>
      <c r="N147"/>
      <c r="O147"/>
      <c r="P147"/>
      <c r="Q147"/>
      <c r="R147"/>
      <c r="S147"/>
      <c r="V147"/>
      <c r="W147"/>
      <c r="X147"/>
    </row>
    <row r="148" spans="1:24">
      <c r="O148"/>
      <c r="P148"/>
    </row>
    <row r="159" spans="1:24" ht="15.75">
      <c r="B159" s="448"/>
      <c r="C159" s="448"/>
    </row>
    <row r="160" spans="1:24" ht="15.75">
      <c r="B160" s="448"/>
      <c r="C160" s="448"/>
    </row>
  </sheetData>
  <printOptions headings="1"/>
  <pageMargins left="0.70866141732282995" right="0.70866141732282995" top="0.74803149606299002" bottom="0.74803149606299002" header="0.31496062992126" footer="0.31496062992126"/>
  <pageSetup paperSize="9" orientation="portrait" r:id="rId1"/>
  <headerFooter>
    <oddHeader>&amp;C&amp;"Aptos"&amp;12&amp;KFF0000 UNOFFICIAL&amp;1#_x000D_</oddHeader>
    <oddFooter>&amp;C_x000D_&amp;1#&amp;"Aptos"&amp;12&amp;KFF0000 UNOFFICIAL</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4DCD-DF3E-4685-852F-F2DC5DDBDEC8}">
  <dimension ref="A1:AA119"/>
  <sheetViews>
    <sheetView topLeftCell="A27" zoomScaleNormal="100" workbookViewId="0">
      <selection activeCell="K10" sqref="K10"/>
    </sheetView>
  </sheetViews>
  <sheetFormatPr defaultRowHeight="15"/>
  <cols>
    <col min="1" max="1" width="9.85546875" bestFit="1" customWidth="1"/>
    <col min="2" max="2" width="12.42578125" customWidth="1"/>
    <col min="6" max="6" width="7.85546875" customWidth="1"/>
    <col min="7" max="7" width="6.28515625" customWidth="1"/>
    <col min="8" max="8" width="8.140625" customWidth="1"/>
    <col min="9" max="9" width="5" customWidth="1"/>
    <col min="10" max="10" width="8.140625" customWidth="1"/>
    <col min="11" max="11" width="12.5703125" bestFit="1" customWidth="1"/>
    <col min="12" max="12" width="7" bestFit="1" customWidth="1"/>
    <col min="13" max="13" width="13.7109375" bestFit="1" customWidth="1"/>
    <col min="14" max="14" width="12.7109375" bestFit="1" customWidth="1"/>
    <col min="15" max="15" width="12" bestFit="1" customWidth="1"/>
    <col min="22" max="22" width="10.7109375" style="85" bestFit="1" customWidth="1"/>
    <col min="23" max="23" width="13.7109375" bestFit="1" customWidth="1"/>
    <col min="26" max="26" width="12.140625" bestFit="1" customWidth="1"/>
  </cols>
  <sheetData>
    <row r="1" spans="1:25">
      <c r="A1" t="s">
        <v>17</v>
      </c>
      <c r="B1" t="s">
        <v>1705</v>
      </c>
      <c r="C1" t="s">
        <v>301</v>
      </c>
      <c r="D1" t="s">
        <v>1762</v>
      </c>
      <c r="E1" t="s">
        <v>307</v>
      </c>
      <c r="F1" t="s">
        <v>305</v>
      </c>
      <c r="G1" t="s">
        <v>306</v>
      </c>
      <c r="H1" s="282" t="s">
        <v>17</v>
      </c>
      <c r="I1" s="282"/>
      <c r="J1" s="282"/>
      <c r="K1" s="282" t="s">
        <v>1738</v>
      </c>
      <c r="N1" s="37" t="s">
        <v>1739</v>
      </c>
      <c r="O1" s="37"/>
    </row>
    <row r="2" spans="1:25">
      <c r="A2" s="290" t="s">
        <v>1763</v>
      </c>
      <c r="B2" s="291" t="s">
        <v>1841</v>
      </c>
      <c r="C2" s="291" t="s">
        <v>1842</v>
      </c>
      <c r="D2" s="292">
        <v>1</v>
      </c>
      <c r="E2" s="291" t="s">
        <v>1740</v>
      </c>
      <c r="F2" s="291" t="s">
        <v>1740</v>
      </c>
      <c r="G2" s="293" t="s">
        <v>1740</v>
      </c>
      <c r="H2" s="302"/>
      <c r="I2" s="303"/>
      <c r="J2" s="280"/>
      <c r="N2" s="37"/>
      <c r="O2" s="37"/>
      <c r="X2" s="85"/>
    </row>
    <row r="3" spans="1:25">
      <c r="A3" s="290" t="s">
        <v>1764</v>
      </c>
      <c r="B3" s="291" t="s">
        <v>1841</v>
      </c>
      <c r="C3" s="291" t="s">
        <v>1843</v>
      </c>
      <c r="D3" s="292">
        <v>2.5848</v>
      </c>
      <c r="E3" s="291">
        <v>1.0731297731399536</v>
      </c>
      <c r="F3" s="291">
        <v>14.71473217010498</v>
      </c>
      <c r="G3" s="293">
        <v>1.0463461875915527</v>
      </c>
      <c r="H3" s="316" t="s">
        <v>37</v>
      </c>
      <c r="I3" s="316">
        <v>1</v>
      </c>
      <c r="M3" s="85"/>
      <c r="N3" s="37" t="s">
        <v>1741</v>
      </c>
      <c r="O3" s="37" t="s">
        <v>1742</v>
      </c>
      <c r="X3" s="85"/>
      <c r="Y3" s="85"/>
    </row>
    <row r="4" spans="1:25">
      <c r="A4" s="290" t="s">
        <v>1765</v>
      </c>
      <c r="B4" s="291" t="s">
        <v>1841</v>
      </c>
      <c r="C4" s="291" t="s">
        <v>1844</v>
      </c>
      <c r="D4" s="292">
        <v>3.1307999999999998</v>
      </c>
      <c r="E4" s="291">
        <v>0.8994293212890625</v>
      </c>
      <c r="F4" s="291">
        <v>14.187359809875488</v>
      </c>
      <c r="G4" s="293">
        <v>0.94230365753173828</v>
      </c>
      <c r="H4" s="316" t="s">
        <v>37</v>
      </c>
      <c r="I4" s="275">
        <v>2</v>
      </c>
      <c r="X4" s="85"/>
      <c r="Y4" s="85"/>
    </row>
    <row r="5" spans="1:25">
      <c r="A5" s="290" t="s">
        <v>1766</v>
      </c>
      <c r="B5" s="291" t="s">
        <v>1841</v>
      </c>
      <c r="C5" s="291" t="s">
        <v>1845</v>
      </c>
      <c r="D5" s="292">
        <v>3.1002999999999998</v>
      </c>
      <c r="E5" s="291">
        <v>1.2202469110488892</v>
      </c>
      <c r="F5" s="291">
        <v>15.580052375793457</v>
      </c>
      <c r="G5" s="293">
        <v>1.1190721988677979</v>
      </c>
      <c r="H5" s="316" t="s">
        <v>37</v>
      </c>
      <c r="I5" s="275">
        <v>3</v>
      </c>
      <c r="N5" s="122"/>
      <c r="O5" s="122"/>
      <c r="X5" s="85"/>
      <c r="Y5" s="85"/>
    </row>
    <row r="6" spans="1:25">
      <c r="A6" s="290" t="s">
        <v>1767</v>
      </c>
      <c r="B6" s="291" t="s">
        <v>1841</v>
      </c>
      <c r="C6" s="291" t="s">
        <v>1846</v>
      </c>
      <c r="D6" s="292">
        <v>3.2437</v>
      </c>
      <c r="E6" s="291">
        <v>1.4989533424377441</v>
      </c>
      <c r="F6" s="291">
        <v>16.941841125488281</v>
      </c>
      <c r="G6" s="293">
        <v>1.4250497817993164</v>
      </c>
      <c r="H6" s="316" t="s">
        <v>37</v>
      </c>
      <c r="I6" s="275">
        <v>4</v>
      </c>
      <c r="L6" s="304"/>
      <c r="X6" s="85"/>
      <c r="Y6" s="85"/>
    </row>
    <row r="7" spans="1:25" s="284" customFormat="1">
      <c r="A7" s="319" t="s">
        <v>1768</v>
      </c>
      <c r="B7" s="320" t="s">
        <v>1841</v>
      </c>
      <c r="C7" s="320" t="s">
        <v>1847</v>
      </c>
      <c r="D7" s="321">
        <v>2.6414</v>
      </c>
      <c r="E7" s="320">
        <v>1.5151194334030151</v>
      </c>
      <c r="F7" s="320">
        <v>16.930234909057617</v>
      </c>
      <c r="G7" s="322">
        <v>1.4749598503112793</v>
      </c>
      <c r="H7" s="323" t="s">
        <v>37</v>
      </c>
      <c r="I7" s="283" t="s">
        <v>1905</v>
      </c>
      <c r="J7"/>
      <c r="L7" s="324"/>
      <c r="V7" s="285"/>
      <c r="X7" s="285"/>
      <c r="Y7" s="285"/>
    </row>
    <row r="8" spans="1:25">
      <c r="A8" s="290" t="s">
        <v>1848</v>
      </c>
      <c r="B8" s="291" t="s">
        <v>1841</v>
      </c>
      <c r="C8" s="291" t="s">
        <v>1849</v>
      </c>
      <c r="D8" s="292"/>
      <c r="E8" s="291"/>
      <c r="F8" s="291"/>
      <c r="G8" s="293"/>
      <c r="X8" s="85"/>
      <c r="Y8" s="85"/>
    </row>
    <row r="9" spans="1:25">
      <c r="A9" s="290" t="s">
        <v>1769</v>
      </c>
      <c r="B9" s="291" t="s">
        <v>1841</v>
      </c>
      <c r="C9" s="291" t="s">
        <v>1850</v>
      </c>
      <c r="D9" s="292">
        <v>3.0688</v>
      </c>
      <c r="E9" s="291">
        <v>1.2040331363677979</v>
      </c>
      <c r="F9" s="291">
        <v>15.826993942260742</v>
      </c>
      <c r="G9" s="293">
        <v>1.1684907674789429</v>
      </c>
      <c r="H9" s="316" t="s">
        <v>37</v>
      </c>
      <c r="I9" s="275">
        <v>6</v>
      </c>
      <c r="X9" s="85"/>
      <c r="Y9" s="85"/>
    </row>
    <row r="10" spans="1:25" s="284" customFormat="1">
      <c r="A10" s="319" t="s">
        <v>1770</v>
      </c>
      <c r="B10" s="320" t="s">
        <v>1841</v>
      </c>
      <c r="C10" s="320" t="s">
        <v>1851</v>
      </c>
      <c r="D10" s="321">
        <v>2.7886000000000002</v>
      </c>
      <c r="E10" s="320">
        <v>1.4789501428604126</v>
      </c>
      <c r="F10" s="320">
        <v>16.868778228759766</v>
      </c>
      <c r="G10" s="322">
        <v>1.4328110218048096</v>
      </c>
      <c r="H10" s="323" t="s">
        <v>37</v>
      </c>
      <c r="I10" s="283" t="s">
        <v>1906</v>
      </c>
      <c r="J10"/>
      <c r="N10" s="286">
        <f>((E10-E7)/AVERAGE(E7,E10))*100</f>
        <v>-2.4160621269023075</v>
      </c>
      <c r="O10" s="286">
        <f>((F10-F7)/AVERAGE(F10,F7))*100</f>
        <v>-0.36365961365356131</v>
      </c>
      <c r="Y10" s="285"/>
    </row>
    <row r="11" spans="1:25">
      <c r="A11" s="290" t="s">
        <v>1771</v>
      </c>
      <c r="B11" s="291" t="s">
        <v>1841</v>
      </c>
      <c r="C11" s="291" t="s">
        <v>1852</v>
      </c>
      <c r="D11" s="292">
        <v>3.1295000000000002</v>
      </c>
      <c r="E11" s="291">
        <v>1.24662184715271</v>
      </c>
      <c r="F11" s="291">
        <v>15.056515693664551</v>
      </c>
      <c r="G11" s="293">
        <v>1.1957277059555054</v>
      </c>
      <c r="H11" s="316" t="s">
        <v>37</v>
      </c>
      <c r="I11" s="275">
        <v>8</v>
      </c>
      <c r="N11" s="122"/>
      <c r="O11" s="122"/>
      <c r="X11" s="85"/>
      <c r="Y11" s="85"/>
    </row>
    <row r="12" spans="1:25">
      <c r="A12" s="290" t="s">
        <v>1757</v>
      </c>
      <c r="B12" s="291" t="s">
        <v>1841</v>
      </c>
      <c r="C12" s="291" t="s">
        <v>1853</v>
      </c>
      <c r="D12" s="292">
        <v>2.5442999999999998</v>
      </c>
      <c r="E12" s="291">
        <v>1.1763488054275513</v>
      </c>
      <c r="F12" s="291">
        <v>14.936423301696777</v>
      </c>
      <c r="G12" s="293">
        <v>1.1022970676422119</v>
      </c>
      <c r="H12" s="316" t="s">
        <v>37</v>
      </c>
      <c r="I12" s="275">
        <v>9</v>
      </c>
      <c r="N12" s="122"/>
      <c r="O12" s="122"/>
      <c r="X12" s="85"/>
      <c r="Y12" s="85"/>
    </row>
    <row r="13" spans="1:25">
      <c r="A13" s="290" t="s">
        <v>1758</v>
      </c>
      <c r="B13" s="291" t="s">
        <v>1841</v>
      </c>
      <c r="C13" s="291" t="s">
        <v>1854</v>
      </c>
      <c r="D13" s="292">
        <v>2.9653</v>
      </c>
      <c r="E13" s="291">
        <v>0.8675951361656189</v>
      </c>
      <c r="F13" s="291">
        <v>14.13904857635498</v>
      </c>
      <c r="G13" s="293">
        <v>0.85956567525863647</v>
      </c>
      <c r="H13" s="316" t="s">
        <v>37</v>
      </c>
      <c r="I13" s="275">
        <v>10</v>
      </c>
      <c r="N13" s="122"/>
      <c r="O13" s="122"/>
      <c r="X13" s="85"/>
      <c r="Y13" s="85"/>
    </row>
    <row r="14" spans="1:25" s="37" customFormat="1">
      <c r="A14" s="290" t="s">
        <v>1759</v>
      </c>
      <c r="B14" s="291" t="s">
        <v>1841</v>
      </c>
      <c r="C14" s="291" t="s">
        <v>1855</v>
      </c>
      <c r="D14" s="292">
        <v>2.9502000000000002</v>
      </c>
      <c r="E14" s="291">
        <v>0.77254652976989746</v>
      </c>
      <c r="F14" s="291">
        <v>13.897967338562012</v>
      </c>
      <c r="G14" s="293">
        <v>0.84981191158294678</v>
      </c>
      <c r="H14" s="316" t="s">
        <v>37</v>
      </c>
      <c r="I14" s="275">
        <v>11</v>
      </c>
      <c r="J14"/>
      <c r="N14" s="133"/>
      <c r="O14" s="133"/>
      <c r="X14" s="305"/>
    </row>
    <row r="15" spans="1:25">
      <c r="A15" s="290" t="s">
        <v>1856</v>
      </c>
      <c r="B15" s="291" t="s">
        <v>1841</v>
      </c>
      <c r="C15" s="291" t="s">
        <v>1857</v>
      </c>
      <c r="D15" s="292"/>
      <c r="E15" s="291"/>
      <c r="F15" s="291"/>
      <c r="G15" s="293"/>
      <c r="N15" s="122"/>
      <c r="O15" s="122"/>
      <c r="V15"/>
      <c r="X15" s="85"/>
      <c r="Y15" s="85"/>
    </row>
    <row r="16" spans="1:25" s="331" customFormat="1">
      <c r="A16" s="325" t="s">
        <v>1772</v>
      </c>
      <c r="B16" s="326" t="s">
        <v>1841</v>
      </c>
      <c r="C16" s="326" t="s">
        <v>1858</v>
      </c>
      <c r="D16" s="327">
        <v>3.3835000000000002</v>
      </c>
      <c r="E16" s="326">
        <v>0.84064942598342896</v>
      </c>
      <c r="F16" s="326">
        <v>14.053555488586426</v>
      </c>
      <c r="G16" s="328">
        <v>0.86475551128387451</v>
      </c>
      <c r="H16" s="329" t="s">
        <v>37</v>
      </c>
      <c r="I16" s="330" t="s">
        <v>1907</v>
      </c>
      <c r="J16"/>
      <c r="N16" s="332">
        <f>((E16-E24)/AVERAGE(E24,E16))*100</f>
        <v>-2.0526861347685976</v>
      </c>
      <c r="O16" s="332">
        <f>((F16-F24)/AVERAGE(F24,F16))*100</f>
        <v>-0.18728093693078518</v>
      </c>
      <c r="X16" s="333"/>
      <c r="Y16" s="334"/>
    </row>
    <row r="17" spans="1:25">
      <c r="A17" s="290" t="s">
        <v>1773</v>
      </c>
      <c r="B17" s="291" t="s">
        <v>1841</v>
      </c>
      <c r="C17" s="291" t="s">
        <v>1859</v>
      </c>
      <c r="D17" s="292">
        <v>2.6143999999999998</v>
      </c>
      <c r="E17" s="291">
        <v>0.87698572874069214</v>
      </c>
      <c r="F17" s="291">
        <v>14.414851188659668</v>
      </c>
      <c r="G17" s="293">
        <v>1.0184211730957031</v>
      </c>
      <c r="H17" s="316" t="s">
        <v>37</v>
      </c>
      <c r="I17" s="275">
        <v>12</v>
      </c>
      <c r="N17" s="122"/>
      <c r="O17" s="122"/>
      <c r="V17"/>
      <c r="X17" s="85"/>
      <c r="Y17" s="305"/>
    </row>
    <row r="18" spans="1:25">
      <c r="A18" s="290" t="s">
        <v>1774</v>
      </c>
      <c r="B18" s="291" t="s">
        <v>1841</v>
      </c>
      <c r="C18" s="291" t="s">
        <v>1860</v>
      </c>
      <c r="D18" s="292">
        <v>3.0219</v>
      </c>
      <c r="E18" s="291">
        <v>0.87384563684463501</v>
      </c>
      <c r="F18" s="291">
        <v>13.559201240539551</v>
      </c>
      <c r="G18" s="293">
        <v>1.0991194248199463</v>
      </c>
      <c r="H18" s="316" t="s">
        <v>37</v>
      </c>
      <c r="I18" s="275">
        <v>13</v>
      </c>
      <c r="N18" s="122"/>
      <c r="O18" s="122"/>
      <c r="X18" s="85"/>
      <c r="Y18" s="85"/>
    </row>
    <row r="19" spans="1:25">
      <c r="A19" s="290" t="s">
        <v>1775</v>
      </c>
      <c r="B19" s="291" t="s">
        <v>1841</v>
      </c>
      <c r="C19" s="291" t="s">
        <v>1861</v>
      </c>
      <c r="D19" s="292">
        <v>3.2481</v>
      </c>
      <c r="E19" s="291">
        <v>0.94786739349365234</v>
      </c>
      <c r="F19" s="291">
        <v>13.887373924255371</v>
      </c>
      <c r="G19" s="293">
        <v>1.138117790222168</v>
      </c>
      <c r="H19" s="316" t="s">
        <v>37</v>
      </c>
      <c r="I19" s="275">
        <v>14</v>
      </c>
      <c r="N19" s="122"/>
      <c r="O19" s="122"/>
      <c r="X19" s="85"/>
      <c r="Y19" s="85"/>
    </row>
    <row r="20" spans="1:25">
      <c r="A20" s="290" t="s">
        <v>1776</v>
      </c>
      <c r="B20" s="291" t="s">
        <v>1841</v>
      </c>
      <c r="C20" s="291" t="s">
        <v>1862</v>
      </c>
      <c r="D20" s="292">
        <v>3.1295000000000002</v>
      </c>
      <c r="E20" s="291">
        <v>1.0029878616333008</v>
      </c>
      <c r="F20" s="291">
        <v>14.294573783874512</v>
      </c>
      <c r="G20" s="293">
        <v>1.0082552433013916</v>
      </c>
      <c r="H20" s="316" t="s">
        <v>37</v>
      </c>
      <c r="I20" s="275">
        <v>15</v>
      </c>
      <c r="N20" s="122"/>
      <c r="O20" s="122"/>
      <c r="X20" s="85"/>
      <c r="Y20" s="85"/>
    </row>
    <row r="21" spans="1:25">
      <c r="A21" s="290" t="s">
        <v>1777</v>
      </c>
      <c r="B21" s="291" t="s">
        <v>1841</v>
      </c>
      <c r="C21" s="291" t="s">
        <v>1863</v>
      </c>
      <c r="D21" s="292">
        <v>2.8515000000000001</v>
      </c>
      <c r="E21" s="291">
        <v>1.1869363784790039</v>
      </c>
      <c r="F21" s="291">
        <v>14.818084716796875</v>
      </c>
      <c r="G21" s="293">
        <v>1.1737462282180786</v>
      </c>
      <c r="H21" s="316" t="s">
        <v>37</v>
      </c>
      <c r="I21" s="275">
        <v>16</v>
      </c>
      <c r="N21" s="122"/>
      <c r="O21" s="122"/>
      <c r="P21" s="122"/>
      <c r="X21" s="85"/>
    </row>
    <row r="22" spans="1:25">
      <c r="A22" s="290" t="s">
        <v>1778</v>
      </c>
      <c r="B22" s="291" t="s">
        <v>1841</v>
      </c>
      <c r="C22" s="291" t="s">
        <v>1864</v>
      </c>
      <c r="D22" s="292">
        <v>3.6057000000000001</v>
      </c>
      <c r="E22" s="291">
        <v>0.24911825358867645</v>
      </c>
      <c r="F22" s="291">
        <v>3.2787590026855469</v>
      </c>
      <c r="G22" s="293">
        <v>0.75086432695388794</v>
      </c>
      <c r="H22" s="316" t="s">
        <v>1747</v>
      </c>
      <c r="I22" s="275"/>
      <c r="N22" s="122"/>
      <c r="O22" s="122"/>
      <c r="X22" s="85"/>
      <c r="Y22" s="85"/>
    </row>
    <row r="23" spans="1:25">
      <c r="A23" s="290" t="s">
        <v>1779</v>
      </c>
      <c r="B23" s="291" t="s">
        <v>1841</v>
      </c>
      <c r="C23" s="291" t="s">
        <v>1865</v>
      </c>
      <c r="D23" s="292">
        <v>2.8833000000000002</v>
      </c>
      <c r="E23" s="291">
        <v>1.4525940418243408</v>
      </c>
      <c r="F23" s="291">
        <v>16.111581802368164</v>
      </c>
      <c r="G23" s="293">
        <v>1.2853662967681885</v>
      </c>
      <c r="H23" s="316" t="s">
        <v>37</v>
      </c>
      <c r="I23" s="275">
        <v>17</v>
      </c>
      <c r="N23" s="122"/>
      <c r="O23" s="122"/>
      <c r="X23" s="85"/>
      <c r="Y23" s="85"/>
    </row>
    <row r="24" spans="1:25" s="331" customFormat="1">
      <c r="A24" s="325" t="s">
        <v>1780</v>
      </c>
      <c r="B24" s="326" t="s">
        <v>1841</v>
      </c>
      <c r="C24" s="326" t="s">
        <v>1866</v>
      </c>
      <c r="D24" s="327">
        <v>2.7605</v>
      </c>
      <c r="E24" s="326">
        <v>0.85808426141738892</v>
      </c>
      <c r="F24" s="326">
        <v>14.079899787902832</v>
      </c>
      <c r="G24" s="328">
        <v>0.9080013632774353</v>
      </c>
      <c r="H24" s="329" t="s">
        <v>37</v>
      </c>
      <c r="I24" s="330" t="s">
        <v>1908</v>
      </c>
      <c r="J24"/>
      <c r="N24" s="332"/>
      <c r="O24" s="332"/>
      <c r="V24" s="333"/>
      <c r="X24" s="333"/>
      <c r="Y24" s="333"/>
    </row>
    <row r="25" spans="1:25">
      <c r="A25" s="290" t="s">
        <v>1760</v>
      </c>
      <c r="B25" s="291" t="s">
        <v>1841</v>
      </c>
      <c r="C25" s="291" t="s">
        <v>1867</v>
      </c>
      <c r="D25" s="292">
        <v>3.2414999999999998</v>
      </c>
      <c r="E25" s="291">
        <v>0.77039182186126709</v>
      </c>
      <c r="F25" s="291">
        <v>14.234511375427246</v>
      </c>
      <c r="G25" s="293">
        <v>0.74503177404403687</v>
      </c>
      <c r="H25" s="316" t="s">
        <v>37</v>
      </c>
      <c r="I25" s="275">
        <v>19</v>
      </c>
      <c r="N25" s="122"/>
      <c r="O25" s="122"/>
      <c r="X25" s="85"/>
      <c r="Y25" s="85"/>
    </row>
    <row r="26" spans="1:25" s="306" customFormat="1" ht="15.75" thickBot="1">
      <c r="A26" s="290" t="s">
        <v>1781</v>
      </c>
      <c r="B26" s="291" t="s">
        <v>1841</v>
      </c>
      <c r="C26" s="291" t="s">
        <v>1868</v>
      </c>
      <c r="D26" s="292">
        <v>2.9289000000000001</v>
      </c>
      <c r="E26" s="291">
        <v>0.60380738973617554</v>
      </c>
      <c r="F26" s="291">
        <v>13.566348075866699</v>
      </c>
      <c r="G26" s="293">
        <v>0.59929966926574707</v>
      </c>
      <c r="H26" s="316" t="s">
        <v>37</v>
      </c>
      <c r="I26" s="275">
        <v>21</v>
      </c>
      <c r="J26"/>
      <c r="N26" s="307"/>
      <c r="O26" s="307"/>
      <c r="Y26" s="85"/>
    </row>
    <row r="27" spans="1:25" s="200" customFormat="1" ht="15.75" thickTop="1">
      <c r="A27" s="335" t="s">
        <v>1782</v>
      </c>
      <c r="B27" s="296" t="s">
        <v>1841</v>
      </c>
      <c r="C27" s="296" t="s">
        <v>1869</v>
      </c>
      <c r="D27" s="336">
        <v>3.3287</v>
      </c>
      <c r="E27" s="296">
        <v>0.88150405883789063</v>
      </c>
      <c r="F27" s="296">
        <v>13.624052047729492</v>
      </c>
      <c r="G27" s="297">
        <v>0.9688073992729187</v>
      </c>
      <c r="H27" s="337" t="s">
        <v>40</v>
      </c>
      <c r="I27" s="337" t="s">
        <v>1813</v>
      </c>
      <c r="J27"/>
      <c r="N27" s="338">
        <f>((E27-E40)/AVERAGE(E40,E27))*100</f>
        <v>0.74155633444289093</v>
      </c>
      <c r="O27" s="338">
        <f>((F27-F40)/AVERAGE(F40,F27))*100</f>
        <v>0.15576469660228054</v>
      </c>
      <c r="V27" s="201"/>
      <c r="X27" s="201"/>
      <c r="Y27" s="201"/>
    </row>
    <row r="28" spans="1:25" ht="15.75" thickBot="1">
      <c r="A28" s="290" t="s">
        <v>1870</v>
      </c>
      <c r="B28" s="291" t="s">
        <v>1841</v>
      </c>
      <c r="C28" s="291" t="s">
        <v>1871</v>
      </c>
      <c r="D28" s="292"/>
      <c r="E28" s="291"/>
      <c r="F28" s="291"/>
      <c r="G28" s="293"/>
      <c r="H28" s="276"/>
      <c r="I28" s="275"/>
      <c r="N28" s="122"/>
      <c r="O28" s="122"/>
      <c r="V28"/>
      <c r="Y28" s="308"/>
    </row>
    <row r="29" spans="1:25" ht="15.75" thickTop="1">
      <c r="A29" s="290" t="s">
        <v>1783</v>
      </c>
      <c r="B29" s="291" t="s">
        <v>1841</v>
      </c>
      <c r="C29" s="291" t="s">
        <v>1872</v>
      </c>
      <c r="D29" s="292">
        <v>0.81620000000000004</v>
      </c>
      <c r="E29" s="291">
        <v>10.3814693450928</v>
      </c>
      <c r="F29" s="291">
        <v>71.055839538574219</v>
      </c>
      <c r="G29" s="293">
        <v>6.7379660606384277</v>
      </c>
      <c r="H29" s="317" t="s">
        <v>1748</v>
      </c>
      <c r="I29" s="275"/>
      <c r="N29" s="122"/>
      <c r="O29" s="122"/>
      <c r="X29" s="85"/>
    </row>
    <row r="30" spans="1:25">
      <c r="A30" s="290" t="s">
        <v>1784</v>
      </c>
      <c r="B30" s="291" t="s">
        <v>1873</v>
      </c>
      <c r="C30" s="291" t="s">
        <v>1874</v>
      </c>
      <c r="D30" s="292">
        <v>2.7717999999999998</v>
      </c>
      <c r="E30" s="291">
        <v>1.0882322788238525</v>
      </c>
      <c r="F30" s="291">
        <v>14.708972930908203</v>
      </c>
      <c r="G30" s="293">
        <v>1.1312117576599121</v>
      </c>
      <c r="H30" s="316" t="s">
        <v>41</v>
      </c>
      <c r="I30" s="316">
        <v>1</v>
      </c>
      <c r="N30" s="122"/>
      <c r="O30" s="122"/>
      <c r="X30" s="85"/>
      <c r="Y30" s="85"/>
    </row>
    <row r="31" spans="1:25">
      <c r="A31" s="290" t="s">
        <v>1785</v>
      </c>
      <c r="B31" s="291" t="s">
        <v>1873</v>
      </c>
      <c r="C31" s="291" t="s">
        <v>1875</v>
      </c>
      <c r="D31" s="292">
        <v>2.8997000000000002</v>
      </c>
      <c r="E31" s="291">
        <v>0.66240662336349487</v>
      </c>
      <c r="F31" s="291">
        <v>13.25831413269043</v>
      </c>
      <c r="G31" s="293">
        <v>0.79678642749786377</v>
      </c>
      <c r="H31" s="316" t="s">
        <v>41</v>
      </c>
      <c r="I31" s="275">
        <v>2</v>
      </c>
      <c r="N31" s="122"/>
      <c r="O31" s="122"/>
      <c r="X31" s="85"/>
      <c r="Y31" s="85"/>
    </row>
    <row r="32" spans="1:25">
      <c r="A32" s="290" t="s">
        <v>1786</v>
      </c>
      <c r="B32" s="291" t="s">
        <v>1873</v>
      </c>
      <c r="C32" s="291" t="s">
        <v>1876</v>
      </c>
      <c r="D32" s="292">
        <v>3.1867000000000001</v>
      </c>
      <c r="E32" s="291">
        <v>0.82626485824584961</v>
      </c>
      <c r="F32" s="291">
        <v>14.330452919006348</v>
      </c>
      <c r="G32" s="293">
        <v>0.90867650508880615</v>
      </c>
      <c r="H32" s="316" t="s">
        <v>41</v>
      </c>
      <c r="I32" s="275">
        <v>3</v>
      </c>
      <c r="N32" s="122"/>
      <c r="O32" s="122"/>
      <c r="X32" s="85"/>
      <c r="Y32" s="85"/>
    </row>
    <row r="33" spans="1:27" s="204" customFormat="1">
      <c r="A33" s="339" t="s">
        <v>1787</v>
      </c>
      <c r="B33" s="340" t="s">
        <v>1873</v>
      </c>
      <c r="C33" s="340" t="s">
        <v>1877</v>
      </c>
      <c r="D33" s="341">
        <v>3.0152000000000001</v>
      </c>
      <c r="E33" s="340">
        <v>0.43048149347305298</v>
      </c>
      <c r="F33" s="340">
        <v>12.299344062805176</v>
      </c>
      <c r="G33" s="342">
        <v>0.57433223724365234</v>
      </c>
      <c r="H33" s="343" t="s">
        <v>41</v>
      </c>
      <c r="I33" s="344" t="s">
        <v>1909</v>
      </c>
      <c r="J33"/>
      <c r="N33" s="345">
        <f>((E33-E46)/AVERAGE(E46,E33))*100</f>
        <v>-0.98634269558291676</v>
      </c>
      <c r="O33" s="345">
        <f>((F33-F46)/AVERAGE(F46,F33))*100</f>
        <v>-0.74232647154057907</v>
      </c>
      <c r="V33" s="205"/>
      <c r="X33" s="205"/>
      <c r="Y33" s="205"/>
    </row>
    <row r="34" spans="1:27">
      <c r="A34" s="290" t="s">
        <v>1788</v>
      </c>
      <c r="B34" s="291" t="s">
        <v>1873</v>
      </c>
      <c r="C34" s="291" t="s">
        <v>1878</v>
      </c>
      <c r="D34" s="292">
        <v>3.2418999999999998</v>
      </c>
      <c r="E34" s="291">
        <v>0.65128165483474731</v>
      </c>
      <c r="F34" s="291">
        <v>13.242649078369141</v>
      </c>
      <c r="G34" s="293">
        <v>0.7122313380241394</v>
      </c>
      <c r="H34" s="316" t="s">
        <v>41</v>
      </c>
      <c r="I34" s="275">
        <v>6</v>
      </c>
      <c r="N34" s="122"/>
      <c r="O34" s="122"/>
      <c r="X34" s="85"/>
      <c r="Y34" s="85"/>
    </row>
    <row r="35" spans="1:27">
      <c r="A35" s="290" t="s">
        <v>1789</v>
      </c>
      <c r="B35" s="291" t="s">
        <v>1873</v>
      </c>
      <c r="C35" s="291" t="s">
        <v>1879</v>
      </c>
      <c r="D35" s="292">
        <v>2.7728000000000002</v>
      </c>
      <c r="E35" s="291">
        <v>0.54511123895645142</v>
      </c>
      <c r="F35" s="291">
        <v>12.876192092895508</v>
      </c>
      <c r="G35" s="293">
        <v>0.67171305418014526</v>
      </c>
      <c r="H35" s="316" t="s">
        <v>41</v>
      </c>
      <c r="I35" s="275">
        <v>7</v>
      </c>
      <c r="N35" s="122"/>
      <c r="O35" s="122"/>
      <c r="X35" s="85"/>
      <c r="Y35" s="85"/>
    </row>
    <row r="36" spans="1:27">
      <c r="A36" s="290" t="s">
        <v>1790</v>
      </c>
      <c r="B36" s="291" t="s">
        <v>1873</v>
      </c>
      <c r="C36" s="291" t="s">
        <v>1880</v>
      </c>
      <c r="D36" s="292">
        <v>3.2801</v>
      </c>
      <c r="E36" s="291">
        <v>0.44688236713409424</v>
      </c>
      <c r="F36" s="291">
        <v>12.361801147460938</v>
      </c>
      <c r="G36" s="293">
        <v>0.63714158535003662</v>
      </c>
      <c r="H36" s="316" t="s">
        <v>41</v>
      </c>
      <c r="I36" s="275">
        <v>8</v>
      </c>
      <c r="N36" s="122"/>
      <c r="O36" s="122"/>
      <c r="X36" s="85"/>
      <c r="Y36" s="85"/>
    </row>
    <row r="37" spans="1:27">
      <c r="A37" s="290" t="s">
        <v>1791</v>
      </c>
      <c r="B37" s="291" t="s">
        <v>1873</v>
      </c>
      <c r="C37" s="291" t="s">
        <v>1881</v>
      </c>
      <c r="D37" s="292">
        <v>3.1004</v>
      </c>
      <c r="E37" s="291">
        <v>0.39903417229652405</v>
      </c>
      <c r="F37" s="291">
        <v>12.352426528930664</v>
      </c>
      <c r="G37" s="293">
        <v>0.54593873023986816</v>
      </c>
      <c r="H37" s="316" t="s">
        <v>41</v>
      </c>
      <c r="I37" s="275">
        <v>9</v>
      </c>
      <c r="N37" s="122"/>
      <c r="O37" s="122"/>
      <c r="X37" s="85"/>
      <c r="Y37" s="85"/>
    </row>
    <row r="38" spans="1:27">
      <c r="A38" s="290" t="s">
        <v>1792</v>
      </c>
      <c r="B38" s="291" t="s">
        <v>1873</v>
      </c>
      <c r="C38" s="291" t="s">
        <v>1882</v>
      </c>
      <c r="D38" s="292">
        <v>0.61539999999999995</v>
      </c>
      <c r="E38" s="291">
        <v>10.3039752960205</v>
      </c>
      <c r="F38" s="291">
        <v>71.175482177734395</v>
      </c>
      <c r="G38" s="293">
        <v>6.6998481750488281</v>
      </c>
      <c r="H38" s="317" t="s">
        <v>1750</v>
      </c>
      <c r="I38" s="275"/>
      <c r="N38" s="122"/>
      <c r="O38" s="122"/>
      <c r="X38" s="85"/>
      <c r="Y38" s="85"/>
    </row>
    <row r="39" spans="1:27" s="37" customFormat="1">
      <c r="A39" s="290" t="s">
        <v>1793</v>
      </c>
      <c r="B39" s="291" t="s">
        <v>1873</v>
      </c>
      <c r="C39" s="291" t="s">
        <v>1883</v>
      </c>
      <c r="D39" s="292">
        <v>3.3159000000000001</v>
      </c>
      <c r="E39" s="291">
        <v>0.26151299476623535</v>
      </c>
      <c r="F39" s="291">
        <v>3.2589535713195801</v>
      </c>
      <c r="G39" s="293">
        <v>0.76044350862503052</v>
      </c>
      <c r="H39" s="318" t="s">
        <v>1749</v>
      </c>
      <c r="I39"/>
      <c r="J39"/>
      <c r="N39" s="122"/>
      <c r="O39" s="122"/>
    </row>
    <row r="40" spans="1:27" s="200" customFormat="1">
      <c r="A40" s="335" t="s">
        <v>1794</v>
      </c>
      <c r="B40" s="296" t="s">
        <v>1873</v>
      </c>
      <c r="C40" s="296" t="s">
        <v>1884</v>
      </c>
      <c r="D40" s="336">
        <v>2.7572000000000001</v>
      </c>
      <c r="E40" s="296">
        <v>0.87499135732650757</v>
      </c>
      <c r="F40" s="296">
        <v>13.602847099304199</v>
      </c>
      <c r="G40" s="297">
        <v>0.94384974241256714</v>
      </c>
      <c r="H40" s="337" t="s">
        <v>40</v>
      </c>
      <c r="I40" s="298" t="s">
        <v>1814</v>
      </c>
      <c r="J40"/>
      <c r="X40" s="201"/>
      <c r="Y40" s="201"/>
    </row>
    <row r="41" spans="1:27">
      <c r="A41" s="290" t="s">
        <v>1885</v>
      </c>
      <c r="B41" s="291" t="s">
        <v>1873</v>
      </c>
      <c r="C41" s="291" t="s">
        <v>1886</v>
      </c>
      <c r="D41" s="292"/>
      <c r="E41" s="291"/>
      <c r="F41" s="291"/>
      <c r="G41" s="293"/>
      <c r="H41" s="276"/>
      <c r="I41" s="275"/>
      <c r="V41"/>
      <c r="X41" s="85"/>
      <c r="Y41" s="85"/>
    </row>
    <row r="42" spans="1:27">
      <c r="A42" s="290" t="s">
        <v>1795</v>
      </c>
      <c r="B42" s="291" t="s">
        <v>1873</v>
      </c>
      <c r="C42" s="291" t="s">
        <v>1887</v>
      </c>
      <c r="D42" s="292">
        <v>2.8816999999999999</v>
      </c>
      <c r="E42" s="291">
        <v>0.36282044649124146</v>
      </c>
      <c r="F42" s="291">
        <v>12.193502426147461</v>
      </c>
      <c r="G42" s="293">
        <v>0.53581982851028442</v>
      </c>
      <c r="H42" s="316" t="s">
        <v>41</v>
      </c>
      <c r="I42" s="275">
        <v>10</v>
      </c>
      <c r="X42" s="85"/>
    </row>
    <row r="43" spans="1:27">
      <c r="A43" s="290" t="s">
        <v>1796</v>
      </c>
      <c r="B43" s="291" t="s">
        <v>1873</v>
      </c>
      <c r="C43" s="291" t="s">
        <v>1888</v>
      </c>
      <c r="D43" s="292">
        <v>3.3050999999999999</v>
      </c>
      <c r="E43" s="291">
        <v>0.41840517520904541</v>
      </c>
      <c r="F43" s="291">
        <v>12.338925361633301</v>
      </c>
      <c r="G43" s="293">
        <v>0.58071780204772949</v>
      </c>
      <c r="H43" s="316" t="s">
        <v>41</v>
      </c>
      <c r="I43" s="275">
        <v>11</v>
      </c>
      <c r="X43" s="85"/>
      <c r="Y43" s="305"/>
    </row>
    <row r="44" spans="1:27" ht="15.75" thickBot="1">
      <c r="A44" s="290" t="s">
        <v>1797</v>
      </c>
      <c r="B44" s="291" t="s">
        <v>1873</v>
      </c>
      <c r="C44" s="291" t="s">
        <v>1889</v>
      </c>
      <c r="D44" s="292">
        <v>3.2566999999999999</v>
      </c>
      <c r="E44" s="291">
        <v>0.60423123836517334</v>
      </c>
      <c r="F44" s="291">
        <v>13.286656379699707</v>
      </c>
      <c r="G44" s="293">
        <v>0.74582141637802124</v>
      </c>
      <c r="H44" s="316" t="s">
        <v>41</v>
      </c>
      <c r="I44" s="275">
        <v>12</v>
      </c>
      <c r="V44"/>
      <c r="Y44" s="308"/>
    </row>
    <row r="45" spans="1:27" ht="16.5" thickTop="1">
      <c r="A45" s="290" t="s">
        <v>1798</v>
      </c>
      <c r="B45" s="291" t="s">
        <v>1873</v>
      </c>
      <c r="C45" s="291" t="s">
        <v>1890</v>
      </c>
      <c r="D45" s="292">
        <v>2.6059999999999999</v>
      </c>
      <c r="E45" s="291">
        <v>0.69014662504196167</v>
      </c>
      <c r="F45" s="291">
        <v>13.127504348754883</v>
      </c>
      <c r="G45" s="293">
        <v>0.95550441741943359</v>
      </c>
      <c r="H45" s="316" t="s">
        <v>41</v>
      </c>
      <c r="I45" s="275">
        <v>13</v>
      </c>
      <c r="L45" s="196" t="s">
        <v>1743</v>
      </c>
      <c r="N45" s="196" t="s">
        <v>1913</v>
      </c>
      <c r="P45" s="195" t="s">
        <v>1743</v>
      </c>
      <c r="Q45" s="195"/>
      <c r="V45"/>
      <c r="Y45" s="196" t="s">
        <v>1744</v>
      </c>
    </row>
    <row r="46" spans="1:27" s="204" customFormat="1" ht="15.75">
      <c r="A46" s="339" t="s">
        <v>1799</v>
      </c>
      <c r="B46" s="340" t="s">
        <v>1873</v>
      </c>
      <c r="C46" s="340" t="s">
        <v>1891</v>
      </c>
      <c r="D46" s="341">
        <v>3.2576999999999998</v>
      </c>
      <c r="E46" s="340">
        <v>0.43474856019020081</v>
      </c>
      <c r="F46" s="340">
        <v>12.390985488891602</v>
      </c>
      <c r="G46" s="342">
        <v>0.5768401026725769</v>
      </c>
      <c r="H46" s="343" t="s">
        <v>41</v>
      </c>
      <c r="I46" s="344" t="s">
        <v>1910</v>
      </c>
      <c r="J46"/>
      <c r="L46" s="346" t="s">
        <v>1745</v>
      </c>
      <c r="M46" s="346" t="s">
        <v>1725</v>
      </c>
      <c r="O46" s="346" t="s">
        <v>1725</v>
      </c>
      <c r="P46" s="347" t="s">
        <v>1741</v>
      </c>
      <c r="Q46" s="347" t="s">
        <v>1742</v>
      </c>
      <c r="U46" s="348" t="s">
        <v>1744</v>
      </c>
      <c r="W46" s="348" t="s">
        <v>1913</v>
      </c>
      <c r="Y46" s="347" t="s">
        <v>1741</v>
      </c>
      <c r="Z46" s="347" t="s">
        <v>1742</v>
      </c>
    </row>
    <row r="47" spans="1:27">
      <c r="A47" s="290" t="s">
        <v>1800</v>
      </c>
      <c r="B47" s="291" t="s">
        <v>1873</v>
      </c>
      <c r="C47" s="291" t="s">
        <v>1892</v>
      </c>
      <c r="D47" s="292">
        <v>2.5733000000000001</v>
      </c>
      <c r="E47" s="291">
        <v>0.60996341705322266</v>
      </c>
      <c r="F47" s="291">
        <v>11.752729415893555</v>
      </c>
      <c r="G47" s="293">
        <v>0.900532066822052</v>
      </c>
      <c r="H47" s="316" t="s">
        <v>41</v>
      </c>
      <c r="I47" s="275">
        <v>15</v>
      </c>
      <c r="L47" s="37" t="s">
        <v>1741</v>
      </c>
      <c r="N47" s="37" t="s">
        <v>1742</v>
      </c>
      <c r="P47" s="37" t="s">
        <v>1746</v>
      </c>
      <c r="Q47" s="37"/>
      <c r="U47" s="37" t="s">
        <v>1745</v>
      </c>
      <c r="V47" s="37" t="s">
        <v>1725</v>
      </c>
      <c r="W47" s="37"/>
      <c r="X47" s="37" t="s">
        <v>1725</v>
      </c>
      <c r="Y47" s="37" t="s">
        <v>1746</v>
      </c>
    </row>
    <row r="48" spans="1:27" ht="15.75">
      <c r="A48" s="290" t="s">
        <v>1801</v>
      </c>
      <c r="B48" s="291" t="s">
        <v>1873</v>
      </c>
      <c r="C48" s="291" t="s">
        <v>1893</v>
      </c>
      <c r="D48" s="292">
        <v>3.5739999999999998</v>
      </c>
      <c r="E48" s="291">
        <v>0.26234325766563416</v>
      </c>
      <c r="F48" s="291">
        <v>3.2444820404052734</v>
      </c>
      <c r="G48" s="293">
        <v>0.74431866407394409</v>
      </c>
      <c r="H48" s="316" t="s">
        <v>1751</v>
      </c>
      <c r="I48" s="275"/>
      <c r="L48" s="122">
        <f>AVERAGE(E22,E39,E48:E49,E70,E77)</f>
        <v>0.25980117668708164</v>
      </c>
      <c r="M48" s="258">
        <f>_xlfn.STDEV.P(E22,E39,E48:E49,E70,E77)</f>
        <v>6.2985128168860935E-3</v>
      </c>
      <c r="N48" s="122">
        <f>AVERAGE(F22,F39,F48:F49,F70,F77)</f>
        <v>3.2256265481313071</v>
      </c>
      <c r="O48" s="258">
        <f>_xlfn.STDEV.P(F22,F39,F48:F49,F70,F77)</f>
        <v>3.6553951896219239E-2</v>
      </c>
      <c r="P48" s="311">
        <f>((E22-$L$48)/$L$48)*100</f>
        <v>-4.1119610136609444</v>
      </c>
      <c r="Q48" s="311">
        <f>((F22-$N$48)/$N$48)*100</f>
        <v>1.6471979555420273</v>
      </c>
      <c r="R48" t="s">
        <v>1747</v>
      </c>
      <c r="U48" s="37" t="s">
        <v>1741</v>
      </c>
      <c r="V48"/>
      <c r="W48" s="37" t="s">
        <v>1742</v>
      </c>
      <c r="Y48" s="311">
        <f>((E29-$U$49)/$U$49)*100</f>
        <v>0.75123243894850522</v>
      </c>
      <c r="Z48" s="311">
        <f>((F29-W49)/W49)*100</f>
        <v>1.5416316265874081E-2</v>
      </c>
      <c r="AA48" s="312" t="s">
        <v>1748</v>
      </c>
    </row>
    <row r="49" spans="1:27" ht="15.75">
      <c r="A49" s="290" t="s">
        <v>1802</v>
      </c>
      <c r="B49" s="291" t="s">
        <v>1873</v>
      </c>
      <c r="C49" s="291" t="s">
        <v>1894</v>
      </c>
      <c r="D49" s="292">
        <v>3.5996000000000001</v>
      </c>
      <c r="E49" s="291">
        <v>0.25376543402671814</v>
      </c>
      <c r="F49" s="291">
        <v>3.1866369247436523</v>
      </c>
      <c r="G49" s="293">
        <v>0.72878468036651611</v>
      </c>
      <c r="H49" s="316" t="s">
        <v>1753</v>
      </c>
      <c r="I49" s="275"/>
      <c r="P49" s="311">
        <f>((E39-$L$48)/$L$48)*100</f>
        <v>0.65889542956748037</v>
      </c>
      <c r="Q49" s="311">
        <f>((F39-$N$48)/$N$48)*100</f>
        <v>1.0331953402225131</v>
      </c>
      <c r="R49" t="s">
        <v>1749</v>
      </c>
      <c r="U49" s="122">
        <f>AVERAGE(E29,E38,E57,E58,E71,E78)</f>
        <v>10.30406188964843</v>
      </c>
      <c r="V49" s="258">
        <f>_xlfn.STDEV.P(E29,E38,E57,E58,E71,E78)</f>
        <v>4.3681323151709701E-2</v>
      </c>
      <c r="W49" s="122">
        <f>AVERAGE(F29,F38,F57:F58,F71,F78)</f>
        <v>71.044887034098309</v>
      </c>
      <c r="X49" s="258">
        <f>_xlfn.STDEV.P(F29,F38,F57:F58,F71,F78)</f>
        <v>7.8519932189356975E-2</v>
      </c>
      <c r="Y49" s="311">
        <f>((E38-U49)/U49)*100</f>
        <v>-8.4038342216665948E-4</v>
      </c>
      <c r="Z49" s="311">
        <f>((F38-W49)/W49)*100</f>
        <v>0.18382060847447895</v>
      </c>
      <c r="AA49" s="312" t="s">
        <v>1750</v>
      </c>
    </row>
    <row r="50" spans="1:27" ht="15.75">
      <c r="A50" s="290" t="s">
        <v>1803</v>
      </c>
      <c r="B50" s="291" t="s">
        <v>1873</v>
      </c>
      <c r="C50" s="291" t="s">
        <v>1895</v>
      </c>
      <c r="D50" s="292">
        <v>2.5828000000000002</v>
      </c>
      <c r="E50" s="291">
        <v>0.52007579803466797</v>
      </c>
      <c r="F50" s="291">
        <v>12.282519340515137</v>
      </c>
      <c r="G50" s="293">
        <v>0.72017723321914673</v>
      </c>
      <c r="H50" s="316" t="s">
        <v>41</v>
      </c>
      <c r="I50" s="275">
        <v>17</v>
      </c>
      <c r="P50" s="311">
        <f>((E48-$L$48)/$L$48)*100</f>
        <v>0.97847169553598157</v>
      </c>
      <c r="Q50" s="311">
        <f>((F48-$N$48)/$N$48)*100</f>
        <v>0.58455286105236892</v>
      </c>
      <c r="R50" t="s">
        <v>1751</v>
      </c>
      <c r="V50"/>
      <c r="Y50" s="313">
        <f>((E57-U49)/U49)*100</f>
        <v>1.3499815633545326E-2</v>
      </c>
      <c r="Z50" s="313">
        <f>((F57-W49)/W49)*100</f>
        <v>7.0190827663716843E-2</v>
      </c>
      <c r="AA50" s="312" t="s">
        <v>1752</v>
      </c>
    </row>
    <row r="51" spans="1:27" ht="15.75">
      <c r="A51" s="290" t="s">
        <v>1804</v>
      </c>
      <c r="B51" s="291" t="s">
        <v>1873</v>
      </c>
      <c r="C51" s="291" t="s">
        <v>1896</v>
      </c>
      <c r="D51" s="292">
        <v>3.2136999999999998</v>
      </c>
      <c r="E51" s="291">
        <v>0.41507834196090698</v>
      </c>
      <c r="F51" s="291">
        <v>12.192169189453125</v>
      </c>
      <c r="G51" s="293">
        <v>0.58532810211181641</v>
      </c>
      <c r="H51" s="316" t="s">
        <v>41</v>
      </c>
      <c r="I51" s="275">
        <v>18</v>
      </c>
      <c r="P51" s="311">
        <f>((E49-$L$48)/$L$48)*100</f>
        <v>-2.3232160598076375</v>
      </c>
      <c r="Q51" s="311">
        <f>((F49-$N$48)/$N$48)*100</f>
        <v>-1.20874573686289</v>
      </c>
      <c r="R51" t="s">
        <v>1753</v>
      </c>
      <c r="V51"/>
      <c r="Y51" s="311">
        <f>((E58-U49)/U49)*100</f>
        <v>0.18526011903079903</v>
      </c>
      <c r="Z51" s="311">
        <f>((F58-W49)/W49)*100</f>
        <v>-8.7310323459815677E-3</v>
      </c>
      <c r="AA51" s="312" t="s">
        <v>1754</v>
      </c>
    </row>
    <row r="52" spans="1:27" s="355" customFormat="1" ht="15.75">
      <c r="A52" s="349" t="s">
        <v>1805</v>
      </c>
      <c r="B52" s="350" t="s">
        <v>1873</v>
      </c>
      <c r="C52" s="350" t="s">
        <v>1897</v>
      </c>
      <c r="D52" s="351">
        <v>2.9897</v>
      </c>
      <c r="E52" s="350">
        <v>0.36940157413482666</v>
      </c>
      <c r="F52" s="350">
        <v>12.55713939666748</v>
      </c>
      <c r="G52" s="352">
        <v>0.47477084398269653</v>
      </c>
      <c r="H52" s="353" t="s">
        <v>41</v>
      </c>
      <c r="I52" s="354" t="s">
        <v>1911</v>
      </c>
      <c r="J52"/>
      <c r="P52" s="356">
        <f>((E70-$L$48)/$L$48)*100</f>
        <v>2.5699291512644717</v>
      </c>
      <c r="Q52" s="356">
        <f>((F70-$N$48)/$N$48)*100</f>
        <v>-0.9655025435614587</v>
      </c>
      <c r="R52" s="355" t="s">
        <v>1837</v>
      </c>
      <c r="Y52" s="356">
        <f>((E71-U49)/U49)*100</f>
        <v>-0.5949229734912026</v>
      </c>
      <c r="Z52" s="356">
        <f>((F71-W49)/W49)*100</f>
        <v>-0.14213960292503008</v>
      </c>
      <c r="AA52" s="357" t="s">
        <v>1839</v>
      </c>
    </row>
    <row r="53" spans="1:27" ht="15.75">
      <c r="A53" s="290" t="s">
        <v>1806</v>
      </c>
      <c r="B53" s="291" t="s">
        <v>1873</v>
      </c>
      <c r="C53" s="291" t="s">
        <v>1898</v>
      </c>
      <c r="D53" s="292">
        <v>3.3407</v>
      </c>
      <c r="E53" s="291">
        <v>0.40945658087730408</v>
      </c>
      <c r="F53" s="291">
        <v>12.442910194396973</v>
      </c>
      <c r="G53" s="293">
        <v>0.48796674609184265</v>
      </c>
      <c r="H53" s="316" t="s">
        <v>41</v>
      </c>
      <c r="I53" s="275">
        <v>19</v>
      </c>
      <c r="N53" s="28"/>
      <c r="O53" s="28"/>
      <c r="P53" s="311">
        <f>((E77-$L$48)/$L$48)*100</f>
        <v>2.2278807971006911</v>
      </c>
      <c r="Q53" s="311">
        <f>((F77-$N$48)/$N$48)*100</f>
        <v>-1.0906978763925883</v>
      </c>
      <c r="R53" t="s">
        <v>1838</v>
      </c>
      <c r="V53"/>
      <c r="Y53" s="311">
        <f>((E78-U49)/U49)*100</f>
        <v>-0.35422901669949758</v>
      </c>
      <c r="Z53" s="311">
        <f>((F78-W49)/W49)*100</f>
        <v>-0.11855711713311824</v>
      </c>
      <c r="AA53" s="312" t="s">
        <v>1840</v>
      </c>
    </row>
    <row r="54" spans="1:27" ht="15.75">
      <c r="A54" s="290" t="s">
        <v>1899</v>
      </c>
      <c r="B54" s="291" t="s">
        <v>1873</v>
      </c>
      <c r="C54" s="291" t="s">
        <v>1900</v>
      </c>
      <c r="D54" s="292"/>
      <c r="E54" s="291"/>
      <c r="F54" s="291"/>
      <c r="G54" s="293"/>
      <c r="H54" s="276"/>
      <c r="I54" s="275"/>
      <c r="P54" s="311"/>
      <c r="Q54" s="311"/>
      <c r="X54" s="85"/>
      <c r="Y54" s="311"/>
      <c r="Z54" s="311"/>
    </row>
    <row r="55" spans="1:27" ht="15.75">
      <c r="A55" s="290" t="s">
        <v>1807</v>
      </c>
      <c r="B55" s="291" t="s">
        <v>1873</v>
      </c>
      <c r="C55" s="291" t="s">
        <v>1901</v>
      </c>
      <c r="D55" s="292">
        <v>2.8330000000000002</v>
      </c>
      <c r="E55" s="291">
        <v>0.30700737237930298</v>
      </c>
      <c r="F55" s="291">
        <v>12.380021095275879</v>
      </c>
      <c r="G55" s="293">
        <v>0.44822016358375549</v>
      </c>
      <c r="H55" s="316" t="s">
        <v>41</v>
      </c>
      <c r="I55" s="275">
        <v>20</v>
      </c>
      <c r="P55" s="311"/>
      <c r="Q55" s="311"/>
      <c r="X55" s="85"/>
      <c r="Y55" s="311"/>
      <c r="Z55" s="311"/>
    </row>
    <row r="56" spans="1:27" s="355" customFormat="1" ht="15.75">
      <c r="A56" s="349" t="s">
        <v>1808</v>
      </c>
      <c r="B56" s="350" t="s">
        <v>1873</v>
      </c>
      <c r="C56" s="350" t="s">
        <v>1902</v>
      </c>
      <c r="D56" s="351">
        <v>2.6048</v>
      </c>
      <c r="E56" s="350">
        <v>0.36594283580780029</v>
      </c>
      <c r="F56" s="350">
        <v>12.550811767578125</v>
      </c>
      <c r="G56" s="352">
        <v>0.48270198702812195</v>
      </c>
      <c r="H56" s="353" t="s">
        <v>41</v>
      </c>
      <c r="I56" s="354" t="s">
        <v>1912</v>
      </c>
      <c r="J56"/>
      <c r="N56" s="355">
        <f>((E56-E52)/AVERAGE(E52,E56))*100</f>
        <v>-0.94071248254847684</v>
      </c>
      <c r="O56" s="355">
        <f>((F56-F52)/AVERAGE(F52,F56))*100</f>
        <v>-5.0403388535868926E-2</v>
      </c>
      <c r="P56" s="356"/>
      <c r="Q56" s="356"/>
      <c r="V56" s="358"/>
      <c r="X56" s="358"/>
      <c r="Y56" s="356"/>
      <c r="Z56" s="356"/>
    </row>
    <row r="57" spans="1:27">
      <c r="A57" s="290" t="s">
        <v>1809</v>
      </c>
      <c r="B57" s="291" t="s">
        <v>1873</v>
      </c>
      <c r="C57" s="291" t="s">
        <v>1903</v>
      </c>
      <c r="D57" s="292">
        <v>0.55800000000000005</v>
      </c>
      <c r="E57" s="291">
        <v>10.305452919006299</v>
      </c>
      <c r="F57" s="291">
        <v>71.094754028320295</v>
      </c>
      <c r="G57" s="293">
        <v>6.7811408042907715</v>
      </c>
      <c r="H57" s="317" t="s">
        <v>1752</v>
      </c>
      <c r="I57" s="275"/>
      <c r="X57" s="85"/>
    </row>
    <row r="58" spans="1:27">
      <c r="A58" s="290" t="s">
        <v>1810</v>
      </c>
      <c r="B58" s="291" t="s">
        <v>1873</v>
      </c>
      <c r="C58" s="291" t="s">
        <v>1904</v>
      </c>
      <c r="D58" s="292">
        <v>0.60629999999999995</v>
      </c>
      <c r="E58" s="291">
        <v>10.3231512069702</v>
      </c>
      <c r="F58" s="291">
        <v>71.038684082031196</v>
      </c>
      <c r="G58" s="293">
        <v>6.7654990196228004</v>
      </c>
      <c r="H58" s="317" t="s">
        <v>1754</v>
      </c>
      <c r="I58" s="275"/>
      <c r="N58" s="28"/>
      <c r="O58" s="28"/>
      <c r="Q58" s="122"/>
      <c r="R58" s="122"/>
      <c r="X58" s="85"/>
      <c r="Y58" s="85"/>
    </row>
    <row r="59" spans="1:27">
      <c r="A59" s="299"/>
      <c r="B59" s="300"/>
      <c r="C59" s="300"/>
      <c r="D59" s="314"/>
      <c r="E59" s="315"/>
      <c r="F59" s="315"/>
      <c r="G59" s="300"/>
      <c r="H59" s="276"/>
      <c r="I59" s="275"/>
      <c r="X59" s="85"/>
      <c r="Y59" s="85"/>
    </row>
    <row r="60" spans="1:27">
      <c r="K60" s="37"/>
      <c r="V60"/>
      <c r="X60" s="85"/>
      <c r="Y60" s="85"/>
    </row>
    <row r="61" spans="1:27">
      <c r="A61" t="s">
        <v>1761</v>
      </c>
      <c r="X61" s="85"/>
      <c r="Y61" s="85"/>
    </row>
    <row r="62" spans="1:27">
      <c r="A62" t="s">
        <v>1755</v>
      </c>
      <c r="V62"/>
      <c r="X62" s="85"/>
      <c r="Y62" s="85"/>
    </row>
    <row r="63" spans="1:27">
      <c r="A63" s="277"/>
      <c r="B63" s="278"/>
      <c r="C63" s="278"/>
      <c r="D63" s="278"/>
      <c r="E63" s="278"/>
      <c r="F63" s="278"/>
      <c r="X63" s="85"/>
      <c r="Y63" s="85"/>
    </row>
    <row r="64" spans="1:27">
      <c r="A64" s="277" t="s">
        <v>1756</v>
      </c>
      <c r="B64" s="278"/>
      <c r="C64" s="278"/>
      <c r="D64" s="278"/>
      <c r="E64" s="278"/>
      <c r="F64" s="278"/>
      <c r="X64" s="85"/>
      <c r="Y64" s="85"/>
    </row>
    <row r="65" spans="1:25">
      <c r="A65" s="290" t="s">
        <v>1816</v>
      </c>
      <c r="B65" s="291" t="s">
        <v>1817</v>
      </c>
      <c r="C65" s="291" t="s">
        <v>1818</v>
      </c>
      <c r="D65" s="292"/>
      <c r="E65" s="291"/>
      <c r="F65" s="291"/>
      <c r="G65" s="293"/>
      <c r="X65" s="85"/>
      <c r="Y65" s="85"/>
    </row>
    <row r="66" spans="1:25">
      <c r="A66" s="290" t="s">
        <v>1763</v>
      </c>
      <c r="B66" s="291" t="s">
        <v>1817</v>
      </c>
      <c r="C66" s="291" t="s">
        <v>1819</v>
      </c>
      <c r="D66" s="292"/>
      <c r="E66" s="291" t="s">
        <v>1740</v>
      </c>
      <c r="F66" s="291" t="s">
        <v>1740</v>
      </c>
      <c r="G66" s="293" t="s">
        <v>1740</v>
      </c>
      <c r="X66" s="85"/>
    </row>
    <row r="67" spans="1:25">
      <c r="A67" s="290" t="s">
        <v>1764</v>
      </c>
      <c r="B67" s="291" t="s">
        <v>1817</v>
      </c>
      <c r="C67" s="291" t="s">
        <v>1820</v>
      </c>
      <c r="D67" s="292">
        <v>3.1004999999999998</v>
      </c>
      <c r="E67" s="294">
        <v>0.59698903560638428</v>
      </c>
      <c r="F67" s="294">
        <v>12.196744918823242</v>
      </c>
      <c r="G67" s="295">
        <v>0.73156684637069702</v>
      </c>
      <c r="H67" s="287" t="s">
        <v>41</v>
      </c>
      <c r="I67" s="287" t="s">
        <v>1811</v>
      </c>
      <c r="K67" s="289"/>
      <c r="L67" s="289"/>
      <c r="M67" s="289"/>
      <c r="N67" s="289">
        <f>((E74-E67)/AVERAGE(E67,E74))*100</f>
        <v>-0.5313699474055873</v>
      </c>
      <c r="O67" s="289">
        <f>((F74-F67)/AVERAGE(F67,F74))*100</f>
        <v>0.29983410907328428</v>
      </c>
      <c r="X67" s="85"/>
    </row>
    <row r="68" spans="1:25">
      <c r="A68" s="290" t="s">
        <v>1765</v>
      </c>
      <c r="B68" s="291" t="s">
        <v>1817</v>
      </c>
      <c r="C68" s="291" t="s">
        <v>1821</v>
      </c>
      <c r="D68" s="292">
        <v>2.9620000000000002</v>
      </c>
      <c r="E68" s="291">
        <v>1.6078505516052246</v>
      </c>
      <c r="F68" s="291">
        <v>16.646936416625977</v>
      </c>
      <c r="G68" s="293">
        <v>1.379123330116272</v>
      </c>
      <c r="H68" s="276" t="s">
        <v>37</v>
      </c>
      <c r="I68" s="275">
        <v>7</v>
      </c>
      <c r="X68" s="85"/>
    </row>
    <row r="69" spans="1:25">
      <c r="A69" s="290" t="s">
        <v>1766</v>
      </c>
      <c r="B69" s="291" t="s">
        <v>1817</v>
      </c>
      <c r="C69" s="291" t="s">
        <v>1822</v>
      </c>
      <c r="D69" s="292">
        <v>2.7875999999999999</v>
      </c>
      <c r="E69" s="291">
        <v>0.45895856618881226</v>
      </c>
      <c r="F69" s="291">
        <v>12.082046508789063</v>
      </c>
      <c r="G69" s="293">
        <v>0.55220925807952881</v>
      </c>
      <c r="H69" s="276" t="s">
        <v>41</v>
      </c>
      <c r="I69" s="275">
        <v>5</v>
      </c>
      <c r="X69" s="85"/>
    </row>
    <row r="70" spans="1:25">
      <c r="A70" s="290" t="s">
        <v>1767</v>
      </c>
      <c r="B70" s="291" t="s">
        <v>1817</v>
      </c>
      <c r="C70" s="291" t="s">
        <v>1823</v>
      </c>
      <c r="D70" s="292">
        <v>3.7323</v>
      </c>
      <c r="E70" s="291">
        <v>0.26647788286209106</v>
      </c>
      <c r="F70" s="291">
        <v>3.1944830417633057</v>
      </c>
      <c r="G70" s="293">
        <v>0.7246062159538269</v>
      </c>
      <c r="H70" s="276" t="s">
        <v>1835</v>
      </c>
      <c r="I70" s="275">
        <v>1</v>
      </c>
      <c r="X70" s="85"/>
    </row>
    <row r="71" spans="1:25">
      <c r="A71" s="290" t="s">
        <v>1768</v>
      </c>
      <c r="B71" s="291" t="s">
        <v>1817</v>
      </c>
      <c r="C71" s="291" t="s">
        <v>1824</v>
      </c>
      <c r="D71" s="292">
        <v>0.45860000000000001</v>
      </c>
      <c r="E71" s="291">
        <v>10.24276065826416</v>
      </c>
      <c r="F71" s="291">
        <v>70.943904113769506</v>
      </c>
      <c r="G71" s="293">
        <v>6.6322980880737301</v>
      </c>
      <c r="H71" s="276" t="s">
        <v>1836</v>
      </c>
      <c r="I71" s="275">
        <v>1</v>
      </c>
      <c r="X71" s="85"/>
    </row>
    <row r="72" spans="1:25">
      <c r="A72" s="290" t="s">
        <v>1825</v>
      </c>
      <c r="B72" s="291" t="s">
        <v>1817</v>
      </c>
      <c r="C72" s="291" t="s">
        <v>1826</v>
      </c>
      <c r="D72" s="292"/>
      <c r="E72" s="291"/>
      <c r="F72" s="291"/>
      <c r="G72" s="293"/>
      <c r="X72" s="85"/>
    </row>
    <row r="73" spans="1:25">
      <c r="A73" s="290" t="s">
        <v>1769</v>
      </c>
      <c r="B73" s="291" t="s">
        <v>1817</v>
      </c>
      <c r="C73" s="291" t="s">
        <v>1827</v>
      </c>
      <c r="D73" s="292">
        <v>3.0428000000000002</v>
      </c>
      <c r="E73" s="291">
        <v>0.87022620439529419</v>
      </c>
      <c r="F73" s="291">
        <v>14.146236419677734</v>
      </c>
      <c r="G73" s="293">
        <v>0.79791837930679321</v>
      </c>
      <c r="H73" s="276" t="s">
        <v>37</v>
      </c>
      <c r="I73" s="275">
        <v>20</v>
      </c>
      <c r="X73" s="85"/>
    </row>
    <row r="74" spans="1:25">
      <c r="A74" s="290" t="s">
        <v>1770</v>
      </c>
      <c r="B74" s="291" t="s">
        <v>1817</v>
      </c>
      <c r="C74" s="291" t="s">
        <v>1828</v>
      </c>
      <c r="D74" s="292">
        <v>2.8772000000000002</v>
      </c>
      <c r="E74" s="294">
        <v>0.59382522106170654</v>
      </c>
      <c r="F74" s="294">
        <v>12.233369827270508</v>
      </c>
      <c r="G74" s="295">
        <v>0.74701881408691406</v>
      </c>
      <c r="H74" s="287" t="s">
        <v>41</v>
      </c>
      <c r="I74" s="288" t="s">
        <v>1812</v>
      </c>
      <c r="X74" s="85"/>
    </row>
    <row r="75" spans="1:25">
      <c r="A75" s="290" t="s">
        <v>1771</v>
      </c>
      <c r="B75" s="291" t="s">
        <v>1817</v>
      </c>
      <c r="C75" s="291" t="s">
        <v>1829</v>
      </c>
      <c r="D75" s="292">
        <v>3.0905999999999998</v>
      </c>
      <c r="E75" s="291">
        <v>5.2049813270568848</v>
      </c>
      <c r="F75" s="291">
        <v>27.487150192260742</v>
      </c>
      <c r="G75" s="293">
        <v>3.2873127460479736</v>
      </c>
      <c r="H75" s="276" t="s">
        <v>40</v>
      </c>
      <c r="I75" s="275">
        <v>2</v>
      </c>
      <c r="K75" s="279" t="s">
        <v>1815</v>
      </c>
      <c r="L75" s="138"/>
      <c r="N75" s="43"/>
      <c r="O75" s="43"/>
      <c r="V75"/>
      <c r="X75" s="85"/>
      <c r="Y75" s="85"/>
    </row>
    <row r="76" spans="1:25">
      <c r="A76" s="290" t="s">
        <v>1757</v>
      </c>
      <c r="B76" s="291" t="s">
        <v>1817</v>
      </c>
      <c r="C76" s="291" t="s">
        <v>1830</v>
      </c>
      <c r="D76" s="292">
        <v>3.1459999999999999</v>
      </c>
      <c r="E76" s="291">
        <v>0.62558716535568237</v>
      </c>
      <c r="F76" s="291">
        <v>11.583279609680176</v>
      </c>
      <c r="G76" s="293">
        <v>0.87043583393096924</v>
      </c>
      <c r="H76" s="310" t="s">
        <v>41</v>
      </c>
      <c r="I76" s="359">
        <v>14</v>
      </c>
      <c r="L76" s="138"/>
      <c r="N76" s="43"/>
      <c r="O76" s="43"/>
      <c r="V76"/>
      <c r="X76" s="85"/>
      <c r="Y76" s="85"/>
    </row>
    <row r="77" spans="1:25">
      <c r="A77" s="290" t="s">
        <v>1758</v>
      </c>
      <c r="B77" s="291" t="s">
        <v>1817</v>
      </c>
      <c r="C77" s="291" t="s">
        <v>1831</v>
      </c>
      <c r="D77" s="292">
        <v>4.2122000000000002</v>
      </c>
      <c r="E77" s="291">
        <v>0.26558923721313477</v>
      </c>
      <c r="F77" s="291">
        <v>3.1904447078704834</v>
      </c>
      <c r="G77" s="293">
        <v>0.68418246507644653</v>
      </c>
      <c r="H77" s="276" t="s">
        <v>1835</v>
      </c>
      <c r="I77" s="275">
        <v>2</v>
      </c>
      <c r="L77" s="138"/>
      <c r="N77" s="43"/>
      <c r="O77" s="43"/>
      <c r="X77" s="85"/>
      <c r="Y77" s="85"/>
    </row>
    <row r="78" spans="1:25">
      <c r="A78" s="290" t="s">
        <v>1759</v>
      </c>
      <c r="B78" s="291" t="s">
        <v>1817</v>
      </c>
      <c r="C78" s="291" t="s">
        <v>1832</v>
      </c>
      <c r="D78" s="292">
        <v>0.58720000000000006</v>
      </c>
      <c r="E78" s="291">
        <v>10.267561912536621</v>
      </c>
      <c r="F78" s="291">
        <v>70.960658264160202</v>
      </c>
      <c r="G78" s="293">
        <v>6.6012874603271499</v>
      </c>
      <c r="H78" s="276" t="s">
        <v>1836</v>
      </c>
      <c r="I78" s="275">
        <v>2</v>
      </c>
      <c r="L78" s="138"/>
      <c r="N78" s="43"/>
      <c r="O78" s="43"/>
      <c r="X78" s="85"/>
      <c r="Y78" s="85"/>
    </row>
    <row r="79" spans="1:25">
      <c r="A79" s="290" t="s">
        <v>1833</v>
      </c>
      <c r="B79" s="291" t="s">
        <v>1817</v>
      </c>
      <c r="C79" s="291" t="s">
        <v>1834</v>
      </c>
      <c r="D79" s="292"/>
      <c r="E79" s="291"/>
      <c r="F79" s="291"/>
      <c r="G79" s="293"/>
      <c r="L79" s="138"/>
      <c r="N79" s="43"/>
      <c r="O79" s="43"/>
      <c r="X79" s="85"/>
    </row>
    <row r="80" spans="1:25">
      <c r="L80" s="138"/>
      <c r="N80" s="43"/>
      <c r="O80" s="43"/>
      <c r="X80" s="85"/>
    </row>
    <row r="81" spans="1:25">
      <c r="L81" s="138"/>
      <c r="N81" s="43"/>
      <c r="O81" s="43"/>
      <c r="X81" s="85"/>
    </row>
    <row r="82" spans="1:25">
      <c r="L82" s="138"/>
      <c r="N82" s="43"/>
      <c r="O82" s="43"/>
      <c r="X82" s="85"/>
      <c r="Y82" s="85"/>
    </row>
    <row r="83" spans="1:25">
      <c r="L83" s="138"/>
      <c r="N83" s="43"/>
      <c r="O83" s="43"/>
      <c r="X83" s="85"/>
      <c r="Y83" s="85"/>
    </row>
    <row r="84" spans="1:25">
      <c r="L84" s="138"/>
      <c r="N84" s="43"/>
      <c r="O84" s="43"/>
      <c r="X84" s="85"/>
      <c r="Y84" s="85"/>
    </row>
    <row r="85" spans="1:25">
      <c r="L85" s="138"/>
      <c r="N85" s="43"/>
      <c r="O85" s="43"/>
    </row>
    <row r="86" spans="1:25">
      <c r="L86" s="138"/>
    </row>
    <row r="87" spans="1:25">
      <c r="L87" s="138"/>
    </row>
    <row r="88" spans="1:25">
      <c r="L88" s="138"/>
    </row>
    <row r="89" spans="1:25">
      <c r="L89" s="138"/>
    </row>
    <row r="90" spans="1:25">
      <c r="L90" s="138"/>
    </row>
    <row r="91" spans="1:25">
      <c r="A91" s="280"/>
      <c r="B91" s="280"/>
      <c r="C91" s="280"/>
      <c r="D91" s="280"/>
      <c r="E91" s="280"/>
      <c r="F91" s="280"/>
      <c r="L91" s="138"/>
    </row>
    <row r="92" spans="1:25">
      <c r="A92" s="277"/>
      <c r="B92" s="278"/>
      <c r="C92" s="278"/>
      <c r="D92" s="278"/>
      <c r="E92" s="278"/>
      <c r="F92" s="278"/>
      <c r="L92" s="138"/>
    </row>
    <row r="93" spans="1:25">
      <c r="A93" s="277"/>
      <c r="B93" s="278"/>
      <c r="C93" s="278"/>
      <c r="D93" s="278"/>
      <c r="E93" s="278"/>
      <c r="F93" s="278"/>
      <c r="G93" s="52"/>
      <c r="H93" s="52"/>
      <c r="I93" s="52"/>
      <c r="J93" s="281"/>
      <c r="K93" s="279"/>
      <c r="L93" s="138"/>
    </row>
    <row r="94" spans="1:25">
      <c r="A94" s="277"/>
      <c r="B94" s="278"/>
      <c r="C94" s="278"/>
      <c r="D94" s="278"/>
      <c r="E94" s="278"/>
      <c r="F94" s="278"/>
      <c r="G94" s="52"/>
      <c r="H94" s="52"/>
      <c r="I94" s="52"/>
      <c r="J94" s="4"/>
      <c r="L94" s="138"/>
    </row>
    <row r="95" spans="1:25">
      <c r="A95" s="277"/>
      <c r="B95" s="278"/>
      <c r="C95" s="278"/>
      <c r="D95" s="278"/>
      <c r="E95" s="278"/>
      <c r="F95" s="278"/>
      <c r="G95" s="52"/>
      <c r="H95" s="52"/>
      <c r="I95" s="52"/>
      <c r="J95" s="4"/>
      <c r="L95" s="138"/>
    </row>
    <row r="96" spans="1:25">
      <c r="A96" s="277"/>
      <c r="B96" s="278"/>
      <c r="C96" s="278"/>
      <c r="D96" s="278"/>
      <c r="E96" s="278"/>
      <c r="F96" s="278"/>
      <c r="G96" s="52"/>
      <c r="H96" s="52"/>
      <c r="I96" s="52"/>
      <c r="J96" s="4"/>
      <c r="L96" s="138"/>
    </row>
    <row r="97" spans="1:21">
      <c r="A97" s="277"/>
      <c r="B97" s="278"/>
      <c r="C97" s="278"/>
      <c r="D97" s="278"/>
      <c r="E97" s="278"/>
      <c r="F97" s="278"/>
      <c r="G97" s="52"/>
      <c r="H97" s="52"/>
      <c r="I97" s="52"/>
      <c r="J97" s="4"/>
      <c r="L97" s="138"/>
    </row>
    <row r="98" spans="1:21">
      <c r="A98" s="277"/>
      <c r="B98" s="278"/>
      <c r="C98" s="278"/>
      <c r="D98" s="278"/>
      <c r="E98" s="278"/>
      <c r="F98" s="278"/>
      <c r="L98" s="138"/>
    </row>
    <row r="99" spans="1:21">
      <c r="A99" s="277"/>
      <c r="B99" s="278"/>
      <c r="C99" s="278"/>
      <c r="D99" s="278"/>
      <c r="E99" s="278"/>
      <c r="F99" s="278"/>
      <c r="G99" s="52"/>
      <c r="H99" s="52"/>
      <c r="I99" s="52"/>
      <c r="J99" s="4"/>
      <c r="L99" s="138"/>
    </row>
    <row r="100" spans="1:21">
      <c r="A100" s="277"/>
      <c r="B100" s="278"/>
      <c r="C100" s="278"/>
      <c r="D100" s="278"/>
      <c r="E100" s="278"/>
      <c r="F100" s="278"/>
      <c r="G100" s="52"/>
      <c r="H100" s="158"/>
      <c r="I100" s="158"/>
      <c r="J100" s="4"/>
      <c r="L100" s="138"/>
    </row>
    <row r="101" spans="1:21">
      <c r="A101" s="277"/>
      <c r="B101" s="278"/>
      <c r="C101" s="278"/>
      <c r="D101" s="278"/>
      <c r="E101" s="278"/>
      <c r="F101" s="278"/>
      <c r="G101" s="52"/>
      <c r="H101" s="52"/>
      <c r="I101" s="52"/>
      <c r="L101" s="138"/>
    </row>
    <row r="102" spans="1:21">
      <c r="A102" s="277"/>
      <c r="B102" s="278"/>
      <c r="C102" s="278"/>
      <c r="D102" s="278"/>
      <c r="E102" s="278"/>
      <c r="F102" s="278"/>
      <c r="G102" s="52"/>
      <c r="H102" s="52"/>
      <c r="I102" s="52"/>
      <c r="J102" s="4"/>
      <c r="L102" s="138"/>
    </row>
    <row r="103" spans="1:21">
      <c r="A103" s="277"/>
      <c r="B103" s="278"/>
      <c r="C103" s="278"/>
      <c r="D103" s="278"/>
      <c r="E103" s="278"/>
      <c r="F103" s="278"/>
      <c r="G103" s="52"/>
      <c r="H103" s="52"/>
      <c r="I103" s="52"/>
      <c r="J103" s="4"/>
      <c r="L103" s="138"/>
    </row>
    <row r="104" spans="1:21" s="85" customFormat="1">
      <c r="A104" s="277"/>
      <c r="B104" s="278"/>
      <c r="C104" s="278"/>
      <c r="D104" s="278"/>
      <c r="E104" s="278"/>
      <c r="F104" s="278"/>
      <c r="G104" s="52"/>
      <c r="H104" s="52"/>
      <c r="I104" s="52"/>
      <c r="J104" s="4"/>
      <c r="K104"/>
      <c r="L104" s="138"/>
      <c r="M104"/>
      <c r="N104"/>
      <c r="O104"/>
      <c r="P104"/>
      <c r="Q104"/>
      <c r="R104"/>
      <c r="S104"/>
      <c r="T104"/>
      <c r="U104"/>
    </row>
    <row r="105" spans="1:21" s="85" customFormat="1">
      <c r="A105" s="277"/>
      <c r="B105" s="278"/>
      <c r="C105" s="278"/>
      <c r="D105" s="278"/>
      <c r="E105" s="278"/>
      <c r="F105" s="278"/>
      <c r="G105"/>
      <c r="H105"/>
      <c r="I105"/>
      <c r="J105"/>
      <c r="K105"/>
      <c r="L105" s="138"/>
      <c r="M105"/>
      <c r="N105"/>
      <c r="O105"/>
      <c r="P105"/>
      <c r="Q105"/>
      <c r="R105"/>
      <c r="S105"/>
      <c r="T105"/>
      <c r="U105"/>
    </row>
    <row r="106" spans="1:21" s="85" customFormat="1">
      <c r="A106" s="277"/>
      <c r="B106" s="278"/>
      <c r="C106" s="278"/>
      <c r="D106" s="278"/>
      <c r="E106" s="278"/>
      <c r="F106" s="278"/>
      <c r="G106" s="52"/>
      <c r="H106" s="52"/>
      <c r="I106" s="52"/>
      <c r="J106" s="4"/>
      <c r="K106"/>
      <c r="L106" s="138"/>
      <c r="M106"/>
      <c r="N106"/>
      <c r="O106"/>
      <c r="P106"/>
      <c r="Q106"/>
      <c r="R106"/>
      <c r="S106"/>
      <c r="T106"/>
      <c r="U106"/>
    </row>
    <row r="107" spans="1:21" s="85" customFormat="1">
      <c r="A107" s="277"/>
      <c r="B107" s="278"/>
      <c r="C107" s="278"/>
      <c r="D107" s="278"/>
      <c r="E107" s="278"/>
      <c r="F107" s="278"/>
      <c r="G107" s="52"/>
      <c r="H107" s="52"/>
      <c r="I107" s="52"/>
      <c r="J107" s="4"/>
      <c r="K107"/>
      <c r="L107" s="138"/>
      <c r="M107"/>
      <c r="N107"/>
      <c r="O107"/>
      <c r="P107"/>
      <c r="Q107"/>
      <c r="R107"/>
      <c r="S107"/>
      <c r="T107"/>
      <c r="U107"/>
    </row>
    <row r="108" spans="1:21" s="85" customFormat="1">
      <c r="A108" s="277"/>
      <c r="B108" s="278"/>
      <c r="C108" s="278"/>
      <c r="D108" s="278"/>
      <c r="E108" s="278"/>
      <c r="F108" s="278"/>
      <c r="G108" s="52"/>
      <c r="H108" s="158"/>
      <c r="I108" s="158"/>
      <c r="J108" s="4"/>
      <c r="K108"/>
      <c r="L108" s="138"/>
      <c r="M108"/>
      <c r="N108"/>
      <c r="O108"/>
      <c r="P108"/>
      <c r="Q108"/>
      <c r="R108"/>
      <c r="S108"/>
      <c r="T108"/>
      <c r="U108"/>
    </row>
    <row r="109" spans="1:21" s="85" customFormat="1">
      <c r="A109" s="277"/>
      <c r="B109" s="278"/>
      <c r="C109" s="278"/>
      <c r="D109" s="278"/>
      <c r="E109" s="278"/>
      <c r="F109" s="278"/>
      <c r="G109" s="52"/>
      <c r="H109" s="52"/>
      <c r="I109" s="52"/>
      <c r="J109"/>
      <c r="K109"/>
      <c r="L109" s="138"/>
      <c r="M109"/>
      <c r="N109"/>
      <c r="O109"/>
      <c r="P109"/>
      <c r="Q109"/>
      <c r="R109"/>
      <c r="S109"/>
      <c r="T109"/>
      <c r="U109"/>
    </row>
    <row r="110" spans="1:21" s="85" customFormat="1">
      <c r="A110" s="277"/>
      <c r="B110" s="278"/>
      <c r="C110" s="278"/>
      <c r="D110" s="278"/>
      <c r="E110" s="278"/>
      <c r="F110" s="278"/>
      <c r="G110" s="52"/>
      <c r="H110" s="52"/>
      <c r="I110" s="52"/>
      <c r="J110" s="4"/>
      <c r="K110"/>
      <c r="L110" s="138"/>
      <c r="M110"/>
      <c r="N110"/>
      <c r="O110"/>
      <c r="P110"/>
      <c r="Q110"/>
      <c r="R110"/>
      <c r="S110"/>
      <c r="T110"/>
      <c r="U110"/>
    </row>
    <row r="111" spans="1:21" s="85" customFormat="1">
      <c r="A111" s="277"/>
      <c r="B111" s="278"/>
      <c r="C111" s="278"/>
      <c r="D111" s="278"/>
      <c r="E111" s="278"/>
      <c r="F111" s="278"/>
      <c r="G111" s="52"/>
      <c r="H111" s="52"/>
      <c r="I111" s="52"/>
      <c r="J111" s="4"/>
      <c r="K111"/>
      <c r="L111" s="138"/>
      <c r="M111"/>
      <c r="N111"/>
      <c r="O111"/>
      <c r="P111"/>
      <c r="Q111"/>
      <c r="R111"/>
      <c r="S111"/>
      <c r="T111"/>
      <c r="U111"/>
    </row>
    <row r="112" spans="1:21" s="85" customFormat="1">
      <c r="A112" s="277"/>
      <c r="B112" s="278"/>
      <c r="C112" s="278"/>
      <c r="D112" s="278"/>
      <c r="E112" s="278"/>
      <c r="F112" s="278"/>
      <c r="G112"/>
      <c r="H112"/>
      <c r="I112"/>
      <c r="J112"/>
      <c r="K112"/>
      <c r="L112" s="138"/>
      <c r="M112"/>
      <c r="N112"/>
      <c r="O112"/>
      <c r="P112"/>
      <c r="Q112"/>
      <c r="R112"/>
      <c r="S112"/>
      <c r="T112"/>
      <c r="U112"/>
    </row>
    <row r="113" spans="1:21" s="85" customFormat="1">
      <c r="A113" s="277"/>
      <c r="B113" s="278"/>
      <c r="C113" s="278"/>
      <c r="D113" s="278"/>
      <c r="E113" s="278"/>
      <c r="F113" s="278"/>
      <c r="G113" s="52"/>
      <c r="H113" s="52"/>
      <c r="I113" s="52"/>
      <c r="J113" s="4"/>
      <c r="K113"/>
      <c r="L113" s="138"/>
      <c r="M113"/>
      <c r="N113"/>
      <c r="O113"/>
      <c r="P113"/>
      <c r="Q113"/>
      <c r="R113"/>
      <c r="S113"/>
      <c r="T113"/>
      <c r="U113"/>
    </row>
    <row r="114" spans="1:21" s="85" customFormat="1">
      <c r="A114" s="277"/>
      <c r="B114" s="278"/>
      <c r="C114" s="278"/>
      <c r="D114" s="278"/>
      <c r="E114" s="278"/>
      <c r="F114" s="278"/>
      <c r="G114" s="52"/>
      <c r="H114" s="52"/>
      <c r="I114" s="52"/>
      <c r="J114" s="4"/>
      <c r="K114"/>
      <c r="L114" s="138"/>
      <c r="M114"/>
      <c r="N114"/>
      <c r="O114"/>
      <c r="P114"/>
      <c r="Q114"/>
      <c r="R114"/>
      <c r="S114"/>
      <c r="T114"/>
      <c r="U114"/>
    </row>
    <row r="115" spans="1:21" s="85" customFormat="1">
      <c r="A115" s="277"/>
      <c r="B115" s="278"/>
      <c r="C115" s="278"/>
      <c r="D115" s="278"/>
      <c r="E115" s="278"/>
      <c r="F115" s="278"/>
      <c r="G115" s="52"/>
      <c r="H115" s="52"/>
      <c r="I115" s="52"/>
      <c r="J115" s="4"/>
      <c r="K115"/>
      <c r="L115" s="138"/>
      <c r="M115"/>
      <c r="N115"/>
      <c r="O115"/>
      <c r="P115"/>
      <c r="Q115"/>
      <c r="R115"/>
      <c r="S115"/>
      <c r="T115"/>
      <c r="U115"/>
    </row>
    <row r="116" spans="1:21" s="85" customFormat="1">
      <c r="A116" s="277"/>
      <c r="B116" s="278"/>
      <c r="C116" s="278"/>
      <c r="D116" s="278"/>
      <c r="E116" s="278"/>
      <c r="F116" s="278"/>
      <c r="G116" s="52"/>
      <c r="H116" s="158"/>
      <c r="I116" s="158"/>
      <c r="J116" s="4"/>
      <c r="K116"/>
      <c r="L116" s="138"/>
      <c r="M116"/>
      <c r="N116"/>
      <c r="O116"/>
      <c r="P116"/>
      <c r="Q116"/>
      <c r="R116"/>
      <c r="S116"/>
      <c r="T116"/>
      <c r="U116"/>
    </row>
    <row r="118" spans="1:21" s="85" customFormat="1">
      <c r="A118"/>
      <c r="B118"/>
      <c r="C118"/>
      <c r="D118"/>
      <c r="E118"/>
      <c r="F118"/>
      <c r="G118"/>
      <c r="H118"/>
      <c r="I118"/>
      <c r="J118"/>
      <c r="K118"/>
      <c r="L118"/>
      <c r="M118"/>
      <c r="N118"/>
      <c r="O118"/>
      <c r="P118"/>
      <c r="Q118"/>
      <c r="R118"/>
      <c r="S118"/>
      <c r="T118"/>
      <c r="U118"/>
    </row>
    <row r="119" spans="1:21" s="85" customFormat="1">
      <c r="A119"/>
      <c r="B119"/>
      <c r="C119"/>
      <c r="D119"/>
      <c r="E119"/>
      <c r="F119"/>
      <c r="G119"/>
      <c r="H119"/>
      <c r="I119"/>
      <c r="J119"/>
      <c r="K119"/>
      <c r="L119"/>
      <c r="M119"/>
      <c r="N119"/>
      <c r="O119"/>
      <c r="P119"/>
      <c r="Q119"/>
      <c r="R119"/>
      <c r="S119"/>
      <c r="T119"/>
      <c r="U119"/>
    </row>
  </sheetData>
  <printOptions headings="1"/>
  <pageMargins left="0.70866141732282995" right="0.70866141732282995" top="0.74803149606299002" bottom="0.74803149606299002" header="0.31496062992126" footer="0.31496062992126"/>
  <pageSetup paperSize="9" orientation="portrait" r:id="rId1"/>
  <headerFooter>
    <oddHeader>&amp;C&amp;"Aptos"&amp;12&amp;KFF0000 UNOFFICIAL&amp;1#_x000D_</oddHeader>
    <oddFooter>&amp;C_x000D_&amp;1#&amp;"Aptos"&amp;12&amp;KFF0000 UNOFFICIAL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9ECCD-B949-4585-9B6F-5BF20ABA4077}">
  <dimension ref="A1:AK128"/>
  <sheetViews>
    <sheetView topLeftCell="A32" zoomScale="71" zoomScaleNormal="100" workbookViewId="0">
      <selection activeCell="P74" sqref="P74"/>
    </sheetView>
  </sheetViews>
  <sheetFormatPr defaultRowHeight="15"/>
  <cols>
    <col min="1" max="1" width="9.85546875" bestFit="1" customWidth="1"/>
    <col min="2" max="2" width="12.42578125" customWidth="1"/>
    <col min="7" max="7" width="17.5703125" bestFit="1" customWidth="1"/>
    <col min="8" max="8" width="12.42578125" bestFit="1" customWidth="1"/>
    <col min="9" max="9" width="12.42578125" customWidth="1"/>
    <col min="10" max="10" width="8.140625" customWidth="1"/>
    <col min="11" max="11" width="12.5703125" bestFit="1" customWidth="1"/>
    <col min="12" max="12" width="7" bestFit="1" customWidth="1"/>
    <col min="13" max="13" width="13.7109375" bestFit="1" customWidth="1"/>
    <col min="14" max="14" width="12.7109375" bestFit="1" customWidth="1"/>
    <col min="15" max="15" width="12" bestFit="1" customWidth="1"/>
    <col min="22" max="22" width="10.7109375" style="85" bestFit="1" customWidth="1"/>
    <col min="23" max="23" width="13.7109375" bestFit="1" customWidth="1"/>
    <col min="26" max="26" width="12.140625" bestFit="1" customWidth="1"/>
  </cols>
  <sheetData>
    <row r="1" spans="1:25">
      <c r="A1" t="s">
        <v>17</v>
      </c>
      <c r="B1" t="s">
        <v>1705</v>
      </c>
      <c r="C1" t="s">
        <v>301</v>
      </c>
      <c r="D1" t="s">
        <v>1762</v>
      </c>
      <c r="E1" t="s">
        <v>307</v>
      </c>
      <c r="F1" t="s">
        <v>305</v>
      </c>
      <c r="G1" t="s">
        <v>306</v>
      </c>
      <c r="H1" s="282" t="s">
        <v>17</v>
      </c>
      <c r="I1" s="282"/>
      <c r="J1" s="282" t="s">
        <v>1737</v>
      </c>
      <c r="K1" s="282" t="s">
        <v>1738</v>
      </c>
      <c r="N1" s="37" t="s">
        <v>1739</v>
      </c>
      <c r="O1" s="37"/>
    </row>
    <row r="2" spans="1:25">
      <c r="A2" s="299" t="s">
        <v>1763</v>
      </c>
      <c r="B2" s="300" t="s">
        <v>1914</v>
      </c>
      <c r="C2" s="300" t="s">
        <v>1915</v>
      </c>
      <c r="D2" s="301"/>
      <c r="E2" s="300" t="s">
        <v>1740</v>
      </c>
      <c r="F2" s="300" t="s">
        <v>1740</v>
      </c>
      <c r="G2" s="300" t="s">
        <v>1740</v>
      </c>
      <c r="H2" s="309"/>
      <c r="I2" s="309"/>
      <c r="J2" s="280"/>
      <c r="N2" s="37"/>
      <c r="O2" s="37"/>
      <c r="X2" s="85"/>
    </row>
    <row r="3" spans="1:25">
      <c r="A3" s="299" t="s">
        <v>1764</v>
      </c>
      <c r="B3" s="300" t="s">
        <v>1914</v>
      </c>
      <c r="C3" s="300" t="s">
        <v>1916</v>
      </c>
      <c r="D3" s="301">
        <v>2.4996</v>
      </c>
      <c r="E3" s="300">
        <v>1.0620532035827637</v>
      </c>
      <c r="F3" s="300">
        <v>14.14313793182373</v>
      </c>
      <c r="G3" s="300">
        <v>1.039699912071228</v>
      </c>
      <c r="H3" s="276" t="s">
        <v>37</v>
      </c>
      <c r="I3" s="276">
        <v>1</v>
      </c>
      <c r="J3">
        <f>F3/E3</f>
        <v>13.316788541395878</v>
      </c>
      <c r="M3" s="85"/>
      <c r="N3" s="37" t="s">
        <v>1741</v>
      </c>
      <c r="O3" s="37" t="s">
        <v>1742</v>
      </c>
      <c r="X3" s="85"/>
      <c r="Y3" s="85"/>
    </row>
    <row r="4" spans="1:25">
      <c r="A4" s="299" t="s">
        <v>1765</v>
      </c>
      <c r="B4" s="300" t="s">
        <v>1914</v>
      </c>
      <c r="C4" s="300" t="s">
        <v>1917</v>
      </c>
      <c r="D4" s="301">
        <v>2.7202000000000002</v>
      </c>
      <c r="E4" s="300">
        <v>0.89551663398742676</v>
      </c>
      <c r="F4" s="300">
        <v>13.689865112304688</v>
      </c>
      <c r="G4" s="300">
        <v>0.90958172082901001</v>
      </c>
      <c r="H4" s="276" t="s">
        <v>37</v>
      </c>
      <c r="I4" s="275">
        <v>2</v>
      </c>
      <c r="J4">
        <f>F4/E4</f>
        <v>15.287114267602645</v>
      </c>
      <c r="X4" s="85"/>
      <c r="Y4" s="85"/>
    </row>
    <row r="5" spans="1:25" s="284" customFormat="1">
      <c r="A5" s="360" t="s">
        <v>1766</v>
      </c>
      <c r="B5" s="361" t="s">
        <v>1914</v>
      </c>
      <c r="C5" s="361" t="s">
        <v>1918</v>
      </c>
      <c r="D5" s="362">
        <v>2.5045000000000002</v>
      </c>
      <c r="E5" s="361">
        <v>1.1684569120407104</v>
      </c>
      <c r="F5" s="361">
        <v>15.087624549865723</v>
      </c>
      <c r="G5" s="361">
        <v>1.0458188056945801</v>
      </c>
      <c r="H5" s="363" t="s">
        <v>37</v>
      </c>
      <c r="I5" s="283" t="s">
        <v>1998</v>
      </c>
      <c r="J5" s="284">
        <f>F5/E5</f>
        <v>12.912435533044329</v>
      </c>
      <c r="N5" s="286"/>
      <c r="O5" s="286"/>
      <c r="V5" s="285"/>
      <c r="X5" s="285"/>
      <c r="Y5" s="285"/>
    </row>
    <row r="6" spans="1:25">
      <c r="A6" s="299" t="s">
        <v>1767</v>
      </c>
      <c r="B6" s="300" t="s">
        <v>1914</v>
      </c>
      <c r="C6" s="300" t="s">
        <v>1919</v>
      </c>
      <c r="D6" s="301">
        <v>2.7681</v>
      </c>
      <c r="E6" s="300">
        <v>1.5020374059677124</v>
      </c>
      <c r="F6" s="300">
        <v>16.343240737915039</v>
      </c>
      <c r="G6" s="300">
        <v>1.3749493360519409</v>
      </c>
      <c r="H6" s="276" t="s">
        <v>37</v>
      </c>
      <c r="I6" s="275">
        <v>4</v>
      </c>
      <c r="J6">
        <f>F6/E6</f>
        <v>10.880714869671063</v>
      </c>
      <c r="L6" s="304"/>
      <c r="X6" s="85"/>
      <c r="Y6" s="85"/>
    </row>
    <row r="7" spans="1:25">
      <c r="A7" s="299" t="s">
        <v>1768</v>
      </c>
      <c r="B7" s="300" t="s">
        <v>1914</v>
      </c>
      <c r="C7" s="300" t="s">
        <v>1920</v>
      </c>
      <c r="D7" s="301">
        <v>2.7955999999999999</v>
      </c>
      <c r="E7" s="300">
        <v>1.4788566827774048</v>
      </c>
      <c r="F7" s="300">
        <v>16.197906494140625</v>
      </c>
      <c r="G7" s="300">
        <v>1.3837357759475708</v>
      </c>
      <c r="H7" s="276" t="s">
        <v>37</v>
      </c>
      <c r="I7" s="275">
        <v>5</v>
      </c>
      <c r="J7">
        <f>F7/E7</f>
        <v>10.952992729302025</v>
      </c>
      <c r="L7" s="84"/>
      <c r="X7" s="85"/>
      <c r="Y7" s="85"/>
    </row>
    <row r="8" spans="1:25">
      <c r="A8" s="299" t="s">
        <v>1921</v>
      </c>
      <c r="B8" s="300" t="s">
        <v>1914</v>
      </c>
      <c r="C8" s="300" t="s">
        <v>1922</v>
      </c>
      <c r="D8" s="301"/>
      <c r="E8" s="300"/>
      <c r="F8" s="300"/>
      <c r="G8" s="300"/>
      <c r="X8" s="85"/>
      <c r="Y8" s="85"/>
    </row>
    <row r="9" spans="1:25">
      <c r="A9" s="299" t="s">
        <v>1769</v>
      </c>
      <c r="B9" s="300" t="s">
        <v>1914</v>
      </c>
      <c r="C9" s="300" t="s">
        <v>1923</v>
      </c>
      <c r="D9" s="301">
        <v>2.6621000000000001</v>
      </c>
      <c r="E9" s="300">
        <v>1.1823410987854004</v>
      </c>
      <c r="F9" s="300">
        <v>15.451682090759277</v>
      </c>
      <c r="G9" s="300">
        <v>1.2098126411437988</v>
      </c>
      <c r="H9" s="276" t="s">
        <v>37</v>
      </c>
      <c r="I9" s="275">
        <v>6</v>
      </c>
      <c r="J9">
        <f t="shared" ref="J9:J14" si="0">F9/E9</f>
        <v>13.068717738588752</v>
      </c>
      <c r="X9" s="85"/>
      <c r="Y9" s="85"/>
    </row>
    <row r="10" spans="1:25">
      <c r="A10" s="299" t="s">
        <v>1770</v>
      </c>
      <c r="B10" s="300" t="s">
        <v>1914</v>
      </c>
      <c r="C10" s="300" t="s">
        <v>1924</v>
      </c>
      <c r="D10" s="301">
        <v>2.5808</v>
      </c>
      <c r="E10" s="300">
        <v>1.6000605821609497</v>
      </c>
      <c r="F10" s="300">
        <v>16.3023681640625</v>
      </c>
      <c r="G10" s="300">
        <v>1.4110450744628906</v>
      </c>
      <c r="H10" s="276" t="s">
        <v>37</v>
      </c>
      <c r="I10" s="275">
        <v>7</v>
      </c>
      <c r="J10">
        <f t="shared" si="0"/>
        <v>10.188594323125853</v>
      </c>
      <c r="N10" s="122"/>
      <c r="O10" s="122"/>
      <c r="V10"/>
      <c r="Y10" s="85"/>
    </row>
    <row r="11" spans="1:25">
      <c r="A11" s="299" t="s">
        <v>1771</v>
      </c>
      <c r="B11" s="300" t="s">
        <v>1914</v>
      </c>
      <c r="C11" s="300" t="s">
        <v>1925</v>
      </c>
      <c r="D11" s="301">
        <v>2.9885999999999999</v>
      </c>
      <c r="E11" s="300">
        <v>1.2476441860198975</v>
      </c>
      <c r="F11" s="300">
        <v>14.628109931945801</v>
      </c>
      <c r="G11" s="300">
        <v>1.1683428287506104</v>
      </c>
      <c r="H11" s="276" t="s">
        <v>37</v>
      </c>
      <c r="I11" s="275">
        <v>8</v>
      </c>
      <c r="J11">
        <f t="shared" si="0"/>
        <v>11.724584697990579</v>
      </c>
      <c r="N11" s="122"/>
      <c r="O11" s="122"/>
      <c r="X11" s="85"/>
      <c r="Y11" s="85"/>
    </row>
    <row r="12" spans="1:25">
      <c r="A12" s="299" t="s">
        <v>1757</v>
      </c>
      <c r="B12" s="300" t="s">
        <v>1914</v>
      </c>
      <c r="C12" s="300" t="s">
        <v>1926</v>
      </c>
      <c r="D12" s="301">
        <v>3.0548999999999999</v>
      </c>
      <c r="E12" s="300">
        <v>1.152154803276062</v>
      </c>
      <c r="F12" s="300">
        <v>14.447134971618652</v>
      </c>
      <c r="G12" s="300">
        <v>1.0828126668930054</v>
      </c>
      <c r="H12" s="276" t="s">
        <v>37</v>
      </c>
      <c r="I12" s="275">
        <v>9</v>
      </c>
      <c r="J12">
        <f t="shared" si="0"/>
        <v>12.53923077917946</v>
      </c>
      <c r="N12" s="122"/>
      <c r="O12" s="122"/>
      <c r="X12" s="85"/>
      <c r="Y12" s="85"/>
    </row>
    <row r="13" spans="1:25">
      <c r="A13" s="299" t="s">
        <v>1758</v>
      </c>
      <c r="B13" s="300" t="s">
        <v>1914</v>
      </c>
      <c r="C13" s="300" t="s">
        <v>1927</v>
      </c>
      <c r="D13" s="301">
        <v>2.7317</v>
      </c>
      <c r="E13" s="300">
        <v>0.83103388547897339</v>
      </c>
      <c r="F13" s="300">
        <v>13.739360809326172</v>
      </c>
      <c r="G13" s="300">
        <v>0.85029774904251099</v>
      </c>
      <c r="H13" s="276" t="s">
        <v>37</v>
      </c>
      <c r="I13" s="275">
        <v>10</v>
      </c>
      <c r="J13">
        <f t="shared" si="0"/>
        <v>16.532852690365779</v>
      </c>
      <c r="N13" s="122"/>
      <c r="O13" s="122"/>
      <c r="X13" s="85"/>
      <c r="Y13" s="85"/>
    </row>
    <row r="14" spans="1:25" s="37" customFormat="1">
      <c r="A14" s="299" t="s">
        <v>1759</v>
      </c>
      <c r="B14" s="300" t="s">
        <v>1914</v>
      </c>
      <c r="C14" s="300" t="s">
        <v>1928</v>
      </c>
      <c r="D14" s="301">
        <v>2.8151999999999999</v>
      </c>
      <c r="E14" s="300">
        <v>0.77182066440582275</v>
      </c>
      <c r="F14" s="300">
        <v>13.441401481628418</v>
      </c>
      <c r="G14" s="300">
        <v>0.82791835069656372</v>
      </c>
      <c r="H14" s="276" t="s">
        <v>37</v>
      </c>
      <c r="I14" s="275">
        <v>11</v>
      </c>
      <c r="J14">
        <f t="shared" si="0"/>
        <v>17.415187363474036</v>
      </c>
      <c r="N14" s="133"/>
      <c r="O14" s="133"/>
      <c r="X14" s="305"/>
    </row>
    <row r="15" spans="1:25">
      <c r="A15" s="299" t="s">
        <v>1929</v>
      </c>
      <c r="B15" s="300" t="s">
        <v>1914</v>
      </c>
      <c r="C15" s="300" t="s">
        <v>1930</v>
      </c>
      <c r="D15" s="301"/>
      <c r="E15" s="300"/>
      <c r="F15" s="300"/>
      <c r="G15" s="300"/>
      <c r="N15" s="122"/>
      <c r="O15" s="122"/>
      <c r="V15"/>
      <c r="X15" s="85"/>
      <c r="Y15" s="85"/>
    </row>
    <row r="16" spans="1:25" s="284" customFormat="1">
      <c r="A16" s="360" t="s">
        <v>1772</v>
      </c>
      <c r="B16" s="361" t="s">
        <v>1914</v>
      </c>
      <c r="C16" s="361" t="s">
        <v>1931</v>
      </c>
      <c r="D16" s="362">
        <v>2.8407</v>
      </c>
      <c r="E16" s="361">
        <v>1.2036257982254028</v>
      </c>
      <c r="F16" s="361">
        <v>15.371766090393066</v>
      </c>
      <c r="G16" s="361">
        <v>1.099853515625</v>
      </c>
      <c r="H16" s="363" t="s">
        <v>37</v>
      </c>
      <c r="I16" s="283" t="s">
        <v>1999</v>
      </c>
      <c r="J16" s="284">
        <f t="shared" ref="J16:J27" si="1">F16/E16</f>
        <v>12.77121686246409</v>
      </c>
      <c r="N16" s="286">
        <f>((E16-E5)/AVERAGE(E5,E16))*100</f>
        <v>2.9652327073154159</v>
      </c>
      <c r="O16" s="286">
        <f>((F16-F5)/AVERAGE(F5,F16))*100</f>
        <v>1.8657073208272799</v>
      </c>
      <c r="X16" s="285"/>
      <c r="Y16" s="364"/>
    </row>
    <row r="17" spans="1:25">
      <c r="A17" s="299" t="s">
        <v>1773</v>
      </c>
      <c r="B17" s="300" t="s">
        <v>1914</v>
      </c>
      <c r="C17" s="300" t="s">
        <v>1932</v>
      </c>
      <c r="D17" s="301">
        <v>2.9239000000000002</v>
      </c>
      <c r="E17" s="300">
        <v>0.84790986776351929</v>
      </c>
      <c r="F17" s="300">
        <v>14.231636047363281</v>
      </c>
      <c r="G17" s="300">
        <v>1.0426986217498779</v>
      </c>
      <c r="H17" s="276" t="s">
        <v>37</v>
      </c>
      <c r="I17" s="275">
        <v>12</v>
      </c>
      <c r="J17">
        <f t="shared" si="1"/>
        <v>16.78437365624864</v>
      </c>
      <c r="N17" s="122"/>
      <c r="O17" s="122"/>
      <c r="V17"/>
      <c r="X17" s="85"/>
      <c r="Y17" s="305"/>
    </row>
    <row r="18" spans="1:25">
      <c r="A18" s="299" t="s">
        <v>1774</v>
      </c>
      <c r="B18" s="300" t="s">
        <v>1914</v>
      </c>
      <c r="C18" s="300" t="s">
        <v>1933</v>
      </c>
      <c r="D18" s="301">
        <v>2.9723999999999999</v>
      </c>
      <c r="E18" s="300">
        <v>0.83778500556945801</v>
      </c>
      <c r="F18" s="300">
        <v>13.403855323791504</v>
      </c>
      <c r="G18" s="300">
        <v>1.1322430372238159</v>
      </c>
      <c r="H18" s="276" t="s">
        <v>37</v>
      </c>
      <c r="I18" s="275">
        <v>13</v>
      </c>
      <c r="J18">
        <f t="shared" si="1"/>
        <v>15.999158775443414</v>
      </c>
      <c r="N18" s="122"/>
      <c r="O18" s="122"/>
      <c r="X18" s="85"/>
      <c r="Y18" s="85"/>
    </row>
    <row r="19" spans="1:25">
      <c r="A19" s="299" t="s">
        <v>1775</v>
      </c>
      <c r="B19" s="300" t="s">
        <v>1914</v>
      </c>
      <c r="C19" s="300" t="s">
        <v>1934</v>
      </c>
      <c r="D19" s="301">
        <v>2.8416999999999999</v>
      </c>
      <c r="E19" s="300">
        <v>0.94628375768661499</v>
      </c>
      <c r="F19" s="300">
        <v>13.69426155090332</v>
      </c>
      <c r="G19" s="300">
        <v>1.1443071365356445</v>
      </c>
      <c r="H19" s="276" t="s">
        <v>37</v>
      </c>
      <c r="I19" s="275">
        <v>14</v>
      </c>
      <c r="J19">
        <f t="shared" si="1"/>
        <v>14.471622744938321</v>
      </c>
      <c r="N19" s="122"/>
      <c r="O19" s="122"/>
      <c r="X19" s="85"/>
      <c r="Y19" s="85"/>
    </row>
    <row r="20" spans="1:25">
      <c r="A20" s="299" t="s">
        <v>1776</v>
      </c>
      <c r="B20" s="300" t="s">
        <v>1914</v>
      </c>
      <c r="C20" s="300" t="s">
        <v>1935</v>
      </c>
      <c r="D20" s="301">
        <v>2.7004999999999999</v>
      </c>
      <c r="E20" s="300">
        <v>0.96075564622879028</v>
      </c>
      <c r="F20" s="300">
        <v>14.058713912963867</v>
      </c>
      <c r="G20" s="300">
        <v>1.0411607027053833</v>
      </c>
      <c r="H20" s="276" t="s">
        <v>37</v>
      </c>
      <c r="I20" s="275">
        <v>15</v>
      </c>
      <c r="J20">
        <f t="shared" si="1"/>
        <v>14.632975583487733</v>
      </c>
      <c r="N20" s="122"/>
      <c r="O20" s="122"/>
      <c r="X20" s="85"/>
      <c r="Y20" s="85"/>
    </row>
    <row r="21" spans="1:25" s="331" customFormat="1">
      <c r="A21" s="365" t="s">
        <v>1777</v>
      </c>
      <c r="B21" s="366" t="s">
        <v>1914</v>
      </c>
      <c r="C21" s="366" t="s">
        <v>1936</v>
      </c>
      <c r="D21" s="367">
        <v>2.6699000000000002</v>
      </c>
      <c r="E21" s="366">
        <v>1.1566618680953979</v>
      </c>
      <c r="F21" s="366">
        <v>14.544150352478027</v>
      </c>
      <c r="G21" s="366">
        <v>1.1263389587402344</v>
      </c>
      <c r="H21" s="368" t="s">
        <v>37</v>
      </c>
      <c r="I21" s="330" t="s">
        <v>1811</v>
      </c>
      <c r="J21" s="331">
        <f t="shared" si="1"/>
        <v>12.574245554084843</v>
      </c>
      <c r="N21" s="122">
        <f>((E21-E24)/AVERAGE(E24,E21))*100</f>
        <v>-1.0981256671615409</v>
      </c>
      <c r="O21" s="122">
        <f>((F21-F24)/AVERAGE(F24,F21))*100</f>
        <v>1.4432033684629872</v>
      </c>
      <c r="P21" s="332"/>
      <c r="V21" s="333"/>
      <c r="X21" s="333"/>
    </row>
    <row r="22" spans="1:25">
      <c r="A22" s="299" t="s">
        <v>1937</v>
      </c>
      <c r="B22" s="300" t="s">
        <v>1914</v>
      </c>
      <c r="C22" s="300" t="s">
        <v>1938</v>
      </c>
      <c r="D22" s="301"/>
      <c r="E22" s="300"/>
      <c r="F22" s="300"/>
      <c r="G22" s="300"/>
      <c r="H22" s="316"/>
      <c r="I22" s="275"/>
      <c r="J22" t="e">
        <f t="shared" si="1"/>
        <v>#DIV/0!</v>
      </c>
      <c r="N22" s="122"/>
      <c r="O22" s="122"/>
      <c r="X22" s="85"/>
      <c r="Y22" s="85"/>
    </row>
    <row r="23" spans="1:25">
      <c r="A23" s="299" t="s">
        <v>1778</v>
      </c>
      <c r="B23" s="300" t="s">
        <v>1914</v>
      </c>
      <c r="C23" s="300" t="s">
        <v>1939</v>
      </c>
      <c r="D23" s="301">
        <v>3.2431999999999999</v>
      </c>
      <c r="E23" s="300">
        <v>0.24977244436740875</v>
      </c>
      <c r="F23" s="300">
        <v>3.1863595008850099</v>
      </c>
      <c r="G23" s="300">
        <v>0.69795960187911987</v>
      </c>
      <c r="H23" s="276" t="s">
        <v>1747</v>
      </c>
      <c r="I23" s="275"/>
      <c r="J23">
        <f t="shared" si="1"/>
        <v>12.75704975765044</v>
      </c>
      <c r="N23" s="122"/>
      <c r="O23" s="122"/>
      <c r="X23" s="85"/>
      <c r="Y23" s="85"/>
    </row>
    <row r="24" spans="1:25" s="331" customFormat="1">
      <c r="A24" s="365" t="s">
        <v>1779</v>
      </c>
      <c r="B24" s="366" t="s">
        <v>1914</v>
      </c>
      <c r="C24" s="366" t="s">
        <v>1940</v>
      </c>
      <c r="D24" s="367">
        <v>2.5152000000000001</v>
      </c>
      <c r="E24" s="366">
        <v>1.16943359375</v>
      </c>
      <c r="F24" s="366">
        <v>14.335752487182617</v>
      </c>
      <c r="G24" s="366">
        <v>1.1731125116348267</v>
      </c>
      <c r="H24" s="368" t="s">
        <v>37</v>
      </c>
      <c r="I24" s="330" t="s">
        <v>1812</v>
      </c>
      <c r="J24" s="331">
        <f t="shared" si="1"/>
        <v>12.258714444154489</v>
      </c>
      <c r="N24" s="332"/>
      <c r="O24" s="332"/>
      <c r="V24" s="333"/>
      <c r="X24" s="333"/>
      <c r="Y24" s="333"/>
    </row>
    <row r="25" spans="1:25">
      <c r="A25" s="299" t="s">
        <v>1780</v>
      </c>
      <c r="B25" s="300" t="s">
        <v>1914</v>
      </c>
      <c r="C25" s="300" t="s">
        <v>1941</v>
      </c>
      <c r="D25" s="301">
        <v>2.5044</v>
      </c>
      <c r="E25" s="300">
        <v>1.4151146411895752</v>
      </c>
      <c r="F25" s="300">
        <v>15.614274024963379</v>
      </c>
      <c r="G25" s="300">
        <v>1.2824283838272095</v>
      </c>
      <c r="H25" s="276" t="s">
        <v>37</v>
      </c>
      <c r="I25" s="275">
        <v>17</v>
      </c>
      <c r="J25">
        <f t="shared" si="1"/>
        <v>11.033928680038029</v>
      </c>
      <c r="N25" s="122"/>
      <c r="O25" s="122"/>
      <c r="X25" s="85"/>
      <c r="Y25" s="85"/>
    </row>
    <row r="26" spans="1:25" s="306" customFormat="1" ht="15.75" thickBot="1">
      <c r="A26" s="299" t="s">
        <v>1760</v>
      </c>
      <c r="B26" s="300" t="s">
        <v>1914</v>
      </c>
      <c r="C26" s="300" t="s">
        <v>1942</v>
      </c>
      <c r="D26" s="301">
        <v>2.7115</v>
      </c>
      <c r="E26" s="300">
        <v>0.83043384552001953</v>
      </c>
      <c r="F26" s="300">
        <v>13.622712135314941</v>
      </c>
      <c r="G26" s="300">
        <v>0.84244978427886963</v>
      </c>
      <c r="H26" s="276" t="s">
        <v>37</v>
      </c>
      <c r="I26" s="275">
        <v>18</v>
      </c>
      <c r="J26">
        <f t="shared" si="1"/>
        <v>16.404331553688504</v>
      </c>
      <c r="N26" s="307"/>
      <c r="O26" s="307"/>
      <c r="Y26" s="85"/>
    </row>
    <row r="27" spans="1:25" ht="15.75" thickTop="1">
      <c r="A27" s="299" t="s">
        <v>1781</v>
      </c>
      <c r="B27" s="300" t="s">
        <v>1914</v>
      </c>
      <c r="C27" s="300" t="s">
        <v>1943</v>
      </c>
      <c r="D27" s="301">
        <v>3.3738000000000001</v>
      </c>
      <c r="E27" s="300">
        <v>0.76641571521759033</v>
      </c>
      <c r="F27" s="300">
        <v>13.872353553771973</v>
      </c>
      <c r="G27" s="300">
        <v>0.77420830726623535</v>
      </c>
      <c r="H27" s="276" t="s">
        <v>37</v>
      </c>
      <c r="I27" s="275">
        <v>19</v>
      </c>
      <c r="J27">
        <f t="shared" si="1"/>
        <v>18.100298934806577</v>
      </c>
      <c r="X27" s="85"/>
      <c r="Y27" s="85"/>
    </row>
    <row r="28" spans="1:25" ht="15.75" thickBot="1">
      <c r="A28" s="299" t="s">
        <v>1782</v>
      </c>
      <c r="B28" s="300" t="s">
        <v>1914</v>
      </c>
      <c r="C28" s="300" t="s">
        <v>1944</v>
      </c>
      <c r="D28" s="301">
        <v>2.6322999999999999</v>
      </c>
      <c r="E28" s="300">
        <v>0.85138094425201416</v>
      </c>
      <c r="F28" s="300">
        <v>14.000311851501465</v>
      </c>
      <c r="G28" s="300">
        <v>0.87365871667861938</v>
      </c>
      <c r="H28" s="276" t="s">
        <v>37</v>
      </c>
      <c r="I28" s="275">
        <v>20</v>
      </c>
      <c r="N28" s="122"/>
      <c r="O28" s="122"/>
      <c r="V28"/>
      <c r="Y28" s="308"/>
    </row>
    <row r="29" spans="1:25" ht="15.75" thickTop="1">
      <c r="A29" s="299" t="s">
        <v>1945</v>
      </c>
      <c r="B29" s="300" t="s">
        <v>1914</v>
      </c>
      <c r="C29" s="300" t="s">
        <v>1946</v>
      </c>
      <c r="D29" s="301"/>
      <c r="E29" s="300"/>
      <c r="F29" s="300"/>
      <c r="G29" s="300"/>
      <c r="H29" s="317"/>
      <c r="I29" s="275"/>
      <c r="J29" t="e">
        <f t="shared" ref="J29:J40" si="2">F29/E29</f>
        <v>#DIV/0!</v>
      </c>
      <c r="N29" s="122"/>
      <c r="O29" s="122"/>
      <c r="X29" s="85"/>
    </row>
    <row r="30" spans="1:25">
      <c r="A30" s="299" t="s">
        <v>1783</v>
      </c>
      <c r="B30" s="300" t="s">
        <v>1914</v>
      </c>
      <c r="C30" s="300" t="s">
        <v>1947</v>
      </c>
      <c r="D30" s="301">
        <v>2.7797999999999998</v>
      </c>
      <c r="E30" s="300">
        <v>0.64429372549057007</v>
      </c>
      <c r="F30" s="300">
        <v>13.182314872741699</v>
      </c>
      <c r="G30" s="300">
        <v>0.62791430950164795</v>
      </c>
      <c r="H30" s="276" t="s">
        <v>37</v>
      </c>
      <c r="I30" s="275">
        <v>21</v>
      </c>
      <c r="J30">
        <f t="shared" si="2"/>
        <v>20.460101272450832</v>
      </c>
      <c r="N30" s="122"/>
      <c r="O30" s="122"/>
      <c r="X30" s="85"/>
      <c r="Y30" s="85"/>
    </row>
    <row r="31" spans="1:25" s="200" customFormat="1">
      <c r="A31" s="369" t="s">
        <v>1784</v>
      </c>
      <c r="B31" s="370" t="s">
        <v>1914</v>
      </c>
      <c r="C31" s="370" t="s">
        <v>1948</v>
      </c>
      <c r="D31" s="371">
        <v>2.8458000000000001</v>
      </c>
      <c r="E31" s="370">
        <v>0.87448042631149292</v>
      </c>
      <c r="F31" s="370">
        <v>13.211616516113281</v>
      </c>
      <c r="G31" s="370">
        <v>0.97403395175933838</v>
      </c>
      <c r="H31" s="372" t="s">
        <v>40</v>
      </c>
      <c r="I31" s="372" t="s">
        <v>1813</v>
      </c>
      <c r="J31" s="200">
        <f t="shared" si="2"/>
        <v>15.107961388957674</v>
      </c>
      <c r="N31" s="122">
        <f>((E31-E47)/AVERAGE(E47,E31))*100</f>
        <v>-1.9424796975087508</v>
      </c>
      <c r="O31" s="122">
        <f>((F31-F47)/AVERAGE(F47,F31))*100</f>
        <v>-6.3047741688271597E-2</v>
      </c>
      <c r="V31" s="201"/>
      <c r="X31" s="201"/>
      <c r="Y31" s="201"/>
    </row>
    <row r="32" spans="1:25">
      <c r="A32" s="299" t="s">
        <v>1785</v>
      </c>
      <c r="B32" s="300" t="s">
        <v>1914</v>
      </c>
      <c r="C32" s="300" t="s">
        <v>1949</v>
      </c>
      <c r="D32" s="301">
        <v>2.4859</v>
      </c>
      <c r="E32" s="300">
        <v>5.1916017532348633</v>
      </c>
      <c r="F32" s="300">
        <v>27.375263214111328</v>
      </c>
      <c r="G32" s="300">
        <v>3.3788516521453857</v>
      </c>
      <c r="H32" s="275" t="s">
        <v>40</v>
      </c>
      <c r="I32" s="275">
        <v>2</v>
      </c>
      <c r="J32">
        <f t="shared" si="2"/>
        <v>5.2729898238157284</v>
      </c>
      <c r="N32" s="122"/>
      <c r="O32" s="122"/>
      <c r="X32" s="85"/>
      <c r="Y32" s="85"/>
    </row>
    <row r="33" spans="1:27">
      <c r="A33" s="299" t="s">
        <v>1786</v>
      </c>
      <c r="B33" s="300" t="s">
        <v>1914</v>
      </c>
      <c r="C33" s="300" t="s">
        <v>1950</v>
      </c>
      <c r="D33" s="301">
        <v>0.66080000000000005</v>
      </c>
      <c r="E33" s="300">
        <v>10.233995056152301</v>
      </c>
      <c r="F33" s="300">
        <v>70.901586914062506</v>
      </c>
      <c r="G33" s="300">
        <v>6.6882858276367188</v>
      </c>
      <c r="H33" s="309" t="s">
        <v>1748</v>
      </c>
      <c r="I33" s="275"/>
      <c r="J33">
        <f t="shared" si="2"/>
        <v>6.9280458437821002</v>
      </c>
      <c r="X33" s="85"/>
      <c r="Y33" s="85"/>
    </row>
    <row r="34" spans="1:27">
      <c r="A34" s="299" t="s">
        <v>1787</v>
      </c>
      <c r="B34" s="300" t="s">
        <v>1914</v>
      </c>
      <c r="C34" s="300" t="s">
        <v>1951</v>
      </c>
      <c r="D34" s="301">
        <v>2.6480999999999999</v>
      </c>
      <c r="E34" s="300">
        <v>1.0760360956192017</v>
      </c>
      <c r="F34" s="300">
        <v>14.157011032104492</v>
      </c>
      <c r="G34" s="300">
        <v>1.1273603439331055</v>
      </c>
      <c r="H34" s="276" t="s">
        <v>41</v>
      </c>
      <c r="I34" s="276">
        <v>1</v>
      </c>
      <c r="J34">
        <f t="shared" si="2"/>
        <v>13.156632096024515</v>
      </c>
      <c r="N34" s="122"/>
      <c r="O34" s="122"/>
      <c r="X34" s="85"/>
      <c r="Y34" s="85"/>
    </row>
    <row r="35" spans="1:27">
      <c r="A35" s="299" t="s">
        <v>1788</v>
      </c>
      <c r="B35" s="300" t="s">
        <v>1914</v>
      </c>
      <c r="C35" s="300" t="s">
        <v>1952</v>
      </c>
      <c r="D35" s="301">
        <v>2.8574000000000002</v>
      </c>
      <c r="E35" s="300">
        <v>0.66838455200195313</v>
      </c>
      <c r="F35" s="300">
        <v>12.783132553100586</v>
      </c>
      <c r="G35" s="300">
        <v>0.73189246654510498</v>
      </c>
      <c r="H35" s="276" t="s">
        <v>41</v>
      </c>
      <c r="I35" s="275">
        <v>2</v>
      </c>
      <c r="J35">
        <f t="shared" si="2"/>
        <v>19.125415922334529</v>
      </c>
      <c r="N35" s="122"/>
      <c r="O35" s="122"/>
      <c r="X35" s="85"/>
      <c r="Y35" s="85"/>
    </row>
    <row r="36" spans="1:27">
      <c r="A36" s="299" t="s">
        <v>1953</v>
      </c>
      <c r="B36" s="300" t="s">
        <v>1914</v>
      </c>
      <c r="C36" s="300" t="s">
        <v>1954</v>
      </c>
      <c r="D36" s="301"/>
      <c r="E36" s="300"/>
      <c r="F36" s="300"/>
      <c r="G36" s="300"/>
      <c r="H36" s="316"/>
      <c r="I36" s="275"/>
      <c r="J36" t="e">
        <f t="shared" si="2"/>
        <v>#DIV/0!</v>
      </c>
      <c r="N36" s="122"/>
      <c r="O36" s="122"/>
      <c r="X36" s="85"/>
      <c r="Y36" s="85"/>
    </row>
    <row r="37" spans="1:27">
      <c r="A37" s="299" t="s">
        <v>1789</v>
      </c>
      <c r="B37" s="300" t="s">
        <v>1914</v>
      </c>
      <c r="C37" s="300" t="s">
        <v>1955</v>
      </c>
      <c r="D37" s="301">
        <v>2.6783000000000001</v>
      </c>
      <c r="E37" s="300">
        <v>0.82736462354660034</v>
      </c>
      <c r="F37" s="300">
        <v>13.97739315032959</v>
      </c>
      <c r="G37" s="300">
        <v>0.90536832809448242</v>
      </c>
      <c r="H37" s="276" t="s">
        <v>41</v>
      </c>
      <c r="I37" s="275">
        <v>3</v>
      </c>
      <c r="J37">
        <f t="shared" si="2"/>
        <v>16.893873332913092</v>
      </c>
      <c r="N37" s="122"/>
      <c r="O37" s="122"/>
      <c r="X37" s="85"/>
      <c r="Y37" s="85"/>
    </row>
    <row r="38" spans="1:27">
      <c r="A38" s="299" t="s">
        <v>1790</v>
      </c>
      <c r="B38" s="300" t="s">
        <v>1914</v>
      </c>
      <c r="C38" s="300" t="s">
        <v>1956</v>
      </c>
      <c r="D38" s="301">
        <v>2.7128000000000001</v>
      </c>
      <c r="E38" s="300">
        <v>0.42679211497306824</v>
      </c>
      <c r="F38" s="300">
        <v>11.939963340759277</v>
      </c>
      <c r="G38" s="300">
        <v>0.54620754718780518</v>
      </c>
      <c r="H38" s="276" t="s">
        <v>41</v>
      </c>
      <c r="I38" s="275">
        <v>4</v>
      </c>
      <c r="J38">
        <f t="shared" si="2"/>
        <v>27.976063572572613</v>
      </c>
      <c r="N38" s="122"/>
      <c r="O38" s="122"/>
      <c r="X38" s="85"/>
      <c r="Y38" s="85"/>
    </row>
    <row r="39" spans="1:27" s="37" customFormat="1">
      <c r="A39" s="299" t="s">
        <v>1791</v>
      </c>
      <c r="B39" s="300" t="s">
        <v>1914</v>
      </c>
      <c r="C39" s="300" t="s">
        <v>1957</v>
      </c>
      <c r="D39" s="301">
        <v>3.0062000000000002</v>
      </c>
      <c r="E39" s="300">
        <v>0.44107049703598022</v>
      </c>
      <c r="F39" s="300">
        <v>11.982534408569336</v>
      </c>
      <c r="G39" s="300">
        <v>0.53768974542617798</v>
      </c>
      <c r="H39" s="276" t="s">
        <v>41</v>
      </c>
      <c r="I39" s="275">
        <v>5</v>
      </c>
      <c r="J39">
        <f t="shared" si="2"/>
        <v>27.166937006879113</v>
      </c>
      <c r="N39" s="122"/>
      <c r="O39" s="122"/>
    </row>
    <row r="40" spans="1:27">
      <c r="A40" s="299" t="s">
        <v>1792</v>
      </c>
      <c r="B40" s="300" t="s">
        <v>1914</v>
      </c>
      <c r="C40" s="300" t="s">
        <v>1958</v>
      </c>
      <c r="D40" s="301">
        <v>2.8191000000000002</v>
      </c>
      <c r="E40" s="300">
        <v>0.65554952621459961</v>
      </c>
      <c r="F40" s="300">
        <v>12.86846923828125</v>
      </c>
      <c r="G40" s="300">
        <v>0.70179218053817749</v>
      </c>
      <c r="H40" s="276" t="s">
        <v>41</v>
      </c>
      <c r="I40" s="275">
        <v>6</v>
      </c>
      <c r="J40">
        <f t="shared" si="2"/>
        <v>19.630048873025423</v>
      </c>
      <c r="V40"/>
      <c r="X40" s="85"/>
      <c r="Y40" s="85"/>
    </row>
    <row r="41" spans="1:27">
      <c r="A41" s="299" t="s">
        <v>1793</v>
      </c>
      <c r="B41" s="300" t="s">
        <v>1914</v>
      </c>
      <c r="C41" s="300" t="s">
        <v>1959</v>
      </c>
      <c r="D41" s="301">
        <v>2.6415000000000002</v>
      </c>
      <c r="E41" s="300">
        <v>0.53904098272323608</v>
      </c>
      <c r="F41" s="300">
        <v>12.516523361206055</v>
      </c>
      <c r="G41" s="300">
        <v>0.64939910173416138</v>
      </c>
      <c r="H41" s="276" t="s">
        <v>41</v>
      </c>
      <c r="I41" s="275">
        <v>7</v>
      </c>
      <c r="V41"/>
      <c r="X41" s="85"/>
      <c r="Y41" s="85"/>
    </row>
    <row r="42" spans="1:27">
      <c r="A42" s="299" t="s">
        <v>1794</v>
      </c>
      <c r="B42" s="300" t="s">
        <v>1914</v>
      </c>
      <c r="C42" s="300" t="s">
        <v>1960</v>
      </c>
      <c r="D42" s="301">
        <v>2.7528000000000001</v>
      </c>
      <c r="E42" s="300">
        <v>0.44172486662864685</v>
      </c>
      <c r="F42" s="300">
        <v>12.097273826599121</v>
      </c>
      <c r="G42" s="300">
        <v>0.58935266733169556</v>
      </c>
      <c r="H42" s="276" t="s">
        <v>41</v>
      </c>
      <c r="I42" s="275">
        <v>8</v>
      </c>
      <c r="J42">
        <f t="shared" ref="J42:J53" si="3">F42/E42</f>
        <v>27.386445139320543</v>
      </c>
      <c r="X42" s="85"/>
    </row>
    <row r="43" spans="1:27">
      <c r="A43" s="299" t="s">
        <v>1961</v>
      </c>
      <c r="B43" s="300" t="s">
        <v>1914</v>
      </c>
      <c r="C43" s="300" t="s">
        <v>1962</v>
      </c>
      <c r="D43" s="301"/>
      <c r="E43" s="300"/>
      <c r="F43" s="300"/>
      <c r="G43" s="300"/>
      <c r="H43" s="316"/>
      <c r="I43" s="275"/>
      <c r="J43" t="e">
        <f t="shared" si="3"/>
        <v>#DIV/0!</v>
      </c>
      <c r="X43" s="85"/>
      <c r="Y43" s="305"/>
    </row>
    <row r="44" spans="1:27" ht="15.75" thickBot="1">
      <c r="A44" s="299" t="s">
        <v>1795</v>
      </c>
      <c r="B44" s="300" t="s">
        <v>1914</v>
      </c>
      <c r="C44" s="300" t="s">
        <v>1963</v>
      </c>
      <c r="D44" s="301">
        <v>3.3047</v>
      </c>
      <c r="E44" s="300">
        <v>0.41290146112442017</v>
      </c>
      <c r="F44" s="300">
        <v>12.105298042297363</v>
      </c>
      <c r="G44" s="300">
        <v>0.56834548711776733</v>
      </c>
      <c r="H44" s="276" t="s">
        <v>41</v>
      </c>
      <c r="I44" s="275">
        <v>9</v>
      </c>
      <c r="J44">
        <f t="shared" si="3"/>
        <v>29.317643995087867</v>
      </c>
      <c r="V44"/>
      <c r="Y44" s="308"/>
    </row>
    <row r="45" spans="1:27" ht="16.5" thickTop="1">
      <c r="A45" s="299" t="s">
        <v>1796</v>
      </c>
      <c r="B45" s="300" t="s">
        <v>1914</v>
      </c>
      <c r="C45" s="300" t="s">
        <v>1964</v>
      </c>
      <c r="D45" s="301">
        <v>0.60219999999999996</v>
      </c>
      <c r="E45" s="300">
        <v>10.222079277038574</v>
      </c>
      <c r="F45" s="300">
        <v>70.925115966796895</v>
      </c>
      <c r="G45" s="300">
        <v>6.5964384078979492</v>
      </c>
      <c r="H45" s="309" t="s">
        <v>1750</v>
      </c>
      <c r="I45" s="275"/>
      <c r="J45">
        <f t="shared" si="3"/>
        <v>6.9384235872747526</v>
      </c>
      <c r="L45" s="196" t="s">
        <v>1743</v>
      </c>
      <c r="N45" s="196" t="s">
        <v>1913</v>
      </c>
      <c r="P45" s="195" t="s">
        <v>1743</v>
      </c>
      <c r="Q45" s="195"/>
      <c r="V45"/>
      <c r="Y45" s="196" t="s">
        <v>1744</v>
      </c>
    </row>
    <row r="46" spans="1:27" ht="15.75">
      <c r="A46" s="299" t="s">
        <v>1797</v>
      </c>
      <c r="B46" s="300" t="s">
        <v>1914</v>
      </c>
      <c r="C46" s="300" t="s">
        <v>1965</v>
      </c>
      <c r="D46" s="301">
        <v>3.2210999999999999</v>
      </c>
      <c r="E46" s="300">
        <v>0.25835642218589783</v>
      </c>
      <c r="F46" s="300">
        <v>3.1970623493194599</v>
      </c>
      <c r="G46" s="300">
        <v>0.73583906888961792</v>
      </c>
      <c r="H46" s="310" t="s">
        <v>1749</v>
      </c>
      <c r="J46">
        <f t="shared" si="3"/>
        <v>12.374619226686168</v>
      </c>
      <c r="L46" s="37" t="s">
        <v>1745</v>
      </c>
      <c r="M46" s="37" t="s">
        <v>1725</v>
      </c>
      <c r="O46" s="37" t="s">
        <v>1725</v>
      </c>
      <c r="P46" s="1" t="s">
        <v>1741</v>
      </c>
      <c r="Q46" s="1" t="s">
        <v>1742</v>
      </c>
      <c r="U46" s="196" t="s">
        <v>1744</v>
      </c>
      <c r="V46"/>
      <c r="W46" s="196" t="s">
        <v>1913</v>
      </c>
      <c r="Y46" s="1" t="s">
        <v>1741</v>
      </c>
      <c r="Z46" s="1" t="s">
        <v>1742</v>
      </c>
    </row>
    <row r="47" spans="1:27" s="200" customFormat="1">
      <c r="A47" s="369" t="s">
        <v>1798</v>
      </c>
      <c r="B47" s="370" t="s">
        <v>1914</v>
      </c>
      <c r="C47" s="370" t="s">
        <v>1966</v>
      </c>
      <c r="D47" s="371">
        <v>2.5950000000000002</v>
      </c>
      <c r="E47" s="370">
        <v>0.89163362979888916</v>
      </c>
      <c r="F47" s="370">
        <v>13.219948768615723</v>
      </c>
      <c r="G47" s="370">
        <v>0.91723507642745972</v>
      </c>
      <c r="H47" s="372" t="s">
        <v>40</v>
      </c>
      <c r="I47" s="298" t="s">
        <v>1814</v>
      </c>
      <c r="J47" s="200">
        <f t="shared" si="3"/>
        <v>14.826660106570369</v>
      </c>
      <c r="L47" s="373" t="s">
        <v>1741</v>
      </c>
      <c r="N47" s="373" t="s">
        <v>1742</v>
      </c>
      <c r="P47" s="373" t="s">
        <v>1746</v>
      </c>
      <c r="Q47" s="373"/>
      <c r="U47" s="373" t="s">
        <v>1745</v>
      </c>
      <c r="V47" s="373" t="s">
        <v>1725</v>
      </c>
      <c r="W47" s="373"/>
      <c r="X47" s="373" t="s">
        <v>1725</v>
      </c>
      <c r="Y47" s="373" t="s">
        <v>1746</v>
      </c>
    </row>
    <row r="48" spans="1:27" ht="15.75">
      <c r="A48" s="299" t="s">
        <v>1799</v>
      </c>
      <c r="B48" s="300" t="s">
        <v>1914</v>
      </c>
      <c r="C48" s="300" t="s">
        <v>1967</v>
      </c>
      <c r="D48" s="301">
        <v>2.8085</v>
      </c>
      <c r="E48" s="300">
        <v>0.36998188495635986</v>
      </c>
      <c r="F48" s="300">
        <v>11.743414878845215</v>
      </c>
      <c r="G48" s="300">
        <v>0.5105852484703064</v>
      </c>
      <c r="H48" s="276" t="s">
        <v>41</v>
      </c>
      <c r="I48" s="275">
        <v>10</v>
      </c>
      <c r="J48">
        <f t="shared" si="3"/>
        <v>31.740513134123784</v>
      </c>
      <c r="L48" s="122">
        <f>AVERAGE(E23,E46,E55:E56)</f>
        <v>0.25497421249747276</v>
      </c>
      <c r="M48" s="258">
        <f>_xlfn.STDEV.P(E23,E46,E55:E56)</f>
        <v>6.2361705152010304E-3</v>
      </c>
      <c r="N48" s="122">
        <f>AVERAGE(F23,F46,F55:F56)</f>
        <v>3.1908549904823298</v>
      </c>
      <c r="O48" s="258">
        <f>_xlfn.STDEV.P(F23,F46,F55:F56)</f>
        <v>6.5325884775247114E-3</v>
      </c>
      <c r="P48" s="311">
        <f>((E23-$L$48)/$L$48)*100</f>
        <v>-2.0401153823018747</v>
      </c>
      <c r="Q48" s="311">
        <f>((F23-$N$48)/$N$48)*100</f>
        <v>-0.14088667804488339</v>
      </c>
      <c r="R48" t="s">
        <v>1747</v>
      </c>
      <c r="U48" s="37" t="s">
        <v>1741</v>
      </c>
      <c r="V48"/>
      <c r="W48" s="37" t="s">
        <v>1742</v>
      </c>
      <c r="Y48" s="311">
        <f>((E33-$U$49)/$U$49)*100</f>
        <v>0.51990429856669151</v>
      </c>
      <c r="Z48" s="311">
        <f>((F33-W49)/W49)*100</f>
        <v>-0.1451595891589233</v>
      </c>
      <c r="AA48" s="312" t="s">
        <v>1748</v>
      </c>
    </row>
    <row r="49" spans="1:27" s="379" customFormat="1" ht="15.75">
      <c r="A49" s="374" t="s">
        <v>1800</v>
      </c>
      <c r="B49" s="375" t="s">
        <v>1914</v>
      </c>
      <c r="C49" s="375" t="s">
        <v>1968</v>
      </c>
      <c r="D49" s="376">
        <v>2.4954000000000001</v>
      </c>
      <c r="E49" s="375">
        <v>0.4133274257183075</v>
      </c>
      <c r="F49" s="375">
        <v>11.921630859375</v>
      </c>
      <c r="G49" s="375">
        <v>0.54529756307601929</v>
      </c>
      <c r="H49" s="377" t="s">
        <v>41</v>
      </c>
      <c r="I49" s="378" t="s">
        <v>2000</v>
      </c>
      <c r="J49" s="379">
        <f t="shared" si="3"/>
        <v>28.843067547857025</v>
      </c>
      <c r="P49" s="380">
        <f>((E46-$L$48)/$L$48)*100</f>
        <v>1.3264908852139656</v>
      </c>
      <c r="Q49" s="380">
        <f>((F46-$N$48)/$N$48)*100</f>
        <v>0.19453591139821053</v>
      </c>
      <c r="R49" s="379" t="s">
        <v>1749</v>
      </c>
      <c r="U49" s="381">
        <f>AVERAGE(E33,E45,E67,E68)</f>
        <v>10.181063270568819</v>
      </c>
      <c r="V49" s="382">
        <f>_xlfn.STDEV.P(E33,E45,E67:E68)</f>
        <v>4.8575874641426924E-2</v>
      </c>
      <c r="W49" s="381">
        <f>AVERAGE(F33,F45,F67:F68)</f>
        <v>71.004656982421892</v>
      </c>
      <c r="X49" s="382">
        <f>_xlfn.STDEV.P(F33,F45,F67:F68,F80,F87)</f>
        <v>9.2090659154376697E-2</v>
      </c>
      <c r="Y49" s="380">
        <f>((E45-U49)/U49)*100</f>
        <v>0.40286564752351023</v>
      </c>
      <c r="Z49" s="380">
        <f>((F45-W49)/W49)*100</f>
        <v>-0.11202225178651105</v>
      </c>
      <c r="AA49" s="383" t="s">
        <v>1750</v>
      </c>
    </row>
    <row r="50" spans="1:27" ht="15.75">
      <c r="A50" s="299" t="s">
        <v>1969</v>
      </c>
      <c r="B50" s="300" t="s">
        <v>1914</v>
      </c>
      <c r="C50" s="300" t="s">
        <v>1970</v>
      </c>
      <c r="D50" s="301"/>
      <c r="E50" s="300"/>
      <c r="F50" s="300"/>
      <c r="G50" s="300"/>
      <c r="H50" s="316"/>
      <c r="I50" s="275"/>
      <c r="J50" t="e">
        <f t="shared" si="3"/>
        <v>#DIV/0!</v>
      </c>
      <c r="P50" s="311">
        <f>((E55-$L$48)/$L$48)*100</f>
        <v>3.3360368039801926</v>
      </c>
      <c r="Q50" s="311">
        <f>((F55-$N$48)/$N$48)*100</f>
        <v>0.2061159147199581</v>
      </c>
      <c r="R50" t="s">
        <v>1751</v>
      </c>
      <c r="V50"/>
      <c r="Y50" s="313">
        <f>((E67-U49)/U49)*100</f>
        <v>-0.29979902054585988</v>
      </c>
      <c r="Z50" s="313">
        <f>((F67-W49)/W49)*100</f>
        <v>0.11136681158558556</v>
      </c>
      <c r="AA50" s="312" t="s">
        <v>1752</v>
      </c>
    </row>
    <row r="51" spans="1:27" ht="15.75">
      <c r="A51" s="299" t="s">
        <v>1801</v>
      </c>
      <c r="B51" s="300" t="s">
        <v>1914</v>
      </c>
      <c r="C51" s="300" t="s">
        <v>1971</v>
      </c>
      <c r="D51" s="301">
        <v>3.1124999999999998</v>
      </c>
      <c r="E51" s="300">
        <v>0.61049318313598633</v>
      </c>
      <c r="F51" s="300">
        <v>12.921391487121582</v>
      </c>
      <c r="G51" s="300">
        <v>0.71036553382873535</v>
      </c>
      <c r="H51" s="276" t="s">
        <v>41</v>
      </c>
      <c r="I51" s="275">
        <v>12</v>
      </c>
      <c r="J51">
        <f t="shared" si="3"/>
        <v>21.165496755830873</v>
      </c>
      <c r="P51" s="311">
        <f>((E56-$L$48)/$L$48)*100</f>
        <v>-2.6224123068922838</v>
      </c>
      <c r="Q51" s="311">
        <f>((F56-$N$48)/$N$48)*100</f>
        <v>-0.25976514807327128</v>
      </c>
      <c r="R51" t="s">
        <v>1753</v>
      </c>
      <c r="V51"/>
      <c r="Y51" s="311">
        <f>((E68-U49)/U49)*100</f>
        <v>-0.62297092554435929</v>
      </c>
      <c r="Z51" s="311">
        <f>((F68-W49)/W49)*100</f>
        <v>0.1458150293598888</v>
      </c>
      <c r="AA51" s="312" t="s">
        <v>1754</v>
      </c>
    </row>
    <row r="52" spans="1:27" ht="15.75">
      <c r="A52" s="299" t="s">
        <v>1802</v>
      </c>
      <c r="B52" s="300" t="s">
        <v>1914</v>
      </c>
      <c r="C52" s="300" t="s">
        <v>1972</v>
      </c>
      <c r="D52" s="301">
        <v>2.8012999999999999</v>
      </c>
      <c r="E52" s="300">
        <v>0.69941461086273193</v>
      </c>
      <c r="F52" s="300">
        <v>12.768791198730469</v>
      </c>
      <c r="G52" s="300">
        <v>0.95609533786773682</v>
      </c>
      <c r="H52" s="276" t="s">
        <v>41</v>
      </c>
      <c r="I52" s="275">
        <v>13</v>
      </c>
      <c r="J52">
        <f t="shared" si="3"/>
        <v>18.25639756507244</v>
      </c>
      <c r="P52" s="311"/>
      <c r="Q52" s="311"/>
      <c r="V52"/>
      <c r="Y52" s="311"/>
      <c r="Z52" s="311"/>
      <c r="AA52" s="312"/>
    </row>
    <row r="53" spans="1:27" ht="15.75">
      <c r="A53" s="299" t="s">
        <v>1803</v>
      </c>
      <c r="B53" s="300" t="s">
        <v>1973</v>
      </c>
      <c r="C53" s="300" t="s">
        <v>1974</v>
      </c>
      <c r="D53" s="301">
        <v>2.6131000000000002</v>
      </c>
      <c r="E53" s="300">
        <v>0.642539381980896</v>
      </c>
      <c r="F53" s="300">
        <v>11.625124931335449</v>
      </c>
      <c r="G53" s="300">
        <v>0.93183553218841553</v>
      </c>
      <c r="H53" s="276" t="s">
        <v>41</v>
      </c>
      <c r="I53" s="275">
        <v>14</v>
      </c>
      <c r="J53">
        <f t="shared" si="3"/>
        <v>18.092470683269479</v>
      </c>
      <c r="N53" s="28"/>
      <c r="O53" s="28"/>
      <c r="P53" s="311"/>
      <c r="Q53" s="311"/>
      <c r="V53"/>
      <c r="Y53" s="311"/>
      <c r="Z53" s="311"/>
      <c r="AA53" s="312"/>
    </row>
    <row r="54" spans="1:27" ht="15.75">
      <c r="A54" s="299" t="s">
        <v>1804</v>
      </c>
      <c r="B54" s="300" t="s">
        <v>1973</v>
      </c>
      <c r="C54" s="300" t="s">
        <v>1975</v>
      </c>
      <c r="D54" s="301">
        <v>2.9912000000000001</v>
      </c>
      <c r="E54" s="300">
        <v>0.62347358465194702</v>
      </c>
      <c r="F54" s="300">
        <v>11.521919250488281</v>
      </c>
      <c r="G54" s="300">
        <v>0.93516188859939575</v>
      </c>
      <c r="H54" s="276" t="s">
        <v>41</v>
      </c>
      <c r="I54" s="275">
        <v>15</v>
      </c>
      <c r="P54" s="311"/>
      <c r="Q54" s="311"/>
      <c r="X54" s="85"/>
      <c r="Y54" s="311"/>
      <c r="Z54" s="311"/>
    </row>
    <row r="55" spans="1:27" ht="15.75">
      <c r="A55" s="299" t="s">
        <v>1805</v>
      </c>
      <c r="B55" s="300" t="s">
        <v>1973</v>
      </c>
      <c r="C55" s="300" t="s">
        <v>1976</v>
      </c>
      <c r="D55" s="301">
        <v>4.2396000000000003</v>
      </c>
      <c r="E55" s="300">
        <v>0.26348024606704712</v>
      </c>
      <c r="F55" s="300">
        <v>3.1974318504333499</v>
      </c>
      <c r="G55" s="300">
        <v>0.75784814357757568</v>
      </c>
      <c r="H55" s="276" t="s">
        <v>1751</v>
      </c>
      <c r="I55" s="275"/>
      <c r="J55">
        <f>F55/E55</f>
        <v>12.135375984200758</v>
      </c>
      <c r="P55" s="311"/>
      <c r="Q55" s="311"/>
      <c r="X55" s="85"/>
      <c r="Y55" s="311"/>
      <c r="Z55" s="311"/>
    </row>
    <row r="56" spans="1:27" ht="15.75">
      <c r="A56" s="299" t="s">
        <v>1806</v>
      </c>
      <c r="B56" s="300" t="s">
        <v>1973</v>
      </c>
      <c r="C56" s="300" t="s">
        <v>1977</v>
      </c>
      <c r="D56" s="301">
        <v>3.0190000000000001</v>
      </c>
      <c r="E56" s="300">
        <v>0.24828773736953735</v>
      </c>
      <c r="F56" s="300">
        <v>3.1825662612915</v>
      </c>
      <c r="G56" s="300">
        <v>0.71921777725219727</v>
      </c>
      <c r="H56" s="276" t="s">
        <v>1753</v>
      </c>
      <c r="I56" s="275"/>
      <c r="J56">
        <f>F56/E56</f>
        <v>12.818056562152119</v>
      </c>
      <c r="P56" s="311"/>
      <c r="Q56" s="311"/>
      <c r="X56" s="85"/>
      <c r="Y56" s="311"/>
      <c r="Z56" s="311"/>
    </row>
    <row r="57" spans="1:27">
      <c r="A57" s="299" t="s">
        <v>1978</v>
      </c>
      <c r="B57" s="300" t="s">
        <v>1973</v>
      </c>
      <c r="C57" s="300" t="s">
        <v>1979</v>
      </c>
      <c r="D57" s="301"/>
      <c r="E57" s="300"/>
      <c r="F57" s="300"/>
      <c r="G57" s="300"/>
      <c r="H57" s="317"/>
      <c r="I57" s="275"/>
      <c r="J57" t="e">
        <f>F57/E57</f>
        <v>#DIV/0!</v>
      </c>
      <c r="X57" s="85"/>
    </row>
    <row r="58" spans="1:27" s="204" customFormat="1">
      <c r="A58" s="385" t="s">
        <v>1807</v>
      </c>
      <c r="B58" s="386" t="s">
        <v>1973</v>
      </c>
      <c r="C58" s="386" t="s">
        <v>1980</v>
      </c>
      <c r="D58" s="387">
        <v>2.8660999999999999</v>
      </c>
      <c r="E58" s="386">
        <v>0.50728166103363037</v>
      </c>
      <c r="F58" s="386">
        <v>10.354607582092285</v>
      </c>
      <c r="G58" s="386">
        <v>0.68143701553344727</v>
      </c>
      <c r="H58" s="388" t="s">
        <v>41</v>
      </c>
      <c r="I58" s="344" t="s">
        <v>1811</v>
      </c>
      <c r="J58" s="204">
        <f>F58/E58</f>
        <v>20.411949371467273</v>
      </c>
      <c r="N58">
        <f>((E59-E58)/AVERAGE(E58,E59))*100</f>
        <v>11.502495786738569</v>
      </c>
      <c r="O58">
        <f>((F59-F58)/AVERAGE(F58,F59))*100</f>
        <v>16.228473569454803</v>
      </c>
      <c r="Q58" s="345"/>
      <c r="R58" s="345"/>
      <c r="V58" s="205"/>
      <c r="X58" s="205"/>
      <c r="Y58" s="205"/>
    </row>
    <row r="59" spans="1:27" s="204" customFormat="1">
      <c r="A59" s="385" t="s">
        <v>1808</v>
      </c>
      <c r="B59" s="386" t="s">
        <v>1973</v>
      </c>
      <c r="C59" s="386" t="s">
        <v>1981</v>
      </c>
      <c r="D59" s="387">
        <v>3.1722000000000001</v>
      </c>
      <c r="E59" s="386">
        <v>0.56919234991073608</v>
      </c>
      <c r="F59" s="386">
        <v>12.183394432067871</v>
      </c>
      <c r="G59" s="386">
        <v>0.81150639057159424</v>
      </c>
      <c r="H59" s="388" t="s">
        <v>41</v>
      </c>
      <c r="I59" s="344" t="s">
        <v>1812</v>
      </c>
      <c r="V59" s="205"/>
      <c r="X59" s="205"/>
      <c r="Y59" s="205"/>
    </row>
    <row r="60" spans="1:27">
      <c r="A60" s="299" t="s">
        <v>1809</v>
      </c>
      <c r="B60" s="300" t="s">
        <v>1973</v>
      </c>
      <c r="C60" s="300" t="s">
        <v>1982</v>
      </c>
      <c r="D60" s="301">
        <v>2.6516000000000002</v>
      </c>
      <c r="E60" s="300">
        <v>0.52204030752182007</v>
      </c>
      <c r="F60" s="300">
        <v>11.989205360412598</v>
      </c>
      <c r="G60" s="300">
        <v>0.67475563287734985</v>
      </c>
      <c r="H60" s="276" t="s">
        <v>41</v>
      </c>
      <c r="I60" s="275">
        <v>17</v>
      </c>
      <c r="X60" s="85"/>
      <c r="Y60" s="85"/>
    </row>
    <row r="61" spans="1:27">
      <c r="A61" s="299" t="s">
        <v>1810</v>
      </c>
      <c r="B61" s="300" t="s">
        <v>1973</v>
      </c>
      <c r="C61" s="300" t="s">
        <v>1983</v>
      </c>
      <c r="D61" s="301">
        <v>3.2504</v>
      </c>
      <c r="E61" s="300">
        <v>0.40267428755760193</v>
      </c>
      <c r="F61" s="300">
        <v>11.903401374816895</v>
      </c>
      <c r="G61" s="300">
        <v>0.60135382413864136</v>
      </c>
      <c r="H61" s="276" t="s">
        <v>41</v>
      </c>
      <c r="I61" s="275">
        <v>18</v>
      </c>
      <c r="X61" s="85"/>
      <c r="Y61" s="85"/>
    </row>
    <row r="62" spans="1:27" s="379" customFormat="1">
      <c r="A62" s="374" t="s">
        <v>1984</v>
      </c>
      <c r="B62" s="375" t="s">
        <v>1973</v>
      </c>
      <c r="C62" s="375" t="s">
        <v>1985</v>
      </c>
      <c r="D62" s="376">
        <v>2.9948999999999999</v>
      </c>
      <c r="E62" s="375">
        <v>0.41688171029090881</v>
      </c>
      <c r="F62" s="375">
        <v>12.090027809143066</v>
      </c>
      <c r="G62" s="375">
        <v>0.57453387975692749</v>
      </c>
      <c r="H62" s="377" t="s">
        <v>41</v>
      </c>
      <c r="I62" s="378" t="s">
        <v>2001</v>
      </c>
      <c r="N62">
        <f>((E49-E62)/AVERAGE(E62,E49))*100</f>
        <v>-0.85623836656065455</v>
      </c>
      <c r="O62">
        <f>((F49-F62)/AVERAGE(F62,F49))*100</f>
        <v>-1.4026265498172634</v>
      </c>
      <c r="V62" s="384"/>
      <c r="X62" s="384"/>
      <c r="Y62" s="384"/>
    </row>
    <row r="63" spans="1:27">
      <c r="A63" s="299" t="s">
        <v>1986</v>
      </c>
      <c r="B63" s="300" t="s">
        <v>1973</v>
      </c>
      <c r="C63" s="300" t="s">
        <v>1987</v>
      </c>
      <c r="D63" s="301">
        <v>2.9024000000000001</v>
      </c>
      <c r="E63" s="300">
        <v>0.40572351217269897</v>
      </c>
      <c r="F63" s="300">
        <v>12.174310684204102</v>
      </c>
      <c r="G63" s="300">
        <v>0.47931766510009766</v>
      </c>
      <c r="H63" s="276" t="s">
        <v>41</v>
      </c>
      <c r="I63" s="275">
        <v>19</v>
      </c>
      <c r="V63"/>
      <c r="Y63" s="85"/>
    </row>
    <row r="64" spans="1:27">
      <c r="A64" s="299" t="s">
        <v>1988</v>
      </c>
      <c r="B64" s="300" t="s">
        <v>1973</v>
      </c>
      <c r="C64" s="300" t="s">
        <v>1989</v>
      </c>
      <c r="D64" s="301"/>
      <c r="E64" s="300"/>
      <c r="F64" s="300"/>
      <c r="G64" s="300"/>
      <c r="H64" s="28"/>
      <c r="I64" s="28"/>
      <c r="X64" s="85"/>
    </row>
    <row r="65" spans="1:37">
      <c r="A65" s="299" t="s">
        <v>1990</v>
      </c>
      <c r="B65" s="300" t="s">
        <v>1973</v>
      </c>
      <c r="C65" s="300" t="s">
        <v>1991</v>
      </c>
      <c r="D65" s="301">
        <v>2.7822</v>
      </c>
      <c r="E65" s="300">
        <v>0.29116258025169373</v>
      </c>
      <c r="F65" s="300">
        <v>11.526795387268066</v>
      </c>
      <c r="G65" s="300">
        <v>0.37972497940063477</v>
      </c>
      <c r="H65" s="276" t="s">
        <v>41</v>
      </c>
      <c r="I65" s="275">
        <v>20</v>
      </c>
      <c r="X65" s="85"/>
    </row>
    <row r="66" spans="1:37">
      <c r="A66" s="299" t="s">
        <v>1992</v>
      </c>
      <c r="B66" s="300" t="s">
        <v>1973</v>
      </c>
      <c r="C66" s="300" t="s">
        <v>1993</v>
      </c>
      <c r="D66" s="301">
        <v>3.0501</v>
      </c>
      <c r="E66" s="300">
        <v>0.35983774065971375</v>
      </c>
      <c r="F66" s="300">
        <v>12.221823692321777</v>
      </c>
      <c r="G66" s="300">
        <v>0.47769862413406372</v>
      </c>
      <c r="H66" s="276" t="s">
        <v>41</v>
      </c>
      <c r="I66" s="275">
        <v>21</v>
      </c>
      <c r="X66" s="85"/>
    </row>
    <row r="67" spans="1:37">
      <c r="A67" s="299" t="s">
        <v>1994</v>
      </c>
      <c r="B67" s="300" t="s">
        <v>1973</v>
      </c>
      <c r="C67" s="300" t="s">
        <v>1995</v>
      </c>
      <c r="D67" s="301">
        <v>0.41789999999999999</v>
      </c>
      <c r="E67" s="300">
        <v>10.150540542602499</v>
      </c>
      <c r="F67" s="300">
        <v>71.083732604980497</v>
      </c>
      <c r="G67" s="300">
        <v>6.6497236251831104</v>
      </c>
      <c r="H67" s="309" t="s">
        <v>1752</v>
      </c>
      <c r="I67" s="275"/>
      <c r="X67" s="85"/>
      <c r="Y67" s="85"/>
    </row>
    <row r="68" spans="1:37">
      <c r="A68" s="299" t="s">
        <v>1996</v>
      </c>
      <c r="B68" s="300" t="s">
        <v>1973</v>
      </c>
      <c r="C68" s="300" t="s">
        <v>1997</v>
      </c>
      <c r="D68" s="301">
        <v>0.44769999999999999</v>
      </c>
      <c r="E68" s="300">
        <v>10.117638206481899</v>
      </c>
      <c r="F68" s="300">
        <v>71.108192443847699</v>
      </c>
      <c r="G68" s="300">
        <v>6.6797085762023896</v>
      </c>
      <c r="H68" s="309" t="s">
        <v>1754</v>
      </c>
      <c r="I68" s="275"/>
      <c r="V68"/>
      <c r="X68" s="85"/>
      <c r="Y68" s="85"/>
    </row>
    <row r="69" spans="1:37">
      <c r="K69" s="37"/>
      <c r="V69"/>
      <c r="X69" s="85"/>
      <c r="Y69" s="85"/>
    </row>
    <row r="70" spans="1:37">
      <c r="A70" t="s">
        <v>1761</v>
      </c>
      <c r="M70" s="489"/>
      <c r="N70" s="490"/>
      <c r="O70" s="490"/>
      <c r="P70" s="490"/>
      <c r="Q70" s="490"/>
      <c r="R70" s="490"/>
      <c r="S70" s="490"/>
      <c r="T70" s="490"/>
      <c r="U70" s="490"/>
      <c r="V70" s="491"/>
      <c r="W70" s="490"/>
      <c r="X70" s="491"/>
      <c r="Y70" s="491"/>
      <c r="Z70" s="490"/>
      <c r="AA70" s="490"/>
      <c r="AB70" s="490"/>
      <c r="AC70" s="490"/>
      <c r="AD70" s="490"/>
      <c r="AE70" s="490"/>
      <c r="AF70" s="490"/>
      <c r="AG70" s="490"/>
      <c r="AH70" s="490"/>
      <c r="AI70" s="490"/>
      <c r="AJ70" s="490"/>
      <c r="AK70" s="492"/>
    </row>
    <row r="71" spans="1:37">
      <c r="A71" t="s">
        <v>1755</v>
      </c>
      <c r="M71" s="493"/>
      <c r="N71" s="391" t="s">
        <v>2330</v>
      </c>
      <c r="O71" s="391"/>
      <c r="P71" s="391"/>
      <c r="Q71" s="391"/>
      <c r="R71" s="391"/>
      <c r="S71" s="391"/>
      <c r="T71" s="391"/>
      <c r="U71" s="391"/>
      <c r="V71" s="391"/>
      <c r="W71" s="391"/>
      <c r="X71" s="482"/>
      <c r="Y71" s="482"/>
      <c r="Z71" s="391"/>
      <c r="AA71" s="391"/>
      <c r="AB71" s="391"/>
      <c r="AC71" s="391"/>
      <c r="AD71" s="391"/>
      <c r="AE71" s="391"/>
      <c r="AF71" s="391"/>
      <c r="AG71" s="391"/>
      <c r="AH71" s="391"/>
      <c r="AI71" s="391"/>
      <c r="AJ71" s="391"/>
      <c r="AK71" s="494"/>
    </row>
    <row r="72" spans="1:37">
      <c r="A72" s="277"/>
      <c r="B72" s="278"/>
      <c r="C72" s="278"/>
      <c r="D72" s="278"/>
      <c r="E72" s="278"/>
      <c r="F72" s="278"/>
      <c r="M72" s="493"/>
      <c r="N72" s="391" t="s">
        <v>2331</v>
      </c>
      <c r="O72" s="391"/>
      <c r="P72" s="391"/>
      <c r="Q72" s="391"/>
      <c r="R72" s="391"/>
      <c r="S72" s="391"/>
      <c r="T72" s="391"/>
      <c r="U72" s="391"/>
      <c r="V72" s="482"/>
      <c r="W72" s="391"/>
      <c r="X72" s="482"/>
      <c r="Y72" s="482"/>
      <c r="Z72" s="391"/>
      <c r="AA72" s="391"/>
      <c r="AB72" s="391"/>
      <c r="AC72" s="391"/>
      <c r="AD72" s="391"/>
      <c r="AE72" s="391"/>
      <c r="AF72" s="391"/>
      <c r="AG72" s="391"/>
      <c r="AH72" s="391"/>
      <c r="AI72" s="391"/>
      <c r="AJ72" s="391"/>
      <c r="AK72" s="494"/>
    </row>
    <row r="73" spans="1:37">
      <c r="A73" s="277"/>
      <c r="B73" s="278"/>
      <c r="C73" s="278"/>
      <c r="D73" s="278"/>
      <c r="E73" s="278"/>
      <c r="F73" s="278"/>
      <c r="M73" s="493"/>
      <c r="N73" s="391" t="s">
        <v>2332</v>
      </c>
      <c r="O73" s="391"/>
      <c r="P73" s="391"/>
      <c r="Q73" s="391"/>
      <c r="R73" s="391"/>
      <c r="S73" s="391"/>
      <c r="T73" s="391"/>
      <c r="U73" s="391"/>
      <c r="V73" s="482"/>
      <c r="W73" s="391"/>
      <c r="X73" s="482"/>
      <c r="Y73" s="482"/>
      <c r="Z73" s="391"/>
      <c r="AA73" s="391"/>
      <c r="AB73" s="391"/>
      <c r="AC73" s="391"/>
      <c r="AD73" s="391"/>
      <c r="AE73" s="391"/>
      <c r="AF73" s="391"/>
      <c r="AG73" s="391"/>
      <c r="AH73" s="391"/>
      <c r="AI73" s="391"/>
      <c r="AJ73" s="391"/>
      <c r="AK73" s="494"/>
    </row>
    <row r="74" spans="1:37">
      <c r="A74" s="290"/>
      <c r="B74" s="291"/>
      <c r="C74" s="291"/>
      <c r="D74" s="292"/>
      <c r="E74" s="291"/>
      <c r="F74" s="291"/>
      <c r="G74" s="293"/>
      <c r="M74" s="495"/>
      <c r="N74" s="496"/>
      <c r="O74" s="496"/>
      <c r="P74" s="496"/>
      <c r="Q74" s="496"/>
      <c r="R74" s="496"/>
      <c r="S74" s="496"/>
      <c r="T74" s="496"/>
      <c r="U74" s="496"/>
      <c r="V74" s="497"/>
      <c r="W74" s="496"/>
      <c r="X74" s="497"/>
      <c r="Y74" s="497"/>
      <c r="Z74" s="496"/>
      <c r="AA74" s="496"/>
      <c r="AB74" s="496"/>
      <c r="AC74" s="496"/>
      <c r="AD74" s="496"/>
      <c r="AE74" s="496"/>
      <c r="AF74" s="496"/>
      <c r="AG74" s="496"/>
      <c r="AH74" s="496"/>
      <c r="AI74" s="496"/>
      <c r="AJ74" s="496"/>
      <c r="AK74" s="498"/>
    </row>
    <row r="75" spans="1:37">
      <c r="A75" s="290"/>
      <c r="B75" s="291"/>
      <c r="C75" s="291"/>
      <c r="D75" s="292"/>
      <c r="E75" s="291"/>
      <c r="F75" s="291"/>
      <c r="G75" s="293"/>
      <c r="X75" s="85"/>
    </row>
    <row r="76" spans="1:37">
      <c r="A76" s="290"/>
      <c r="B76" s="291"/>
      <c r="C76" s="291"/>
      <c r="D76" s="292"/>
      <c r="E76" s="291"/>
      <c r="F76" s="291"/>
      <c r="G76" s="293"/>
      <c r="H76" s="276"/>
      <c r="I76" s="276"/>
      <c r="X76" s="85"/>
    </row>
    <row r="77" spans="1:37">
      <c r="A77" s="290"/>
      <c r="B77" s="291"/>
      <c r="C77" s="291"/>
      <c r="D77" s="292"/>
      <c r="E77" s="291"/>
      <c r="F77" s="291"/>
      <c r="G77" s="293"/>
      <c r="H77" s="276"/>
      <c r="I77" s="275"/>
      <c r="X77" s="85"/>
    </row>
    <row r="78" spans="1:37">
      <c r="A78" s="290"/>
      <c r="B78" s="291"/>
      <c r="C78" s="291"/>
      <c r="D78" s="292"/>
      <c r="E78" s="291"/>
      <c r="F78" s="291"/>
      <c r="G78" s="293"/>
      <c r="H78" s="276"/>
      <c r="I78" s="275"/>
      <c r="X78" s="85"/>
    </row>
    <row r="79" spans="1:37">
      <c r="A79" s="290"/>
      <c r="B79" s="291"/>
      <c r="C79" s="291"/>
      <c r="D79" s="292"/>
      <c r="E79" s="291"/>
      <c r="F79" s="291"/>
      <c r="G79" s="293"/>
      <c r="H79" s="276"/>
      <c r="I79" s="275"/>
      <c r="X79" s="85"/>
    </row>
    <row r="80" spans="1:37">
      <c r="A80" s="290"/>
      <c r="B80" s="291"/>
      <c r="C80" s="291"/>
      <c r="D80" s="292"/>
      <c r="E80" s="291"/>
      <c r="F80" s="291"/>
      <c r="G80" s="293"/>
      <c r="H80" s="276"/>
      <c r="I80" s="275"/>
      <c r="X80" s="85"/>
    </row>
    <row r="81" spans="1:25">
      <c r="A81" s="290"/>
      <c r="B81" s="291"/>
      <c r="C81" s="291"/>
      <c r="D81" s="292"/>
      <c r="E81" s="291"/>
      <c r="F81" s="291"/>
      <c r="G81" s="293"/>
      <c r="X81" s="85"/>
    </row>
    <row r="82" spans="1:25">
      <c r="A82" s="290"/>
      <c r="B82" s="291"/>
      <c r="C82" s="291"/>
      <c r="D82" s="292"/>
      <c r="E82" s="291"/>
      <c r="F82" s="291"/>
      <c r="G82" s="293"/>
      <c r="H82" s="276"/>
      <c r="I82" s="275"/>
      <c r="X82" s="85"/>
    </row>
    <row r="83" spans="1:25">
      <c r="A83" s="290"/>
      <c r="B83" s="291"/>
      <c r="C83" s="291"/>
      <c r="D83" s="292"/>
      <c r="E83" s="291"/>
      <c r="F83" s="291"/>
      <c r="G83" s="293"/>
      <c r="H83" s="276"/>
      <c r="I83" s="275"/>
      <c r="X83" s="85"/>
    </row>
    <row r="84" spans="1:25">
      <c r="A84" s="290"/>
      <c r="B84" s="291"/>
      <c r="C84" s="291"/>
      <c r="D84" s="292"/>
      <c r="E84" s="291"/>
      <c r="F84" s="291"/>
      <c r="G84" s="293"/>
      <c r="H84" s="276"/>
      <c r="I84" s="275"/>
      <c r="K84" s="279"/>
      <c r="L84" s="138"/>
      <c r="N84" s="43"/>
      <c r="O84" s="43"/>
      <c r="V84"/>
      <c r="X84" s="85"/>
      <c r="Y84" s="85"/>
    </row>
    <row r="85" spans="1:25">
      <c r="A85" s="290"/>
      <c r="B85" s="291"/>
      <c r="C85" s="291"/>
      <c r="D85" s="292"/>
      <c r="E85" s="291"/>
      <c r="F85" s="291"/>
      <c r="G85" s="293"/>
      <c r="H85" s="310"/>
      <c r="I85" s="359"/>
      <c r="L85" s="138"/>
      <c r="N85" s="43"/>
      <c r="O85" s="43"/>
      <c r="V85"/>
      <c r="X85" s="85"/>
      <c r="Y85" s="85"/>
    </row>
    <row r="86" spans="1:25">
      <c r="A86" s="290"/>
      <c r="B86" s="291"/>
      <c r="C86" s="291"/>
      <c r="D86" s="292"/>
      <c r="E86" s="291"/>
      <c r="F86" s="291"/>
      <c r="G86" s="293"/>
      <c r="H86" s="276"/>
      <c r="I86" s="275"/>
      <c r="L86" s="138"/>
      <c r="N86" s="43"/>
      <c r="O86" s="43"/>
      <c r="X86" s="85"/>
      <c r="Y86" s="85"/>
    </row>
    <row r="87" spans="1:25">
      <c r="A87" s="290"/>
      <c r="B87" s="291"/>
      <c r="C87" s="291"/>
      <c r="D87" s="292"/>
      <c r="E87" s="291"/>
      <c r="F87" s="291"/>
      <c r="G87" s="293"/>
      <c r="H87" s="276"/>
      <c r="I87" s="275"/>
      <c r="L87" s="138"/>
      <c r="N87" s="43"/>
      <c r="O87" s="43"/>
      <c r="X87" s="85"/>
      <c r="Y87" s="85"/>
    </row>
    <row r="88" spans="1:25">
      <c r="A88" s="290"/>
      <c r="B88" s="291"/>
      <c r="C88" s="291"/>
      <c r="D88" s="292"/>
      <c r="E88" s="291"/>
      <c r="F88" s="291"/>
      <c r="G88" s="293"/>
      <c r="L88" s="138"/>
      <c r="N88" s="43"/>
      <c r="O88" s="43"/>
      <c r="X88" s="85"/>
    </row>
    <row r="89" spans="1:25">
      <c r="L89" s="138"/>
      <c r="N89" s="43"/>
      <c r="O89" s="43"/>
      <c r="X89" s="85"/>
    </row>
    <row r="90" spans="1:25">
      <c r="L90" s="138"/>
      <c r="N90" s="43"/>
      <c r="O90" s="43"/>
      <c r="X90" s="85"/>
    </row>
    <row r="91" spans="1:25">
      <c r="L91" s="138"/>
      <c r="N91" s="43"/>
      <c r="O91" s="43"/>
      <c r="X91" s="85"/>
      <c r="Y91" s="85"/>
    </row>
    <row r="92" spans="1:25">
      <c r="L92" s="138"/>
      <c r="N92" s="43"/>
      <c r="O92" s="43"/>
      <c r="X92" s="85"/>
      <c r="Y92" s="85"/>
    </row>
    <row r="93" spans="1:25">
      <c r="L93" s="138"/>
      <c r="N93" s="43"/>
      <c r="O93" s="43"/>
      <c r="X93" s="85"/>
      <c r="Y93" s="85"/>
    </row>
    <row r="94" spans="1:25">
      <c r="L94" s="138"/>
      <c r="N94" s="43"/>
      <c r="O94" s="43"/>
    </row>
    <row r="95" spans="1:25">
      <c r="L95" s="138"/>
    </row>
    <row r="96" spans="1:25">
      <c r="L96" s="138"/>
    </row>
    <row r="97" spans="1:12">
      <c r="L97" s="138"/>
    </row>
    <row r="98" spans="1:12">
      <c r="L98" s="138"/>
    </row>
    <row r="99" spans="1:12">
      <c r="L99" s="138"/>
    </row>
    <row r="100" spans="1:12">
      <c r="A100" s="280"/>
      <c r="B100" s="280"/>
      <c r="C100" s="280"/>
      <c r="D100" s="280"/>
      <c r="E100" s="280"/>
      <c r="F100" s="280"/>
      <c r="L100" s="138"/>
    </row>
    <row r="101" spans="1:12">
      <c r="A101" s="277"/>
      <c r="B101" s="278"/>
      <c r="C101" s="278"/>
      <c r="D101" s="278"/>
      <c r="E101" s="278"/>
      <c r="F101" s="278"/>
      <c r="L101" s="138"/>
    </row>
    <row r="102" spans="1:12">
      <c r="A102" s="277"/>
      <c r="B102" s="278"/>
      <c r="C102" s="278"/>
      <c r="D102" s="278"/>
      <c r="E102" s="278"/>
      <c r="F102" s="278"/>
      <c r="G102" s="52"/>
      <c r="H102" s="52"/>
      <c r="I102" s="52"/>
      <c r="J102" s="281"/>
      <c r="K102" s="279"/>
      <c r="L102" s="138"/>
    </row>
    <row r="103" spans="1:12">
      <c r="A103" s="277"/>
      <c r="B103" s="278"/>
      <c r="C103" s="278"/>
      <c r="D103" s="278"/>
      <c r="E103" s="278"/>
      <c r="F103" s="278"/>
      <c r="G103" s="52"/>
      <c r="H103" s="52"/>
      <c r="I103" s="52"/>
      <c r="J103" s="4"/>
      <c r="L103" s="138"/>
    </row>
    <row r="104" spans="1:12">
      <c r="A104" s="277"/>
      <c r="B104" s="278"/>
      <c r="C104" s="278"/>
      <c r="D104" s="278"/>
      <c r="E104" s="278"/>
      <c r="F104" s="278"/>
      <c r="G104" s="52"/>
      <c r="H104" s="52"/>
      <c r="I104" s="52"/>
      <c r="J104" s="4"/>
      <c r="L104" s="138"/>
    </row>
    <row r="105" spans="1:12">
      <c r="A105" s="277"/>
      <c r="B105" s="278"/>
      <c r="C105" s="278"/>
      <c r="D105" s="278"/>
      <c r="E105" s="278"/>
      <c r="F105" s="278"/>
      <c r="G105" s="52"/>
      <c r="H105" s="52"/>
      <c r="I105" s="52"/>
      <c r="J105" s="4"/>
      <c r="L105" s="138"/>
    </row>
    <row r="106" spans="1:12">
      <c r="A106" s="277"/>
      <c r="B106" s="278"/>
      <c r="C106" s="278"/>
      <c r="D106" s="278"/>
      <c r="E106" s="278"/>
      <c r="F106" s="278"/>
      <c r="G106" s="52"/>
      <c r="H106" s="52"/>
      <c r="I106" s="52"/>
      <c r="J106" s="4"/>
      <c r="L106" s="138"/>
    </row>
    <row r="107" spans="1:12">
      <c r="A107" s="277"/>
      <c r="B107" s="278"/>
      <c r="C107" s="278"/>
      <c r="D107" s="278"/>
      <c r="E107" s="278"/>
      <c r="F107" s="278"/>
      <c r="L107" s="138"/>
    </row>
    <row r="108" spans="1:12">
      <c r="A108" s="277"/>
      <c r="B108" s="278"/>
      <c r="C108" s="278"/>
      <c r="D108" s="278"/>
      <c r="E108" s="278"/>
      <c r="F108" s="278"/>
      <c r="G108" s="52"/>
      <c r="H108" s="52"/>
      <c r="I108" s="52"/>
      <c r="J108" s="4"/>
      <c r="L108" s="138"/>
    </row>
    <row r="109" spans="1:12">
      <c r="A109" s="277"/>
      <c r="B109" s="278"/>
      <c r="C109" s="278"/>
      <c r="D109" s="278"/>
      <c r="E109" s="278"/>
      <c r="F109" s="278"/>
      <c r="G109" s="52"/>
      <c r="H109" s="158"/>
      <c r="I109" s="158"/>
      <c r="J109" s="4"/>
      <c r="L109" s="138"/>
    </row>
    <row r="110" spans="1:12">
      <c r="A110" s="277"/>
      <c r="B110" s="278"/>
      <c r="C110" s="278"/>
      <c r="D110" s="278"/>
      <c r="E110" s="278"/>
      <c r="F110" s="278"/>
      <c r="G110" s="52"/>
      <c r="H110" s="52"/>
      <c r="I110" s="52"/>
      <c r="L110" s="138"/>
    </row>
    <row r="111" spans="1:12">
      <c r="A111" s="277"/>
      <c r="B111" s="278"/>
      <c r="C111" s="278"/>
      <c r="D111" s="278"/>
      <c r="E111" s="278"/>
      <c r="F111" s="278"/>
      <c r="G111" s="52"/>
      <c r="H111" s="52"/>
      <c r="I111" s="52"/>
      <c r="J111" s="4"/>
      <c r="L111" s="138"/>
    </row>
    <row r="112" spans="1:12">
      <c r="A112" s="277"/>
      <c r="B112" s="278"/>
      <c r="C112" s="278"/>
      <c r="D112" s="278"/>
      <c r="E112" s="278"/>
      <c r="F112" s="278"/>
      <c r="G112" s="52"/>
      <c r="H112" s="52"/>
      <c r="I112" s="52"/>
      <c r="J112" s="4"/>
      <c r="L112" s="138"/>
    </row>
    <row r="113" spans="1:21" s="85" customFormat="1">
      <c r="A113" s="277"/>
      <c r="B113" s="278"/>
      <c r="C113" s="278"/>
      <c r="D113" s="278"/>
      <c r="E113" s="278"/>
      <c r="F113" s="278"/>
      <c r="G113" s="52"/>
      <c r="H113" s="52"/>
      <c r="I113" s="52"/>
      <c r="J113" s="4"/>
      <c r="K113"/>
      <c r="L113" s="138"/>
      <c r="M113"/>
      <c r="N113"/>
      <c r="O113"/>
      <c r="P113"/>
      <c r="Q113"/>
      <c r="R113"/>
      <c r="S113"/>
      <c r="T113"/>
      <c r="U113"/>
    </row>
    <row r="114" spans="1:21" s="85" customFormat="1">
      <c r="A114" s="277"/>
      <c r="B114" s="278"/>
      <c r="C114" s="278"/>
      <c r="D114" s="278"/>
      <c r="E114" s="278"/>
      <c r="F114" s="278"/>
      <c r="G114"/>
      <c r="H114"/>
      <c r="I114"/>
      <c r="J114"/>
      <c r="K114"/>
      <c r="L114" s="138"/>
      <c r="M114"/>
      <c r="N114"/>
      <c r="O114"/>
      <c r="P114"/>
      <c r="Q114"/>
      <c r="R114"/>
      <c r="S114"/>
      <c r="T114"/>
      <c r="U114"/>
    </row>
    <row r="115" spans="1:21" s="85" customFormat="1">
      <c r="A115" s="277"/>
      <c r="B115" s="278"/>
      <c r="C115" s="278"/>
      <c r="D115" s="278"/>
      <c r="E115" s="278"/>
      <c r="F115" s="278"/>
      <c r="G115" s="52"/>
      <c r="H115" s="52"/>
      <c r="I115" s="52"/>
      <c r="J115" s="4"/>
      <c r="K115"/>
      <c r="L115" s="138"/>
      <c r="M115"/>
      <c r="N115"/>
      <c r="O115"/>
      <c r="P115"/>
      <c r="Q115"/>
      <c r="R115"/>
      <c r="S115"/>
      <c r="T115"/>
      <c r="U115"/>
    </row>
    <row r="116" spans="1:21" s="85" customFormat="1">
      <c r="A116" s="277"/>
      <c r="B116" s="278"/>
      <c r="C116" s="278"/>
      <c r="D116" s="278"/>
      <c r="E116" s="278"/>
      <c r="F116" s="278"/>
      <c r="G116" s="52"/>
      <c r="H116" s="52"/>
      <c r="I116" s="52"/>
      <c r="J116" s="4"/>
      <c r="K116"/>
      <c r="L116" s="138"/>
      <c r="M116"/>
      <c r="N116"/>
      <c r="O116"/>
      <c r="P116"/>
      <c r="Q116"/>
      <c r="R116"/>
      <c r="S116"/>
      <c r="T116"/>
      <c r="U116"/>
    </row>
    <row r="117" spans="1:21" s="85" customFormat="1">
      <c r="A117" s="277"/>
      <c r="B117" s="278"/>
      <c r="C117" s="278"/>
      <c r="D117" s="278"/>
      <c r="E117" s="278"/>
      <c r="F117" s="278"/>
      <c r="G117" s="52"/>
      <c r="H117" s="158"/>
      <c r="I117" s="158"/>
      <c r="J117" s="4"/>
      <c r="K117"/>
      <c r="L117" s="138"/>
      <c r="M117"/>
      <c r="N117"/>
      <c r="O117"/>
      <c r="P117"/>
      <c r="Q117"/>
      <c r="R117"/>
      <c r="S117"/>
      <c r="T117"/>
      <c r="U117"/>
    </row>
    <row r="118" spans="1:21" s="85" customFormat="1">
      <c r="A118" s="277"/>
      <c r="B118" s="278"/>
      <c r="C118" s="278"/>
      <c r="D118" s="278"/>
      <c r="E118" s="278"/>
      <c r="F118" s="278"/>
      <c r="G118" s="52"/>
      <c r="H118" s="52"/>
      <c r="I118" s="52"/>
      <c r="J118"/>
      <c r="K118"/>
      <c r="L118" s="138"/>
      <c r="M118"/>
      <c r="N118"/>
      <c r="O118"/>
      <c r="P118"/>
      <c r="Q118"/>
      <c r="R118"/>
      <c r="S118"/>
      <c r="T118"/>
      <c r="U118"/>
    </row>
    <row r="119" spans="1:21" s="85" customFormat="1">
      <c r="A119" s="277"/>
      <c r="B119" s="278"/>
      <c r="C119" s="278"/>
      <c r="D119" s="278"/>
      <c r="E119" s="278"/>
      <c r="F119" s="278"/>
      <c r="G119" s="52"/>
      <c r="H119" s="52"/>
      <c r="I119" s="52"/>
      <c r="J119" s="4"/>
      <c r="K119"/>
      <c r="L119" s="138"/>
      <c r="M119"/>
      <c r="N119"/>
      <c r="O119"/>
      <c r="P119"/>
      <c r="Q119"/>
      <c r="R119"/>
      <c r="S119"/>
      <c r="T119"/>
      <c r="U119"/>
    </row>
    <row r="120" spans="1:21" s="85" customFormat="1">
      <c r="A120" s="277"/>
      <c r="B120" s="278"/>
      <c r="C120" s="278"/>
      <c r="D120" s="278"/>
      <c r="E120" s="278"/>
      <c r="F120" s="278"/>
      <c r="G120" s="52"/>
      <c r="H120" s="52"/>
      <c r="I120" s="52"/>
      <c r="J120" s="4"/>
      <c r="K120"/>
      <c r="L120" s="138"/>
      <c r="M120"/>
      <c r="N120"/>
      <c r="O120"/>
      <c r="P120"/>
      <c r="Q120"/>
      <c r="R120"/>
      <c r="S120"/>
      <c r="T120"/>
      <c r="U120"/>
    </row>
    <row r="121" spans="1:21" s="85" customFormat="1">
      <c r="A121" s="277"/>
      <c r="B121" s="278"/>
      <c r="C121" s="278"/>
      <c r="D121" s="278"/>
      <c r="E121" s="278"/>
      <c r="F121" s="278"/>
      <c r="G121"/>
      <c r="H121"/>
      <c r="I121"/>
      <c r="J121"/>
      <c r="K121"/>
      <c r="L121" s="138"/>
      <c r="M121"/>
      <c r="N121"/>
      <c r="O121"/>
      <c r="P121"/>
      <c r="Q121"/>
      <c r="R121"/>
      <c r="S121"/>
      <c r="T121"/>
      <c r="U121"/>
    </row>
    <row r="122" spans="1:21" s="85" customFormat="1">
      <c r="A122" s="277"/>
      <c r="B122" s="278"/>
      <c r="C122" s="278"/>
      <c r="D122" s="278"/>
      <c r="E122" s="278"/>
      <c r="F122" s="278"/>
      <c r="G122" s="52"/>
      <c r="H122" s="52"/>
      <c r="I122" s="52"/>
      <c r="J122" s="4"/>
      <c r="K122"/>
      <c r="L122" s="138"/>
      <c r="M122"/>
      <c r="N122"/>
      <c r="O122"/>
      <c r="P122"/>
      <c r="Q122"/>
      <c r="R122"/>
      <c r="S122"/>
      <c r="T122"/>
      <c r="U122"/>
    </row>
    <row r="123" spans="1:21" s="85" customFormat="1">
      <c r="A123" s="277"/>
      <c r="B123" s="278"/>
      <c r="C123" s="278"/>
      <c r="D123" s="278"/>
      <c r="E123" s="278"/>
      <c r="F123" s="278"/>
      <c r="G123" s="52"/>
      <c r="H123" s="52"/>
      <c r="I123" s="52"/>
      <c r="J123" s="4"/>
      <c r="K123"/>
      <c r="L123" s="138"/>
      <c r="M123"/>
      <c r="N123"/>
      <c r="O123"/>
      <c r="P123"/>
      <c r="Q123"/>
      <c r="R123"/>
      <c r="S123"/>
      <c r="T123"/>
      <c r="U123"/>
    </row>
    <row r="124" spans="1:21" s="85" customFormat="1">
      <c r="A124" s="277"/>
      <c r="B124" s="278"/>
      <c r="C124" s="278"/>
      <c r="D124" s="278"/>
      <c r="E124" s="278"/>
      <c r="F124" s="278"/>
      <c r="G124" s="52"/>
      <c r="H124" s="52"/>
      <c r="I124" s="52"/>
      <c r="J124" s="4"/>
      <c r="K124"/>
      <c r="L124" s="138"/>
      <c r="M124"/>
      <c r="N124"/>
      <c r="O124"/>
      <c r="P124"/>
      <c r="Q124"/>
      <c r="R124"/>
      <c r="S124"/>
      <c r="T124"/>
      <c r="U124"/>
    </row>
    <row r="125" spans="1:21" s="85" customFormat="1">
      <c r="A125" s="277"/>
      <c r="B125" s="278"/>
      <c r="C125" s="278"/>
      <c r="D125" s="278"/>
      <c r="E125" s="278"/>
      <c r="F125" s="278"/>
      <c r="G125" s="52"/>
      <c r="H125" s="158"/>
      <c r="I125" s="158"/>
      <c r="J125" s="4"/>
      <c r="K125"/>
      <c r="L125" s="138"/>
      <c r="M125"/>
      <c r="N125"/>
      <c r="O125"/>
      <c r="P125"/>
      <c r="Q125"/>
      <c r="R125"/>
      <c r="S125"/>
      <c r="T125"/>
      <c r="U125"/>
    </row>
    <row r="127" spans="1:21" s="85" customFormat="1">
      <c r="A127"/>
      <c r="B127"/>
      <c r="C127"/>
      <c r="D127"/>
      <c r="E127"/>
      <c r="F127"/>
      <c r="G127"/>
      <c r="H127"/>
      <c r="I127"/>
      <c r="J127"/>
      <c r="K127"/>
      <c r="L127"/>
      <c r="M127"/>
      <c r="N127"/>
      <c r="O127"/>
      <c r="P127"/>
      <c r="Q127"/>
      <c r="R127"/>
      <c r="S127"/>
      <c r="T127"/>
      <c r="U127"/>
    </row>
    <row r="128" spans="1:21" s="85" customFormat="1">
      <c r="A128"/>
      <c r="B128"/>
      <c r="C128"/>
      <c r="D128"/>
      <c r="E128"/>
      <c r="F128"/>
      <c r="G128"/>
      <c r="H128"/>
      <c r="I128"/>
      <c r="J128"/>
      <c r="K128"/>
      <c r="L128"/>
      <c r="M128"/>
      <c r="N128"/>
      <c r="O128"/>
      <c r="P128"/>
      <c r="Q128"/>
      <c r="R128"/>
      <c r="S128"/>
      <c r="T128"/>
      <c r="U128"/>
    </row>
  </sheetData>
  <pageMargins left="0.7" right="0.7" top="0.75" bottom="0.75" header="0.3" footer="0.3"/>
  <pageSetup paperSize="9" orientation="portrait" r:id="rId1"/>
  <headerFooter>
    <oddHeader>&amp;C&amp;"Aptos"&amp;12&amp;KFF0000 UNOFFICIAL&amp;1#_x000D_</oddHeader>
    <oddFooter>&amp;C_x000D_&amp;1#&amp;"Aptos"&amp;12&amp;KFF0000 UNOFFICIAL</oddFooter>
  </headerFooter>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AF759-E362-4168-9BF4-CFA5D23F2BA1}">
  <sheetPr>
    <pageSetUpPr fitToPage="1"/>
  </sheetPr>
  <dimension ref="A1:BC567"/>
  <sheetViews>
    <sheetView topLeftCell="W4" zoomScaleNormal="100" workbookViewId="0">
      <selection activeCell="AC20" sqref="AC20"/>
    </sheetView>
  </sheetViews>
  <sheetFormatPr defaultRowHeight="15"/>
  <cols>
    <col min="1" max="1" width="23.28515625" style="85" customWidth="1"/>
    <col min="2" max="2" width="17.5703125" bestFit="1" customWidth="1"/>
    <col min="3" max="3" width="22.28515625" bestFit="1" customWidth="1"/>
    <col min="8" max="8" width="9.140625" style="175"/>
    <col min="12" max="12" width="9.140625" style="391"/>
    <col min="14" max="14" width="14.5703125" bestFit="1" customWidth="1"/>
    <col min="21" max="21" width="21.5703125" customWidth="1"/>
    <col min="22" max="22" width="10.7109375" bestFit="1" customWidth="1"/>
    <col min="24" max="24" width="19.5703125" style="28" customWidth="1"/>
    <col min="25" max="25" width="12.5703125" style="28" bestFit="1" customWidth="1"/>
    <col min="26" max="26" width="12.28515625" style="28" customWidth="1"/>
    <col min="27" max="27" width="15.28515625" style="28" customWidth="1"/>
    <col min="28" max="28" width="10.85546875" style="28" bestFit="1" customWidth="1"/>
    <col min="32" max="32" width="11.42578125" bestFit="1" customWidth="1"/>
    <col min="33" max="33" width="16.42578125" customWidth="1"/>
    <col min="34" max="34" width="13.140625" customWidth="1"/>
    <col min="37" max="37" width="12.28515625" bestFit="1" customWidth="1"/>
  </cols>
  <sheetData>
    <row r="1" spans="1:55" s="393" customFormat="1" ht="37.5" customHeight="1">
      <c r="A1" s="389" t="s">
        <v>2002</v>
      </c>
      <c r="B1" s="390"/>
      <c r="C1" s="390"/>
      <c r="D1" s="390"/>
      <c r="E1" s="390"/>
      <c r="F1" s="390"/>
      <c r="G1" s="390"/>
      <c r="H1" s="390"/>
      <c r="I1" s="390"/>
      <c r="J1" s="390"/>
      <c r="K1" s="390"/>
      <c r="L1" s="391"/>
      <c r="M1" s="390"/>
      <c r="N1" s="390"/>
      <c r="O1" s="390"/>
      <c r="P1" s="390"/>
      <c r="Q1" s="390"/>
      <c r="R1" s="390"/>
      <c r="S1" s="390"/>
      <c r="T1" s="390"/>
      <c r="U1" s="390"/>
      <c r="V1" s="390"/>
      <c r="W1" s="390"/>
      <c r="X1" s="392"/>
      <c r="Y1" s="392"/>
      <c r="Z1" s="392"/>
      <c r="AA1" s="392"/>
      <c r="AB1" s="392"/>
      <c r="AC1" s="390"/>
      <c r="AD1" s="390"/>
      <c r="AE1" s="390"/>
      <c r="AF1" s="390"/>
      <c r="AG1" s="390"/>
      <c r="AH1" s="390"/>
      <c r="AI1" s="390"/>
      <c r="AJ1" s="390"/>
      <c r="AK1" s="390"/>
      <c r="AL1" s="390"/>
      <c r="AM1" s="390"/>
      <c r="AN1" s="390"/>
      <c r="AO1" s="390"/>
      <c r="AP1" s="390"/>
      <c r="AQ1" s="390"/>
      <c r="AR1" s="390"/>
      <c r="AS1" s="390"/>
      <c r="AT1" s="390"/>
      <c r="AU1" s="390"/>
      <c r="AV1" s="390"/>
      <c r="AW1" s="390"/>
      <c r="AX1" s="390"/>
      <c r="AY1" s="390"/>
      <c r="AZ1" s="390"/>
      <c r="BA1" s="390"/>
      <c r="BB1" s="390"/>
      <c r="BC1" s="390"/>
    </row>
    <row r="2" spans="1:55" s="394" customFormat="1" ht="15.75" thickBot="1">
      <c r="A2"/>
      <c r="B2"/>
      <c r="C2"/>
      <c r="D2"/>
      <c r="E2"/>
      <c r="F2"/>
      <c r="G2"/>
      <c r="H2"/>
      <c r="I2"/>
      <c r="J2"/>
      <c r="K2"/>
      <c r="L2" s="391"/>
      <c r="M2"/>
      <c r="N2"/>
      <c r="O2"/>
      <c r="P2"/>
      <c r="Q2"/>
      <c r="R2"/>
      <c r="S2"/>
      <c r="T2"/>
      <c r="U2"/>
      <c r="V2"/>
      <c r="W2"/>
      <c r="X2" s="29"/>
      <c r="Y2" s="28"/>
      <c r="Z2" s="28"/>
      <c r="AA2" s="28"/>
      <c r="AB2" s="28"/>
      <c r="AC2"/>
      <c r="AD2"/>
      <c r="AE2"/>
      <c r="AF2"/>
      <c r="AG2"/>
      <c r="AH2"/>
      <c r="AI2"/>
      <c r="AJ2"/>
      <c r="AK2"/>
      <c r="AL2"/>
      <c r="AM2"/>
      <c r="AN2"/>
      <c r="AO2"/>
      <c r="AP2"/>
      <c r="AQ2"/>
      <c r="AR2"/>
      <c r="AS2"/>
      <c r="AT2"/>
      <c r="AU2"/>
      <c r="AV2"/>
      <c r="AW2"/>
      <c r="AX2"/>
      <c r="AY2"/>
      <c r="AZ2"/>
      <c r="BA2"/>
      <c r="BB2"/>
      <c r="BC2"/>
    </row>
    <row r="3" spans="1:55" ht="30">
      <c r="A3" s="395"/>
      <c r="B3" s="396"/>
      <c r="C3" s="393"/>
      <c r="D3" s="397" t="s">
        <v>2003</v>
      </c>
      <c r="E3" s="398" t="s">
        <v>2004</v>
      </c>
      <c r="F3" s="398" t="s">
        <v>2003</v>
      </c>
      <c r="G3" s="399"/>
      <c r="H3" s="398"/>
      <c r="I3" s="398" t="s">
        <v>2005</v>
      </c>
      <c r="J3" s="399"/>
      <c r="K3" s="571" t="s">
        <v>2006</v>
      </c>
      <c r="L3" s="572"/>
      <c r="M3" s="571" t="s">
        <v>2007</v>
      </c>
      <c r="N3" s="573"/>
      <c r="O3" s="400"/>
      <c r="P3" s="400"/>
      <c r="Q3" s="400"/>
      <c r="R3" s="400"/>
      <c r="S3" s="393"/>
      <c r="T3" s="393"/>
      <c r="U3" s="393"/>
      <c r="X3" s="401" t="s">
        <v>2008</v>
      </c>
      <c r="Y3" s="402"/>
      <c r="Z3" s="402"/>
      <c r="AA3" s="402"/>
      <c r="AB3" s="403"/>
      <c r="AK3" s="29"/>
    </row>
    <row r="4" spans="1:55" ht="90">
      <c r="A4" s="404" t="s">
        <v>2009</v>
      </c>
      <c r="B4" s="405" t="s">
        <v>2010</v>
      </c>
      <c r="C4" s="406" t="s">
        <v>2011</v>
      </c>
      <c r="D4" s="394" t="s">
        <v>2012</v>
      </c>
      <c r="E4" s="397"/>
      <c r="F4" s="397" t="s">
        <v>2013</v>
      </c>
      <c r="G4" s="397" t="s">
        <v>2014</v>
      </c>
      <c r="H4" s="397" t="s">
        <v>2015</v>
      </c>
      <c r="I4" s="397" t="s">
        <v>2016</v>
      </c>
      <c r="J4" s="397" t="s">
        <v>2017</v>
      </c>
      <c r="K4" s="407" t="s">
        <v>2018</v>
      </c>
      <c r="L4" s="408" t="s">
        <v>2019</v>
      </c>
      <c r="M4" s="397" t="s">
        <v>2018</v>
      </c>
      <c r="N4" s="409" t="s">
        <v>2020</v>
      </c>
      <c r="O4" s="397" t="s">
        <v>2021</v>
      </c>
      <c r="P4" s="397" t="s">
        <v>2022</v>
      </c>
      <c r="Q4" s="397" t="s">
        <v>2023</v>
      </c>
      <c r="R4" s="397" t="s">
        <v>2024</v>
      </c>
      <c r="S4" s="406" t="s">
        <v>2025</v>
      </c>
      <c r="T4" s="406" t="s">
        <v>2026</v>
      </c>
      <c r="U4" s="394" t="s">
        <v>313</v>
      </c>
      <c r="X4" s="410" t="s">
        <v>2027</v>
      </c>
      <c r="Y4" s="411" t="s">
        <v>2028</v>
      </c>
      <c r="Z4" s="412" t="s">
        <v>2029</v>
      </c>
      <c r="AA4" s="412" t="s">
        <v>2030</v>
      </c>
      <c r="AB4" s="413" t="s">
        <v>2031</v>
      </c>
      <c r="AC4" s="414" t="s">
        <v>217</v>
      </c>
      <c r="AD4" s="415" t="s">
        <v>392</v>
      </c>
      <c r="AE4" s="414" t="s">
        <v>84</v>
      </c>
      <c r="AF4" s="414" t="s">
        <v>2020</v>
      </c>
      <c r="AG4" s="414" t="s">
        <v>2032</v>
      </c>
      <c r="AK4" s="574" t="s">
        <v>2033</v>
      </c>
      <c r="AL4" s="2"/>
      <c r="AM4" s="2"/>
      <c r="AN4" s="2"/>
      <c r="AO4" s="43"/>
    </row>
    <row r="5" spans="1:55" ht="15.75">
      <c r="A5" t="s">
        <v>2056</v>
      </c>
      <c r="H5"/>
      <c r="X5" s="416"/>
      <c r="Y5" s="417"/>
      <c r="Z5" s="418">
        <f>MAX(Y15,Y54,Y91,Y113,Y148,Y181,Y211,Y243,Y273,Y302,Y335,Y369)</f>
        <v>26.51579462779533</v>
      </c>
      <c r="AA5" s="418">
        <f>MIN(Y15,Y54,Y91,Y113,Y148,Y181,Y211,Y243,Y273,Y302,Y335,Y369)</f>
        <v>4.4242499583243324</v>
      </c>
      <c r="AB5" s="419">
        <f>(Z5/12.01)*100.0869</f>
        <v>220.97282975292993</v>
      </c>
      <c r="AC5" s="414"/>
      <c r="AD5" s="415"/>
      <c r="AE5" s="414"/>
      <c r="AF5" s="414"/>
      <c r="AG5" s="414"/>
      <c r="AK5" s="574"/>
      <c r="AL5" s="51" t="s">
        <v>2034</v>
      </c>
      <c r="AM5" s="2"/>
      <c r="AN5" s="51"/>
      <c r="AO5" s="43"/>
    </row>
    <row r="6" spans="1:55" ht="16.5" thickBot="1">
      <c r="A6" t="s">
        <v>2035</v>
      </c>
      <c r="H6"/>
      <c r="X6" s="575" t="s">
        <v>2036</v>
      </c>
      <c r="Y6" s="576"/>
      <c r="Z6" s="420">
        <f>(Z5/AL15)*100</f>
        <v>37.956102058278709</v>
      </c>
      <c r="AA6" s="420">
        <f>(AA5/AL15)*100</f>
        <v>6.3331039218965364</v>
      </c>
      <c r="AB6" s="421">
        <f>(AB5/((AL15/12.01)*100.0869))*100</f>
        <v>37.956102058278709</v>
      </c>
      <c r="AC6" s="414"/>
      <c r="AD6" s="415"/>
      <c r="AE6" s="414" t="s">
        <v>2037</v>
      </c>
      <c r="AF6" s="414" t="s">
        <v>2038</v>
      </c>
      <c r="AG6" s="414"/>
      <c r="AK6" s="574"/>
      <c r="AL6" s="2"/>
      <c r="AM6" s="2"/>
      <c r="AN6" s="51" t="s">
        <v>2039</v>
      </c>
      <c r="AO6" s="43"/>
    </row>
    <row r="7" spans="1:55" ht="15.75">
      <c r="A7" t="s">
        <v>2057</v>
      </c>
      <c r="H7"/>
      <c r="AF7" s="43"/>
      <c r="AG7" s="43" t="s">
        <v>2326</v>
      </c>
      <c r="AH7" s="422"/>
      <c r="AK7" s="51" t="s">
        <v>1745</v>
      </c>
      <c r="AL7" s="16">
        <f>AVERAGE(H9:H11,H17:H18,H23,H29,H35,H37,H42:H44,H50:H51,H56,H60,H65:H66,H68,H73:H75,H81:H82,H87,H91,H95:H96,H98,H103:H105,H111:H112,H117,H122,H127:H128,H130,H135:H137,H143:H144,H149,H155,H164,H169:H171,H177:H178,H183,H189,H195:H196,H198,H203:H205,H211:H212,H217,H223,H229:H230,H232,H237:H239,H245:H246,H251,H257,H263:H264,H266,H271:H273,H279:H280,H285,H291,H297:H298,H300,H306:H307,H313:H314,H319,H325,H331:H332,H334,H339:H341,H347:H348,H353,H359,H365:H366,H368)</f>
        <v>0.37022547169811298</v>
      </c>
      <c r="AM7" s="2"/>
      <c r="AN7" s="16">
        <f>(AL7/AL15)*100</f>
        <v>0.52996019865146848</v>
      </c>
      <c r="AO7" s="43"/>
    </row>
    <row r="8" spans="1:55" ht="15.75">
      <c r="A8" s="85" t="s">
        <v>2058</v>
      </c>
      <c r="H8"/>
      <c r="X8" s="423">
        <f>A9</f>
        <v>45860</v>
      </c>
      <c r="Y8" s="43"/>
      <c r="Z8" s="43"/>
      <c r="AC8">
        <v>2023</v>
      </c>
      <c r="AD8" t="s">
        <v>37</v>
      </c>
      <c r="AE8">
        <v>1</v>
      </c>
      <c r="AF8" s="43">
        <f>AVERAGE(AF80:AF83)</f>
        <v>67.89796153799513</v>
      </c>
      <c r="AG8" s="43">
        <v>4</v>
      </c>
      <c r="AH8" s="43"/>
      <c r="AI8" s="28"/>
      <c r="AJ8" s="28"/>
      <c r="AK8" s="51" t="s">
        <v>1725</v>
      </c>
      <c r="AL8" s="16">
        <f>_xlfn.STDEV.P(H9:H11,H17:H18,H23,H29,H35,H37,H42:H44,H50:H51,H56,H60,H65:H66,H68,H73:H75,H81:H82,H87,H91,H95:H96,H98,H103:H105,H111:H112,H117,H122,H127:H128,H130,H135:H137,H143:H144,H149,H155,H164,H169:H171,H177:H178,H183,H189,H195:H196,H198,H203:H205,H211:H212,H217,H223,H229:H230,H232,H237:H239,H245:H246,H251,H257,H263:H264,H266,H271:H273,H279:H280,H285,H291,H297:H298,H300,H306:H307,H313:H314,H319,H325,H331:H332,H334,H339:H341,H347:H348,H353,H359,H365:H366,H368)</f>
        <v>0.14654381601272073</v>
      </c>
      <c r="AM8" s="28"/>
      <c r="AN8" s="28"/>
    </row>
    <row r="9" spans="1:55" ht="15.75">
      <c r="A9" s="85">
        <v>45860</v>
      </c>
      <c r="B9">
        <v>1</v>
      </c>
      <c r="C9" t="s">
        <v>2040</v>
      </c>
      <c r="H9">
        <v>0.18029999999999999</v>
      </c>
      <c r="X9" s="193">
        <f>((J11-INDEX(LINEST($H$11:$H$16,$G$11:$G$16),2))/INDEX(LINEST($H$11:$H$16,$G$11:$G$16),1)/100.09)*12.01</f>
        <v>-0.8802887649880845</v>
      </c>
      <c r="Y9" s="193">
        <f>(J11-X9)^2</f>
        <v>1.8199205787910513</v>
      </c>
      <c r="Z9" s="43"/>
      <c r="AC9">
        <v>2023</v>
      </c>
      <c r="AD9" t="s">
        <v>37</v>
      </c>
      <c r="AE9">
        <v>2</v>
      </c>
      <c r="AF9" s="43">
        <f>AVERAGE(AF85:AF87)</f>
        <v>71.854113247498631</v>
      </c>
      <c r="AG9" s="43">
        <v>3</v>
      </c>
      <c r="AH9" s="43"/>
      <c r="AI9" s="28"/>
      <c r="AJ9" s="28"/>
      <c r="AK9" s="51" t="s">
        <v>1500</v>
      </c>
      <c r="AL9" s="2">
        <f>COUNT(H37,H35,H29,H23,H17:H18,H9:H11,H42:H44,H50:H51,H56,H60,H65:H66,H68,H73:H75,H81:H82,H87,H91,H95:H96,H98,H103:H105,H111:H112,H117,H122,H127:H128,H130,H135:H137,H143:H144,H149,H155,H164,H169:H171,H177:H178,H183,H189,H195:H196,H198,H203:H205,H211:H212,H217,H223,H229:H230,H232,H237:H239,H245:H246,H251,H257,H263:H264,H266,H271:H273,H279:H280,H285,H291,H297:H298,H300,H306:H307,H313:H314,H319,H325,H331:H332,H334,H339:H341,H347:H348,H353,H359,H365:H366,H368)</f>
        <v>106</v>
      </c>
      <c r="AM9" s="28"/>
      <c r="AN9" s="28"/>
    </row>
    <row r="10" spans="1:55" ht="15.75">
      <c r="A10" s="85">
        <v>45860</v>
      </c>
      <c r="B10">
        <v>2</v>
      </c>
      <c r="C10" t="s">
        <v>2041</v>
      </c>
      <c r="H10">
        <v>0.3175</v>
      </c>
      <c r="X10" s="193">
        <f>((J12-INDEX(LINEST($H$11:$H$16,$G$11:$G$16),2))/INDEX(LINEST($H$11:$H$16,$G$11:$G$16),1)/100.09)*12.01</f>
        <v>33.316583111892768</v>
      </c>
      <c r="Y10" s="193">
        <f t="shared" ref="Y10:Y13" si="0">(J12-X10)^2</f>
        <v>1.4577825817196426E-2</v>
      </c>
      <c r="Z10" s="43"/>
      <c r="AC10">
        <v>2023</v>
      </c>
      <c r="AD10" t="s">
        <v>37</v>
      </c>
      <c r="AE10">
        <v>3</v>
      </c>
      <c r="AF10" s="43">
        <f>AVERAGE(AF89:AF91)</f>
        <v>70.994697892961668</v>
      </c>
      <c r="AG10" s="43">
        <v>3</v>
      </c>
      <c r="AH10" s="43"/>
      <c r="AI10" s="28"/>
      <c r="AJ10" s="28"/>
      <c r="AK10" s="424"/>
      <c r="AL10" s="8"/>
      <c r="AM10" s="28"/>
      <c r="AN10" s="28"/>
    </row>
    <row r="11" spans="1:55">
      <c r="A11" s="85">
        <v>45860</v>
      </c>
      <c r="B11">
        <v>3</v>
      </c>
      <c r="C11" t="s">
        <v>2042</v>
      </c>
      <c r="G11">
        <v>0</v>
      </c>
      <c r="H11">
        <v>0.36399999999999999</v>
      </c>
      <c r="I11">
        <v>0.46875555555555554</v>
      </c>
      <c r="J11">
        <v>0.46875555555555554</v>
      </c>
      <c r="X11" s="193">
        <f t="shared" ref="X11:X14" si="1">((J13-INDEX(LINEST($H$11:$H$16,$G$11:$G$16),2))/INDEX(LINEST($H$11:$H$16,$G$11:$G$16),1)/100.09)*12.01</f>
        <v>118.79066263588356</v>
      </c>
      <c r="Y11" s="193">
        <f t="shared" si="0"/>
        <v>14.39760941152413</v>
      </c>
      <c r="Z11" s="43"/>
      <c r="AC11">
        <v>2023</v>
      </c>
      <c r="AD11" t="s">
        <v>37</v>
      </c>
      <c r="AE11">
        <v>4</v>
      </c>
      <c r="AF11" s="43">
        <f>AVERAGE(AF92:AF93)</f>
        <v>64.348223374202803</v>
      </c>
      <c r="AG11" s="43">
        <v>2</v>
      </c>
      <c r="AH11" s="43"/>
      <c r="AI11" s="28"/>
      <c r="AJ11" s="28"/>
      <c r="AK11" s="28"/>
      <c r="AL11" s="28"/>
      <c r="AM11" s="28"/>
      <c r="AN11" s="28"/>
    </row>
    <row r="12" spans="1:55" ht="36.75" customHeight="1">
      <c r="A12" s="85">
        <v>45860</v>
      </c>
      <c r="B12">
        <v>4</v>
      </c>
      <c r="C12" t="s">
        <v>2073</v>
      </c>
      <c r="D12">
        <v>296.39999999999998</v>
      </c>
      <c r="G12">
        <v>296.34071999999998</v>
      </c>
      <c r="H12">
        <v>33.6646</v>
      </c>
      <c r="I12">
        <v>0.46875555555555554</v>
      </c>
      <c r="J12">
        <v>33.195844444444447</v>
      </c>
      <c r="K12">
        <v>279.80474190020294</v>
      </c>
      <c r="L12" s="391">
        <v>94.419944009113209</v>
      </c>
      <c r="M12">
        <v>276.6504638171894</v>
      </c>
      <c r="N12">
        <v>93.355534742977426</v>
      </c>
      <c r="O12">
        <v>128</v>
      </c>
      <c r="P12">
        <v>41.7</v>
      </c>
      <c r="Q12">
        <v>100</v>
      </c>
      <c r="R12">
        <v>3</v>
      </c>
      <c r="S12" t="s">
        <v>196</v>
      </c>
      <c r="T12" t="s">
        <v>196</v>
      </c>
      <c r="U12" s="577" t="s">
        <v>2322</v>
      </c>
      <c r="X12" s="193">
        <f>((J14-INDEX(LINEST($H$11:$H$16,$G$11:$G$16),2))/INDEX(LINEST($H$11:$H$16,$G$11:$G$16),1)/100.09)*12.01</f>
        <v>247.74387720842014</v>
      </c>
      <c r="Y12" s="193">
        <f t="shared" si="0"/>
        <v>87.176446062450239</v>
      </c>
      <c r="Z12" s="43"/>
      <c r="AC12">
        <v>2023</v>
      </c>
      <c r="AD12" t="s">
        <v>37</v>
      </c>
      <c r="AE12">
        <v>5</v>
      </c>
      <c r="AF12" s="43">
        <f>AVERAGE(AF94:AF95)</f>
        <v>63.169767863417746</v>
      </c>
      <c r="AG12" s="43">
        <v>2</v>
      </c>
      <c r="AH12" s="43"/>
      <c r="AI12" s="28"/>
      <c r="AJ12" s="2" t="s">
        <v>2327</v>
      </c>
      <c r="AK12" s="43"/>
      <c r="AL12" s="2"/>
      <c r="AM12" s="43"/>
      <c r="AN12" s="28"/>
    </row>
    <row r="13" spans="1:55" ht="15.75">
      <c r="A13" s="85">
        <v>45860</v>
      </c>
      <c r="B13">
        <v>5</v>
      </c>
      <c r="C13" t="s">
        <v>2074</v>
      </c>
      <c r="D13">
        <v>986.3</v>
      </c>
      <c r="G13">
        <v>986.10273999999993</v>
      </c>
      <c r="H13">
        <v>115.465</v>
      </c>
      <c r="I13">
        <v>0.46875555555555554</v>
      </c>
      <c r="J13">
        <v>114.99624444444444</v>
      </c>
      <c r="K13">
        <v>992.74299574093266</v>
      </c>
      <c r="L13" s="391">
        <v>100.67338376333208</v>
      </c>
      <c r="M13">
        <v>958.36587064483297</v>
      </c>
      <c r="N13">
        <v>97.187223173604906</v>
      </c>
      <c r="O13">
        <v>128</v>
      </c>
      <c r="P13">
        <v>41.7</v>
      </c>
      <c r="Q13">
        <v>100</v>
      </c>
      <c r="R13">
        <v>3</v>
      </c>
      <c r="S13" t="s">
        <v>196</v>
      </c>
      <c r="T13" t="s">
        <v>196</v>
      </c>
      <c r="U13" s="577"/>
      <c r="X13" s="193">
        <f t="shared" si="1"/>
        <v>338.49747045365092</v>
      </c>
      <c r="Y13" s="193">
        <f t="shared" si="0"/>
        <v>175.22944734921677</v>
      </c>
      <c r="Z13" s="43"/>
      <c r="AA13" s="51" t="s">
        <v>2039</v>
      </c>
      <c r="AC13">
        <v>2023</v>
      </c>
      <c r="AD13" t="s">
        <v>37</v>
      </c>
      <c r="AE13">
        <v>6</v>
      </c>
      <c r="AF13" s="43">
        <f>AVERAGE(AF96:AF97)</f>
        <v>66.814093851219866</v>
      </c>
      <c r="AG13" s="43">
        <v>2</v>
      </c>
      <c r="AH13" s="43"/>
      <c r="AI13" s="28"/>
      <c r="AJ13" s="43"/>
      <c r="AK13" s="2"/>
      <c r="AL13" s="51" t="s">
        <v>2043</v>
      </c>
      <c r="AM13" s="43"/>
      <c r="AN13" s="28"/>
    </row>
    <row r="14" spans="1:55" ht="15.75">
      <c r="A14" s="85">
        <v>45860</v>
      </c>
      <c r="B14">
        <v>6</v>
      </c>
      <c r="C14" t="s">
        <v>2075</v>
      </c>
      <c r="D14">
        <v>2039.6</v>
      </c>
      <c r="G14">
        <v>2039.19208</v>
      </c>
      <c r="H14">
        <v>238.8758</v>
      </c>
      <c r="I14">
        <v>0.46875555555555554</v>
      </c>
      <c r="J14">
        <v>238.40704444444444</v>
      </c>
      <c r="K14">
        <v>2068.3401842276335</v>
      </c>
      <c r="L14" s="391">
        <v>101.42939473497923</v>
      </c>
      <c r="M14">
        <v>1986.8577084466649</v>
      </c>
      <c r="N14">
        <v>97.43357322409102</v>
      </c>
      <c r="O14">
        <v>128</v>
      </c>
      <c r="P14">
        <v>41.7</v>
      </c>
      <c r="Q14">
        <v>100</v>
      </c>
      <c r="R14">
        <v>3</v>
      </c>
      <c r="S14" t="s">
        <v>196</v>
      </c>
      <c r="T14" t="s">
        <v>196</v>
      </c>
      <c r="U14" s="577"/>
      <c r="X14" s="193">
        <f t="shared" si="1"/>
        <v>393.42192585097359</v>
      </c>
      <c r="Y14" s="193">
        <f>(J16-X14)^2</f>
        <v>243.30014356471074</v>
      </c>
      <c r="Z14" s="43"/>
      <c r="AA14" s="425">
        <f>(Y15/$AL$15)*100</f>
        <v>16.351457963091484</v>
      </c>
      <c r="AC14">
        <v>2023</v>
      </c>
      <c r="AD14" t="s">
        <v>37</v>
      </c>
      <c r="AE14">
        <v>7</v>
      </c>
      <c r="AF14" s="43">
        <f>AVERAGE(AF99:AF101)</f>
        <v>61.976807031448239</v>
      </c>
      <c r="AG14" s="43">
        <v>3</v>
      </c>
      <c r="AH14" s="43"/>
      <c r="AI14" s="28"/>
      <c r="AJ14" s="43"/>
      <c r="AK14" s="2"/>
      <c r="AL14" s="2"/>
      <c r="AM14" s="43"/>
      <c r="AN14" s="28"/>
    </row>
    <row r="15" spans="1:55" ht="15.75">
      <c r="A15" s="85">
        <v>45860</v>
      </c>
      <c r="B15">
        <v>7</v>
      </c>
      <c r="C15" t="s">
        <v>2076</v>
      </c>
      <c r="D15">
        <v>2797.3</v>
      </c>
      <c r="G15">
        <v>2796.7405400000002</v>
      </c>
      <c r="H15">
        <v>325.72879999999998</v>
      </c>
      <c r="I15">
        <v>0.46875555555555554</v>
      </c>
      <c r="J15">
        <v>325.26004444444442</v>
      </c>
      <c r="K15">
        <v>2825.3147975648412</v>
      </c>
      <c r="L15" s="391">
        <v>101.02169855072938</v>
      </c>
      <c r="M15">
        <v>2710.6809199370891</v>
      </c>
      <c r="N15">
        <v>96.922860063990385</v>
      </c>
      <c r="O15">
        <v>128</v>
      </c>
      <c r="P15">
        <v>41.7</v>
      </c>
      <c r="Q15">
        <v>100</v>
      </c>
      <c r="R15">
        <v>3</v>
      </c>
      <c r="S15" t="s">
        <v>196</v>
      </c>
      <c r="T15" t="s">
        <v>196</v>
      </c>
      <c r="U15" s="577"/>
      <c r="X15" s="43"/>
      <c r="Y15" s="425">
        <f>SQRT(SUM(Y9:Y14)/(6-2))</f>
        <v>11.422982806523326</v>
      </c>
      <c r="Z15" s="51" t="s">
        <v>2044</v>
      </c>
      <c r="AA15" s="43"/>
      <c r="AC15">
        <v>2023</v>
      </c>
      <c r="AD15" t="s">
        <v>37</v>
      </c>
      <c r="AE15">
        <v>8</v>
      </c>
      <c r="AF15" s="43">
        <f>AVERAGE(AF103:AF105)</f>
        <v>62.602120009255792</v>
      </c>
      <c r="AG15" s="43">
        <v>3</v>
      </c>
      <c r="AH15" s="43"/>
      <c r="AI15" s="28"/>
      <c r="AJ15" s="43"/>
      <c r="AK15" s="51" t="s">
        <v>1745</v>
      </c>
      <c r="AL15" s="16">
        <f>AVERAGE(AF80:AF83,AF85:AF87,AF89:AF91,AF92:AF97,AF99:AF101,AF103:AF118,AF120:AF149,AF151:AF181)</f>
        <v>69.859108785939981</v>
      </c>
      <c r="AM15" s="43"/>
      <c r="AN15" s="28"/>
    </row>
    <row r="16" spans="1:55" ht="15.75">
      <c r="A16" s="85">
        <v>45860</v>
      </c>
      <c r="B16">
        <v>8</v>
      </c>
      <c r="C16" t="s">
        <v>2077</v>
      </c>
      <c r="D16">
        <v>3326.5</v>
      </c>
      <c r="G16">
        <v>3325.8346999999999</v>
      </c>
      <c r="H16">
        <v>378.29259999999999</v>
      </c>
      <c r="I16">
        <v>0.46875555555555554</v>
      </c>
      <c r="J16">
        <v>377.82384444444443</v>
      </c>
      <c r="K16">
        <v>3283.439009515313</v>
      </c>
      <c r="L16" s="391">
        <v>98.725261646807439</v>
      </c>
      <c r="M16">
        <v>3148.7417644000375</v>
      </c>
      <c r="N16">
        <v>94.675233390283566</v>
      </c>
      <c r="O16">
        <v>128</v>
      </c>
      <c r="P16">
        <v>41.7</v>
      </c>
      <c r="Q16">
        <v>100</v>
      </c>
      <c r="R16">
        <v>3</v>
      </c>
      <c r="S16" t="s">
        <v>196</v>
      </c>
      <c r="T16" t="s">
        <v>196</v>
      </c>
      <c r="U16" s="577"/>
      <c r="X16" s="43"/>
      <c r="Y16" s="425">
        <f>(Y15/12.01)*100.09</f>
        <v>95.197864205238943</v>
      </c>
      <c r="Z16" s="51" t="s">
        <v>2046</v>
      </c>
      <c r="AA16" s="43"/>
      <c r="AC16">
        <v>2023</v>
      </c>
      <c r="AD16" t="s">
        <v>37</v>
      </c>
      <c r="AE16">
        <v>9</v>
      </c>
      <c r="AF16" s="43">
        <f>AVERAGE(AF106:AF107)</f>
        <v>65.52842043529958</v>
      </c>
      <c r="AG16" s="43">
        <v>2</v>
      </c>
      <c r="AH16" s="43"/>
      <c r="AI16" s="28"/>
      <c r="AJ16" s="43"/>
      <c r="AK16" s="51" t="s">
        <v>1725</v>
      </c>
      <c r="AL16" s="2">
        <f>_xlfn.STDEV.P(AF80:AF83,AF85:AF87,AF89:AF91,AF92:AF97,AF99:AF101,AF103:AF118,AF120:AF149,AF151:AF181)</f>
        <v>7.3479039501476615</v>
      </c>
      <c r="AM16" s="43"/>
      <c r="AN16" s="28"/>
    </row>
    <row r="17" spans="1:40" ht="15.75">
      <c r="A17" s="85">
        <v>45860</v>
      </c>
      <c r="B17">
        <v>9</v>
      </c>
      <c r="C17" t="s">
        <v>2045</v>
      </c>
      <c r="H17">
        <v>0.75190000000000001</v>
      </c>
      <c r="I17">
        <v>0.46875555555555554</v>
      </c>
      <c r="J17">
        <v>0.28314444444444448</v>
      </c>
      <c r="K17">
        <v>-7.0486581709921632</v>
      </c>
      <c r="L17" s="391" t="e">
        <v>#DIV/0!</v>
      </c>
      <c r="M17">
        <v>2.3596942085299291</v>
      </c>
      <c r="N17" t="e">
        <v>#DIV/0!</v>
      </c>
      <c r="O17">
        <v>128</v>
      </c>
      <c r="P17">
        <v>41.7</v>
      </c>
      <c r="Q17">
        <v>100</v>
      </c>
      <c r="R17">
        <v>3</v>
      </c>
      <c r="S17" t="s">
        <v>196</v>
      </c>
      <c r="T17" t="s">
        <v>196</v>
      </c>
      <c r="X17" s="43"/>
      <c r="Y17" s="43"/>
      <c r="Z17" s="43"/>
      <c r="AA17" s="43"/>
      <c r="AC17">
        <v>2023</v>
      </c>
      <c r="AD17" t="s">
        <v>37</v>
      </c>
      <c r="AE17">
        <v>10</v>
      </c>
      <c r="AF17" s="43">
        <f>AVERAGE(AF108:AF109)</f>
        <v>72.325832437534103</v>
      </c>
      <c r="AG17" s="43">
        <v>2</v>
      </c>
      <c r="AH17" s="43"/>
      <c r="AI17" s="28"/>
      <c r="AJ17" s="43"/>
      <c r="AK17" s="51" t="s">
        <v>1500</v>
      </c>
      <c r="AL17" s="2">
        <f>COUNT(AF80:AF83,AF85:AF87,AF89:AF91,AF92:AF97,AF99:AF101,AF103:AF118,AF120:AF149,AF151:AF181)</f>
        <v>96</v>
      </c>
      <c r="AM17" s="43"/>
      <c r="AN17" s="28"/>
    </row>
    <row r="18" spans="1:40">
      <c r="A18" s="85">
        <v>45860</v>
      </c>
      <c r="B18">
        <v>10</v>
      </c>
      <c r="C18" t="s">
        <v>2047</v>
      </c>
      <c r="H18">
        <v>0.41160000000000002</v>
      </c>
      <c r="I18">
        <v>0.46875555555555554</v>
      </c>
      <c r="J18">
        <v>-5.7155555555555515E-2</v>
      </c>
      <c r="K18">
        <v>-10.014571391245369</v>
      </c>
      <c r="L18" s="391" t="e">
        <v>#DIV/0!</v>
      </c>
      <c r="M18">
        <v>-0.47632802294384274</v>
      </c>
      <c r="N18" t="e">
        <v>#DIV/0!</v>
      </c>
      <c r="O18">
        <v>128</v>
      </c>
      <c r="P18">
        <v>41.7</v>
      </c>
      <c r="Q18">
        <v>100</v>
      </c>
      <c r="R18">
        <v>3</v>
      </c>
      <c r="S18" t="s">
        <v>196</v>
      </c>
      <c r="T18" t="s">
        <v>196</v>
      </c>
      <c r="AA18" s="43"/>
      <c r="AC18">
        <v>2023</v>
      </c>
      <c r="AD18" t="s">
        <v>37</v>
      </c>
      <c r="AE18">
        <v>11</v>
      </c>
      <c r="AF18" s="43">
        <f>AVERAGE(AF110:AF111)</f>
        <v>71.912612812938164</v>
      </c>
      <c r="AG18" s="43">
        <v>2</v>
      </c>
      <c r="AH18" s="43"/>
      <c r="AI18" s="43"/>
      <c r="AJ18" s="43"/>
      <c r="AK18" s="43"/>
      <c r="AL18" s="43"/>
      <c r="AM18" s="43"/>
      <c r="AN18" s="28"/>
    </row>
    <row r="19" spans="1:40">
      <c r="A19" s="85">
        <v>45860</v>
      </c>
      <c r="B19">
        <v>11</v>
      </c>
      <c r="C19" t="s">
        <v>2059</v>
      </c>
      <c r="D19">
        <v>986.4</v>
      </c>
      <c r="H19">
        <v>93.436899999999994</v>
      </c>
      <c r="I19">
        <v>0.46875555555555554</v>
      </c>
      <c r="J19">
        <v>92.968144444444434</v>
      </c>
      <c r="K19">
        <v>800.75524079805973</v>
      </c>
      <c r="L19" s="391">
        <v>81.17956617985196</v>
      </c>
      <c r="M19">
        <v>774.78614300120273</v>
      </c>
      <c r="N19">
        <v>78.546851480251703</v>
      </c>
      <c r="O19">
        <v>128</v>
      </c>
      <c r="P19">
        <v>41.7</v>
      </c>
      <c r="Q19">
        <v>100</v>
      </c>
      <c r="R19">
        <v>3</v>
      </c>
      <c r="S19" t="s">
        <v>196</v>
      </c>
      <c r="T19" t="s">
        <v>196</v>
      </c>
      <c r="AA19" s="43"/>
      <c r="AC19">
        <v>2023</v>
      </c>
      <c r="AD19" t="s">
        <v>37</v>
      </c>
      <c r="AE19">
        <v>12</v>
      </c>
      <c r="AF19" s="193">
        <f>AVERAGE(AF112:AF113)</f>
        <v>67.729120382894621</v>
      </c>
      <c r="AG19" s="43">
        <v>2</v>
      </c>
      <c r="AH19" s="43"/>
      <c r="AI19" s="28"/>
      <c r="AL19" t="s">
        <v>2461</v>
      </c>
      <c r="AN19" s="28"/>
    </row>
    <row r="20" spans="1:40">
      <c r="A20" s="85">
        <v>45860</v>
      </c>
      <c r="B20">
        <v>12</v>
      </c>
      <c r="C20" t="s">
        <v>2060</v>
      </c>
      <c r="D20">
        <v>2019.1</v>
      </c>
      <c r="H20">
        <v>191.7878</v>
      </c>
      <c r="I20">
        <v>0.46875555555555554</v>
      </c>
      <c r="J20">
        <v>191.31904444444444</v>
      </c>
      <c r="K20">
        <v>1657.9407669038519</v>
      </c>
      <c r="L20" s="391">
        <v>82.112860527158233</v>
      </c>
      <c r="M20">
        <v>1594.4315702285135</v>
      </c>
      <c r="N20">
        <v>78.967439464539325</v>
      </c>
      <c r="O20">
        <v>128</v>
      </c>
      <c r="P20">
        <v>41.7</v>
      </c>
      <c r="Q20">
        <v>100</v>
      </c>
      <c r="R20">
        <v>3</v>
      </c>
      <c r="S20" t="s">
        <v>196</v>
      </c>
      <c r="T20" t="s">
        <v>196</v>
      </c>
      <c r="AA20" s="43"/>
      <c r="AC20">
        <v>2023</v>
      </c>
      <c r="AD20" t="s">
        <v>37</v>
      </c>
      <c r="AE20">
        <v>13</v>
      </c>
      <c r="AF20" s="43">
        <f>AVERAGE(AF114:AF115)</f>
        <v>60.136488722574157</v>
      </c>
      <c r="AG20" s="43">
        <v>2</v>
      </c>
      <c r="AH20" s="43"/>
      <c r="AK20" t="s">
        <v>1745</v>
      </c>
      <c r="AL20">
        <f>AVERAGE(L12:L16,L36,L45:L49,L67,L76:L80,L97,L106:L110,L129,L138:L142,L163,L172:L176,L197,L206:L210,L231,L240:L244,L265,L274:L278,L299,L308:L312,L333,L342:L346,L367)</f>
        <v>99.722040024207487</v>
      </c>
      <c r="AN20" s="28"/>
    </row>
    <row r="21" spans="1:40">
      <c r="A21" s="482">
        <v>45860</v>
      </c>
      <c r="B21" s="391">
        <v>13</v>
      </c>
      <c r="C21" s="391" t="s">
        <v>2061</v>
      </c>
      <c r="D21" s="391">
        <v>1038.3</v>
      </c>
      <c r="E21" s="391"/>
      <c r="F21" s="391"/>
      <c r="G21" s="391"/>
      <c r="H21" s="391">
        <v>14.908300000000001</v>
      </c>
      <c r="I21" s="391">
        <v>0.46875555555555554</v>
      </c>
      <c r="J21" s="391">
        <v>14.439544444444445</v>
      </c>
      <c r="K21" s="391">
        <v>116.33263454482473</v>
      </c>
      <c r="L21" s="391">
        <v>11.204144712012399</v>
      </c>
      <c r="M21" s="391">
        <v>120.33755232676475</v>
      </c>
      <c r="N21" s="391">
        <v>11.589863462078855</v>
      </c>
      <c r="O21">
        <v>128</v>
      </c>
      <c r="P21">
        <v>41.7</v>
      </c>
      <c r="Q21">
        <v>100</v>
      </c>
      <c r="R21">
        <v>3</v>
      </c>
      <c r="S21" t="s">
        <v>196</v>
      </c>
      <c r="T21" t="s">
        <v>196</v>
      </c>
      <c r="AA21" s="43"/>
      <c r="AC21">
        <v>2023</v>
      </c>
      <c r="AD21" t="s">
        <v>37</v>
      </c>
      <c r="AE21">
        <v>14</v>
      </c>
      <c r="AF21" s="43">
        <f>AVERAGE(AF116:AF117)</f>
        <v>61.662020080257655</v>
      </c>
      <c r="AG21" s="43">
        <v>2</v>
      </c>
      <c r="AH21" s="43"/>
      <c r="AI21" s="28"/>
      <c r="AK21" t="s">
        <v>1725</v>
      </c>
      <c r="AL21">
        <f>_xlfn.STDEV.P(L45:L49,L67,L76:L80,L97,L106:L110,L129,L138:L142,L163,L172:L176,L197,L206:L210,L231,L240:L244,L265,L274:L278,L299,L308:L312,L333,L342:L346,L367)</f>
        <v>0.91813350372778957</v>
      </c>
      <c r="AN21" s="28"/>
    </row>
    <row r="22" spans="1:40">
      <c r="A22" s="482">
        <v>45860</v>
      </c>
      <c r="B22" s="391">
        <v>14</v>
      </c>
      <c r="C22" s="391" t="s">
        <v>2062</v>
      </c>
      <c r="D22" s="391">
        <v>2147.4</v>
      </c>
      <c r="E22" s="391"/>
      <c r="F22" s="391"/>
      <c r="G22" s="391"/>
      <c r="H22" s="391">
        <v>28.827500000000001</v>
      </c>
      <c r="I22" s="391">
        <v>0.46875555555555554</v>
      </c>
      <c r="J22" s="391">
        <v>28.358744444444444</v>
      </c>
      <c r="K22" s="391">
        <v>237.64659074625999</v>
      </c>
      <c r="L22" s="391">
        <v>11.066712803681661</v>
      </c>
      <c r="M22" s="391">
        <v>236.33861211027849</v>
      </c>
      <c r="N22" s="391">
        <v>11.005802929602238</v>
      </c>
      <c r="O22">
        <v>128</v>
      </c>
      <c r="P22">
        <v>41.7</v>
      </c>
      <c r="Q22">
        <v>100</v>
      </c>
      <c r="R22">
        <v>3</v>
      </c>
      <c r="S22" t="s">
        <v>196</v>
      </c>
      <c r="T22" t="s">
        <v>196</v>
      </c>
      <c r="AA22" s="43"/>
      <c r="AC22">
        <v>2023</v>
      </c>
      <c r="AD22" t="s">
        <v>37</v>
      </c>
      <c r="AE22">
        <v>15</v>
      </c>
      <c r="AF22" s="43">
        <f>AVERAGE(AF118,AF120,AF121)</f>
        <v>67.998087030381555</v>
      </c>
      <c r="AG22" s="43">
        <v>3</v>
      </c>
      <c r="AH22" s="43"/>
      <c r="AI22" s="28"/>
      <c r="AK22" t="s">
        <v>1500</v>
      </c>
      <c r="AL22">
        <f>COUNT(L45:L49,L67,L76:L80,L97,L106:L110,L129,L138:L142,L163,L172:L176,L197,L206:L210,L231,L240:L244,L265,L274:L278,L299,L308:L312,L333,L342:L346,L367)</f>
        <v>60</v>
      </c>
      <c r="AN22" s="28"/>
    </row>
    <row r="23" spans="1:40">
      <c r="A23" s="85">
        <v>45860</v>
      </c>
      <c r="B23">
        <v>15</v>
      </c>
      <c r="C23" t="s">
        <v>2049</v>
      </c>
      <c r="H23">
        <v>0.31790000000000002</v>
      </c>
      <c r="I23">
        <v>0.46875555555555554</v>
      </c>
      <c r="J23">
        <v>-0.15085555555555552</v>
      </c>
      <c r="K23">
        <v>-10.831221607929839</v>
      </c>
      <c r="L23" s="391" t="e">
        <v>#DIV/0!</v>
      </c>
      <c r="M23">
        <v>-1.2572133684892217</v>
      </c>
      <c r="N23" t="e">
        <v>#DIV/0!</v>
      </c>
      <c r="O23">
        <v>128</v>
      </c>
      <c r="P23">
        <v>41.7</v>
      </c>
      <c r="Q23">
        <v>100</v>
      </c>
      <c r="R23">
        <v>3</v>
      </c>
      <c r="S23" t="s">
        <v>196</v>
      </c>
      <c r="T23" t="s">
        <v>196</v>
      </c>
      <c r="AA23" s="43"/>
      <c r="AC23">
        <v>2023</v>
      </c>
      <c r="AD23" t="s">
        <v>37</v>
      </c>
      <c r="AE23">
        <v>16</v>
      </c>
      <c r="AF23" s="43">
        <f>AVERAGE(AF122:AF123)</f>
        <v>64.405270595948735</v>
      </c>
      <c r="AG23" s="43">
        <v>2</v>
      </c>
      <c r="AH23" s="43"/>
      <c r="AI23" s="28"/>
      <c r="AN23" s="28"/>
    </row>
    <row r="24" spans="1:40">
      <c r="A24" s="85">
        <v>45860</v>
      </c>
      <c r="B24">
        <v>16</v>
      </c>
      <c r="C24" t="s">
        <v>2063</v>
      </c>
      <c r="D24">
        <v>2089.3000000000002</v>
      </c>
      <c r="H24">
        <v>159.6019</v>
      </c>
      <c r="I24">
        <v>0.46875555555555554</v>
      </c>
      <c r="J24">
        <v>159.13314444444444</v>
      </c>
      <c r="K24">
        <v>1377.421853251934</v>
      </c>
      <c r="L24" s="391">
        <v>65.927432788586316</v>
      </c>
      <c r="M24">
        <v>1326.1978707280969</v>
      </c>
      <c r="N24">
        <v>63.475703380466982</v>
      </c>
      <c r="O24">
        <v>128</v>
      </c>
      <c r="P24">
        <v>41.7</v>
      </c>
      <c r="Q24">
        <v>100</v>
      </c>
      <c r="R24">
        <v>3</v>
      </c>
      <c r="S24" t="s">
        <v>196</v>
      </c>
      <c r="T24" t="s">
        <v>196</v>
      </c>
      <c r="AA24" s="43"/>
      <c r="AC24">
        <v>2023</v>
      </c>
      <c r="AD24" t="s">
        <v>37</v>
      </c>
      <c r="AE24">
        <v>17</v>
      </c>
      <c r="AF24" s="43">
        <f>AVERAGE(AF124:AF125)</f>
        <v>65.151881742527905</v>
      </c>
      <c r="AG24" s="43">
        <v>2</v>
      </c>
      <c r="AH24" s="43"/>
      <c r="AI24" s="28"/>
      <c r="AJ24" s="28"/>
      <c r="AK24" s="28"/>
      <c r="AL24" s="28" t="s">
        <v>2462</v>
      </c>
      <c r="AM24" s="28"/>
      <c r="AN24" s="28"/>
    </row>
    <row r="25" spans="1:40">
      <c r="A25" s="85">
        <v>45860</v>
      </c>
      <c r="B25">
        <v>17</v>
      </c>
      <c r="C25" t="s">
        <v>2064</v>
      </c>
      <c r="D25">
        <v>2460.5</v>
      </c>
      <c r="H25">
        <v>178.40870000000001</v>
      </c>
      <c r="I25">
        <v>0.46875555555555554</v>
      </c>
      <c r="J25">
        <v>177.93994444444445</v>
      </c>
      <c r="K25">
        <v>1541.3340975970941</v>
      </c>
      <c r="L25" s="391">
        <v>62.643125283360867</v>
      </c>
      <c r="M25">
        <v>1482.9316435840503</v>
      </c>
      <c r="N25">
        <v>60.269524226134948</v>
      </c>
      <c r="O25">
        <v>128</v>
      </c>
      <c r="P25">
        <v>41.7</v>
      </c>
      <c r="Q25">
        <v>100</v>
      </c>
      <c r="R25">
        <v>3</v>
      </c>
      <c r="S25" t="s">
        <v>196</v>
      </c>
      <c r="T25" t="s">
        <v>196</v>
      </c>
      <c r="AA25" s="43"/>
      <c r="AC25">
        <v>2023</v>
      </c>
      <c r="AD25" t="s">
        <v>37</v>
      </c>
      <c r="AE25">
        <v>18</v>
      </c>
      <c r="AF25" s="43">
        <f>AVERAGE(AF126:AF127)</f>
        <v>73.886917490251321</v>
      </c>
      <c r="AG25" s="43">
        <v>2</v>
      </c>
      <c r="AH25" s="43"/>
      <c r="AI25" s="28"/>
      <c r="AJ25" s="28"/>
      <c r="AK25" t="s">
        <v>1745</v>
      </c>
      <c r="AL25" s="28">
        <f>AVERAGE(L21:L22,L54:L55,L85:L86,L115:L116,L147:L148,L181:L182,L215:L216,L249:L250,L283:L284,L317:L318,L351:L352)</f>
        <v>12.600036631922386</v>
      </c>
      <c r="AM25" s="28"/>
      <c r="AN25" s="28"/>
    </row>
    <row r="26" spans="1:40">
      <c r="A26" s="85">
        <v>45860</v>
      </c>
      <c r="B26">
        <v>18</v>
      </c>
      <c r="C26" t="s">
        <v>2065</v>
      </c>
      <c r="D26">
        <v>2136</v>
      </c>
      <c r="H26">
        <v>166.9709</v>
      </c>
      <c r="I26">
        <v>0.46875555555555554</v>
      </c>
      <c r="J26">
        <v>166.50214444444444</v>
      </c>
      <c r="K26">
        <v>1441.6469914242698</v>
      </c>
      <c r="L26" s="391">
        <v>67.492836677166196</v>
      </c>
      <c r="M26">
        <v>1387.610294541586</v>
      </c>
      <c r="N26">
        <v>64.963028770673503</v>
      </c>
      <c r="O26">
        <v>128</v>
      </c>
      <c r="P26">
        <v>41.7</v>
      </c>
      <c r="Q26">
        <v>100</v>
      </c>
      <c r="R26">
        <v>3</v>
      </c>
      <c r="S26" t="s">
        <v>196</v>
      </c>
      <c r="T26" t="s">
        <v>196</v>
      </c>
      <c r="AA26" s="43"/>
      <c r="AC26">
        <v>2023</v>
      </c>
      <c r="AD26" t="s">
        <v>37</v>
      </c>
      <c r="AE26">
        <v>19</v>
      </c>
      <c r="AF26" s="43">
        <f>AVERAGE(AF128:AF129)</f>
        <v>78.230438867579466</v>
      </c>
      <c r="AG26" s="43">
        <v>2</v>
      </c>
      <c r="AH26" s="43"/>
      <c r="AI26" s="28"/>
      <c r="AJ26" s="28"/>
      <c r="AK26" t="s">
        <v>1725</v>
      </c>
      <c r="AL26" s="28">
        <f>_xlfn.STDEV.P(L21:L22,L54:L55,L85:L86,L115:L116,L147:L148,L181:L182,L215:L216,L249:L250,L283:L284,L317:L318,L351:L352)</f>
        <v>0.77453991298806835</v>
      </c>
      <c r="AM26" s="28"/>
      <c r="AN26" s="28"/>
    </row>
    <row r="27" spans="1:40">
      <c r="A27" s="85">
        <v>45860</v>
      </c>
      <c r="B27">
        <v>19</v>
      </c>
      <c r="C27" t="s">
        <v>2066</v>
      </c>
      <c r="D27">
        <v>2084.8000000000002</v>
      </c>
      <c r="H27">
        <v>154.42920000000001</v>
      </c>
      <c r="I27">
        <v>0.46875555555555554</v>
      </c>
      <c r="J27">
        <v>153.96044444444445</v>
      </c>
      <c r="K27">
        <v>1332.3387521223315</v>
      </c>
      <c r="L27" s="391">
        <v>63.907269384225408</v>
      </c>
      <c r="M27">
        <v>1283.089166065316</v>
      </c>
      <c r="N27">
        <v>61.544952324698571</v>
      </c>
      <c r="O27">
        <v>128</v>
      </c>
      <c r="P27">
        <v>41.7</v>
      </c>
      <c r="Q27">
        <v>100</v>
      </c>
      <c r="R27">
        <v>3</v>
      </c>
      <c r="S27" t="s">
        <v>196</v>
      </c>
      <c r="T27" t="s">
        <v>196</v>
      </c>
      <c r="AA27" s="43"/>
      <c r="AC27">
        <v>2023</v>
      </c>
      <c r="AD27" t="s">
        <v>37</v>
      </c>
      <c r="AE27">
        <v>20</v>
      </c>
      <c r="AF27" s="43">
        <f>AVERAGE(AF130:AF131)</f>
        <v>76.003566282960719</v>
      </c>
      <c r="AG27" s="43">
        <v>2</v>
      </c>
      <c r="AH27" s="43"/>
      <c r="AI27" s="28"/>
      <c r="AJ27" s="28"/>
      <c r="AK27" t="s">
        <v>1500</v>
      </c>
      <c r="AL27" s="28">
        <f>COUNT(L21:L22,L54:L55,L85:L86,L115:L116,L147:L148,L181:L182,L215:L216,L249:L250,L283:L284,L317:L318,L351:L352)</f>
        <v>22</v>
      </c>
      <c r="AM27" s="28"/>
      <c r="AN27" s="28"/>
    </row>
    <row r="28" spans="1:40" ht="15.75" thickBot="1">
      <c r="A28" s="285">
        <v>45860</v>
      </c>
      <c r="B28" s="284">
        <v>20</v>
      </c>
      <c r="C28" s="284" t="s">
        <v>2067</v>
      </c>
      <c r="D28" s="284">
        <v>2658.7</v>
      </c>
      <c r="E28" s="284"/>
      <c r="F28" s="284"/>
      <c r="G28" s="284"/>
      <c r="H28" s="284">
        <v>164.9658</v>
      </c>
      <c r="I28" s="284">
        <v>0.46875555555555554</v>
      </c>
      <c r="J28" s="284">
        <v>164.49704444444444</v>
      </c>
      <c r="K28" s="284">
        <v>1424.1713740339385</v>
      </c>
      <c r="L28" s="284">
        <v>53.566456314512301</v>
      </c>
      <c r="M28" s="284">
        <v>1370.9000148579887</v>
      </c>
      <c r="N28" s="284">
        <v>51.562794405460892</v>
      </c>
      <c r="O28">
        <v>128</v>
      </c>
      <c r="P28">
        <v>41.7</v>
      </c>
      <c r="Q28">
        <v>100</v>
      </c>
      <c r="R28">
        <v>3</v>
      </c>
      <c r="S28" t="s">
        <v>196</v>
      </c>
      <c r="T28" t="s">
        <v>196</v>
      </c>
      <c r="U28" s="471">
        <f>(L28-L33)/AVERAGE(L28,L33)</f>
        <v>-0.154953506715098</v>
      </c>
      <c r="AA28" s="43"/>
      <c r="AC28" s="268">
        <v>2023</v>
      </c>
      <c r="AD28" s="268" t="s">
        <v>37</v>
      </c>
      <c r="AE28" s="268">
        <v>21</v>
      </c>
      <c r="AF28" s="426">
        <f>AVERAGE(AF132:AF133)</f>
        <v>80.171065139205055</v>
      </c>
      <c r="AG28" s="426">
        <v>2</v>
      </c>
      <c r="AH28" s="426"/>
      <c r="AI28" s="427"/>
      <c r="AJ28" s="28"/>
      <c r="AK28" s="28"/>
      <c r="AL28" s="28"/>
      <c r="AM28" s="28"/>
      <c r="AN28" s="28"/>
    </row>
    <row r="29" spans="1:40">
      <c r="A29" s="85">
        <v>45860</v>
      </c>
      <c r="B29">
        <v>21</v>
      </c>
      <c r="C29" t="s">
        <v>2050</v>
      </c>
      <c r="H29">
        <v>1.0059</v>
      </c>
      <c r="I29">
        <v>0.46875555555555554</v>
      </c>
      <c r="J29">
        <v>0.53714444444444442</v>
      </c>
      <c r="K29">
        <v>-4.8348998461484536</v>
      </c>
      <c r="L29" s="391" t="e">
        <v>#DIV/0!</v>
      </c>
      <c r="M29">
        <v>4.4765018688130258</v>
      </c>
      <c r="N29" t="e">
        <v>#DIV/0!</v>
      </c>
      <c r="O29">
        <v>128</v>
      </c>
      <c r="P29">
        <v>41.7</v>
      </c>
      <c r="Q29">
        <v>100</v>
      </c>
      <c r="R29">
        <v>3</v>
      </c>
      <c r="S29" t="s">
        <v>196</v>
      </c>
      <c r="T29" t="s">
        <v>196</v>
      </c>
      <c r="AA29" s="43"/>
      <c r="AC29">
        <v>2023</v>
      </c>
      <c r="AD29" t="s">
        <v>40</v>
      </c>
      <c r="AE29">
        <v>1</v>
      </c>
      <c r="AF29" s="43">
        <f>AVERAGE(AF134:AF135)</f>
        <v>67.400786735375078</v>
      </c>
      <c r="AG29" s="43">
        <v>2</v>
      </c>
      <c r="AH29" s="43"/>
      <c r="AI29" s="28"/>
      <c r="AJ29" s="28"/>
      <c r="AK29" s="28"/>
      <c r="AL29" s="28"/>
      <c r="AM29" s="28"/>
      <c r="AN29" s="28"/>
    </row>
    <row r="30" spans="1:40" ht="15.75" thickBot="1">
      <c r="A30" s="85">
        <v>45860</v>
      </c>
      <c r="B30">
        <v>22</v>
      </c>
      <c r="C30" t="s">
        <v>2068</v>
      </c>
      <c r="D30">
        <v>2447.8000000000002</v>
      </c>
      <c r="H30">
        <v>175.4041</v>
      </c>
      <c r="I30">
        <v>0.46875555555555554</v>
      </c>
      <c r="J30">
        <v>174.93534444444444</v>
      </c>
      <c r="K30">
        <v>1515.1472540426632</v>
      </c>
      <c r="L30" s="391">
        <v>61.898327234359961</v>
      </c>
      <c r="M30">
        <v>1457.8916424183551</v>
      </c>
      <c r="N30">
        <v>59.559263110481041</v>
      </c>
      <c r="O30">
        <v>128</v>
      </c>
      <c r="P30">
        <v>41.7</v>
      </c>
      <c r="Q30">
        <v>100</v>
      </c>
      <c r="R30">
        <v>3</v>
      </c>
      <c r="S30" t="s">
        <v>196</v>
      </c>
      <c r="T30" t="s">
        <v>196</v>
      </c>
      <c r="AA30" s="43"/>
      <c r="AC30" s="268">
        <v>2023</v>
      </c>
      <c r="AD30" s="268" t="s">
        <v>40</v>
      </c>
      <c r="AE30" s="268">
        <v>2</v>
      </c>
      <c r="AF30" s="426">
        <f>AVERAGE(AF136:AF137)</f>
        <v>42.643121428578624</v>
      </c>
      <c r="AG30" s="426">
        <v>2</v>
      </c>
      <c r="AH30" s="483"/>
      <c r="AI30" s="427"/>
      <c r="AJ30" s="28"/>
      <c r="AK30" s="28"/>
      <c r="AL30" s="28"/>
      <c r="AM30" s="28"/>
      <c r="AN30" s="28"/>
    </row>
    <row r="31" spans="1:40">
      <c r="A31" s="85">
        <v>45860</v>
      </c>
      <c r="B31">
        <v>23</v>
      </c>
      <c r="C31" t="s">
        <v>2069</v>
      </c>
      <c r="D31">
        <v>2339.6999999999998</v>
      </c>
      <c r="H31">
        <v>179.0675</v>
      </c>
      <c r="I31">
        <v>0.46875555555555554</v>
      </c>
      <c r="J31">
        <v>178.59874444444443</v>
      </c>
      <c r="K31">
        <v>1547.075924307358</v>
      </c>
      <c r="L31" s="391">
        <v>66.122833025916066</v>
      </c>
      <c r="M31">
        <v>1488.4220092793043</v>
      </c>
      <c r="N31">
        <v>63.615934063311734</v>
      </c>
      <c r="O31">
        <v>128</v>
      </c>
      <c r="P31">
        <v>41.7</v>
      </c>
      <c r="Q31">
        <v>100</v>
      </c>
      <c r="R31">
        <v>3</v>
      </c>
      <c r="S31" t="s">
        <v>196</v>
      </c>
      <c r="T31" t="s">
        <v>196</v>
      </c>
      <c r="AA31" s="43"/>
      <c r="AC31">
        <v>2023</v>
      </c>
      <c r="AD31" t="s">
        <v>41</v>
      </c>
      <c r="AE31">
        <v>1</v>
      </c>
      <c r="AF31" s="43">
        <f>AVERAGE(AF138:AF139)</f>
        <v>64.111804256835711</v>
      </c>
      <c r="AG31" s="43">
        <v>2</v>
      </c>
      <c r="AH31" s="43"/>
      <c r="AI31" s="28"/>
      <c r="AJ31" s="28"/>
      <c r="AK31" s="28"/>
      <c r="AL31" s="28"/>
      <c r="AM31" s="28"/>
      <c r="AN31" s="28"/>
    </row>
    <row r="32" spans="1:40">
      <c r="A32" s="85">
        <v>45860</v>
      </c>
      <c r="B32">
        <v>24</v>
      </c>
      <c r="C32" t="s">
        <v>2070</v>
      </c>
      <c r="D32">
        <v>2739.3</v>
      </c>
      <c r="H32">
        <v>181.8356</v>
      </c>
      <c r="I32">
        <v>0.46875555555555554</v>
      </c>
      <c r="J32">
        <v>181.36684444444444</v>
      </c>
      <c r="K32">
        <v>1571.2015322561763</v>
      </c>
      <c r="L32" s="391">
        <v>57.357775061372472</v>
      </c>
      <c r="M32">
        <v>1511.491045832177</v>
      </c>
      <c r="N32">
        <v>55.178003352395756</v>
      </c>
      <c r="O32">
        <v>128</v>
      </c>
      <c r="P32">
        <v>41.7</v>
      </c>
      <c r="Q32">
        <v>100</v>
      </c>
      <c r="R32">
        <v>3</v>
      </c>
      <c r="S32" t="s">
        <v>196</v>
      </c>
      <c r="T32" t="s">
        <v>196</v>
      </c>
      <c r="AA32" s="43"/>
      <c r="AC32">
        <v>2023</v>
      </c>
      <c r="AD32" t="s">
        <v>41</v>
      </c>
      <c r="AE32">
        <v>2</v>
      </c>
      <c r="AF32" s="43">
        <f>AVERAGE(AF140:AF141)</f>
        <v>73.037669159249134</v>
      </c>
      <c r="AG32" s="43">
        <v>2</v>
      </c>
      <c r="AH32" s="43"/>
      <c r="AI32" s="28"/>
      <c r="AJ32" s="28"/>
      <c r="AK32" s="28"/>
      <c r="AL32" s="28"/>
      <c r="AM32" s="28"/>
      <c r="AN32" s="28"/>
    </row>
    <row r="33" spans="1:40">
      <c r="A33" s="285">
        <v>45860</v>
      </c>
      <c r="B33" s="284">
        <v>25</v>
      </c>
      <c r="C33" s="284" t="s">
        <v>2071</v>
      </c>
      <c r="D33" s="284">
        <v>2845.1</v>
      </c>
      <c r="E33" s="284"/>
      <c r="F33" s="284"/>
      <c r="G33" s="284"/>
      <c r="H33" s="284">
        <v>205.79300000000001</v>
      </c>
      <c r="I33" s="284">
        <v>0.46875555555555554</v>
      </c>
      <c r="J33" s="284">
        <v>205.32424444444445</v>
      </c>
      <c r="K33" s="284">
        <v>1780.0042633255098</v>
      </c>
      <c r="L33" s="284">
        <v>62.563855868880168</v>
      </c>
      <c r="M33" s="284">
        <v>1711.1493444166897</v>
      </c>
      <c r="N33" s="284">
        <v>60.143732888710055</v>
      </c>
      <c r="O33">
        <v>128</v>
      </c>
      <c r="P33">
        <v>41.7</v>
      </c>
      <c r="Q33">
        <v>100</v>
      </c>
      <c r="R33">
        <v>3</v>
      </c>
      <c r="S33" t="s">
        <v>196</v>
      </c>
      <c r="T33" t="s">
        <v>196</v>
      </c>
      <c r="AA33" s="43"/>
      <c r="AC33">
        <v>2023</v>
      </c>
      <c r="AD33" t="s">
        <v>41</v>
      </c>
      <c r="AE33">
        <v>3</v>
      </c>
      <c r="AF33" s="43">
        <f>AVERAGE(AF142:AF143)</f>
        <v>72.444641581025849</v>
      </c>
      <c r="AG33" s="43">
        <v>2</v>
      </c>
      <c r="AH33" s="43"/>
      <c r="AI33" s="28"/>
      <c r="AJ33" s="28"/>
      <c r="AK33" s="28"/>
      <c r="AL33" s="28"/>
      <c r="AM33" s="28"/>
      <c r="AN33" s="28"/>
    </row>
    <row r="34" spans="1:40">
      <c r="A34" s="85">
        <v>45860</v>
      </c>
      <c r="B34">
        <v>26</v>
      </c>
      <c r="C34" t="s">
        <v>2072</v>
      </c>
      <c r="D34">
        <v>2869.3</v>
      </c>
      <c r="H34">
        <v>214.43639999999999</v>
      </c>
      <c r="I34">
        <v>0.46875555555555554</v>
      </c>
      <c r="J34">
        <v>213.96764444444443</v>
      </c>
      <c r="K34">
        <v>1855.3365416914708</v>
      </c>
      <c r="L34" s="391">
        <v>64.66164366540518</v>
      </c>
      <c r="M34">
        <v>1783.1824756406697</v>
      </c>
      <c r="N34">
        <v>62.146951369346873</v>
      </c>
      <c r="O34">
        <v>128</v>
      </c>
      <c r="P34">
        <v>41.7</v>
      </c>
      <c r="Q34">
        <v>100</v>
      </c>
      <c r="R34">
        <v>3</v>
      </c>
      <c r="S34" t="s">
        <v>196</v>
      </c>
      <c r="T34" t="s">
        <v>196</v>
      </c>
      <c r="AA34" s="43"/>
      <c r="AC34">
        <v>2023</v>
      </c>
      <c r="AD34" t="s">
        <v>41</v>
      </c>
      <c r="AE34">
        <v>4</v>
      </c>
      <c r="AF34" s="43">
        <f>AVERAGE(AF144:AF145)</f>
        <v>77.126100462947051</v>
      </c>
      <c r="AG34" s="43">
        <v>2</v>
      </c>
      <c r="AH34" s="43"/>
      <c r="AI34" s="28"/>
      <c r="AJ34" s="28"/>
      <c r="AK34" s="28"/>
      <c r="AL34" s="28"/>
      <c r="AM34" s="28"/>
      <c r="AN34" s="28"/>
    </row>
    <row r="35" spans="1:40">
      <c r="A35" s="85">
        <v>45860</v>
      </c>
      <c r="B35">
        <v>27</v>
      </c>
      <c r="C35" t="s">
        <v>2051</v>
      </c>
      <c r="H35">
        <v>0.36359999999999998</v>
      </c>
      <c r="I35">
        <v>0.46875555555555554</v>
      </c>
      <c r="J35">
        <v>-0.10515555555555556</v>
      </c>
      <c r="K35">
        <v>-10.432919421137095</v>
      </c>
      <c r="L35" s="391" t="e">
        <v>#DIV/0!</v>
      </c>
      <c r="M35">
        <v>-0.87635466740679069</v>
      </c>
      <c r="N35" t="e">
        <v>#DIV/0!</v>
      </c>
      <c r="O35">
        <v>128</v>
      </c>
      <c r="P35">
        <v>41.7</v>
      </c>
      <c r="Q35">
        <v>100</v>
      </c>
      <c r="R35">
        <v>3</v>
      </c>
      <c r="S35" t="s">
        <v>196</v>
      </c>
      <c r="T35" t="s">
        <v>196</v>
      </c>
      <c r="AA35" s="43"/>
      <c r="AC35">
        <v>2023</v>
      </c>
      <c r="AD35" t="s">
        <v>41</v>
      </c>
      <c r="AE35">
        <v>5</v>
      </c>
      <c r="AF35" s="43">
        <f>AVERAGE(AF146:AF147)</f>
        <v>74.410123616801727</v>
      </c>
      <c r="AG35" s="43">
        <v>2</v>
      </c>
      <c r="AH35" s="43"/>
      <c r="AI35" s="28"/>
      <c r="AJ35" s="28"/>
      <c r="AK35" s="28"/>
      <c r="AL35" s="28"/>
      <c r="AM35" s="28"/>
      <c r="AN35" s="28"/>
    </row>
    <row r="36" spans="1:40">
      <c r="A36" s="85">
        <v>45860</v>
      </c>
      <c r="B36">
        <v>28</v>
      </c>
      <c r="C36" t="s">
        <v>2078</v>
      </c>
      <c r="D36">
        <v>1957.4</v>
      </c>
      <c r="G36">
        <v>1957.0085200000001</v>
      </c>
      <c r="H36">
        <v>219.75659999999999</v>
      </c>
      <c r="I36">
        <v>0.46875555555555554</v>
      </c>
      <c r="J36">
        <v>219.28784444444443</v>
      </c>
      <c r="K36">
        <v>1901.7051914545948</v>
      </c>
      <c r="L36" s="391">
        <v>97.174088514167252</v>
      </c>
      <c r="M36">
        <v>1827.5204288463317</v>
      </c>
      <c r="N36">
        <v>93.383365998137393</v>
      </c>
      <c r="O36">
        <v>128</v>
      </c>
      <c r="P36">
        <v>41.7</v>
      </c>
      <c r="Q36">
        <v>100</v>
      </c>
      <c r="R36">
        <v>3</v>
      </c>
      <c r="S36" t="s">
        <v>196</v>
      </c>
      <c r="T36" t="s">
        <v>196</v>
      </c>
      <c r="AA36" s="43"/>
      <c r="AC36">
        <v>2023</v>
      </c>
      <c r="AD36" t="s">
        <v>41</v>
      </c>
      <c r="AE36">
        <v>6</v>
      </c>
      <c r="AF36" s="43">
        <f>AVERAGE(AF148:AF149)</f>
        <v>74.752033588136442</v>
      </c>
      <c r="AG36" s="43">
        <v>2</v>
      </c>
      <c r="AH36" s="43"/>
      <c r="AI36" s="28"/>
      <c r="AJ36" s="28"/>
      <c r="AK36" s="28"/>
      <c r="AL36" s="28"/>
      <c r="AM36" s="28"/>
      <c r="AN36" s="28"/>
    </row>
    <row r="37" spans="1:40">
      <c r="A37" s="85">
        <v>45860</v>
      </c>
      <c r="B37">
        <v>29</v>
      </c>
      <c r="C37" t="s">
        <v>2052</v>
      </c>
      <c r="H37">
        <v>0.50609999999999999</v>
      </c>
      <c r="I37">
        <v>0.46875555555555554</v>
      </c>
      <c r="J37">
        <v>3.7344444444444458E-2</v>
      </c>
      <c r="K37">
        <v>-9.1909487073960356</v>
      </c>
      <c r="L37" s="391" t="e">
        <v>#DIV/0!</v>
      </c>
      <c r="M37">
        <v>0.31122443334258504</v>
      </c>
      <c r="N37" t="e">
        <v>#DIV/0!</v>
      </c>
      <c r="O37">
        <v>128</v>
      </c>
      <c r="P37">
        <v>41.7</v>
      </c>
      <c r="Q37">
        <v>100</v>
      </c>
      <c r="R37">
        <v>3</v>
      </c>
      <c r="S37" t="s">
        <v>196</v>
      </c>
      <c r="T37" t="s">
        <v>196</v>
      </c>
      <c r="AA37" s="43"/>
      <c r="AC37">
        <v>2023</v>
      </c>
      <c r="AD37" t="s">
        <v>41</v>
      </c>
      <c r="AE37">
        <v>7</v>
      </c>
      <c r="AF37" s="43">
        <f>AVERAGE(AF151:AF153)</f>
        <v>74.931311872385535</v>
      </c>
      <c r="AG37" s="43">
        <v>3</v>
      </c>
      <c r="AI37" s="28"/>
      <c r="AJ37" s="28"/>
      <c r="AK37" s="28"/>
      <c r="AL37" s="28"/>
      <c r="AM37" s="28"/>
      <c r="AN37" s="28"/>
    </row>
    <row r="38" spans="1:40">
      <c r="H38"/>
      <c r="AA38" s="43"/>
      <c r="AC38">
        <v>2023</v>
      </c>
      <c r="AD38" t="s">
        <v>41</v>
      </c>
      <c r="AE38">
        <v>8</v>
      </c>
      <c r="AF38" s="43">
        <f>AVERAGE(AF154:AF155)</f>
        <v>74.282443019335858</v>
      </c>
      <c r="AG38" s="43">
        <v>2</v>
      </c>
      <c r="AH38" s="43"/>
      <c r="AI38" s="28"/>
      <c r="AJ38" s="28"/>
      <c r="AK38" s="28"/>
      <c r="AL38" s="28"/>
      <c r="AM38" s="28"/>
      <c r="AN38" s="28"/>
    </row>
    <row r="39" spans="1:40">
      <c r="A39" s="85" t="s">
        <v>2056</v>
      </c>
      <c r="H39"/>
      <c r="AA39" s="43"/>
      <c r="AC39">
        <v>2023</v>
      </c>
      <c r="AD39" t="s">
        <v>41</v>
      </c>
      <c r="AE39">
        <v>9</v>
      </c>
      <c r="AF39" s="43">
        <f>AVERAGE(AF156:AF157)</f>
        <v>76.992719209210293</v>
      </c>
      <c r="AG39" s="43">
        <v>2</v>
      </c>
      <c r="AH39" s="43"/>
      <c r="AI39" s="28"/>
      <c r="AJ39" s="28"/>
      <c r="AK39" s="28"/>
      <c r="AL39" s="28"/>
      <c r="AM39" s="28"/>
      <c r="AN39" s="28"/>
    </row>
    <row r="40" spans="1:40">
      <c r="A40" s="85" t="s">
        <v>2035</v>
      </c>
      <c r="H40"/>
      <c r="AA40" s="43"/>
      <c r="AC40">
        <v>2023</v>
      </c>
      <c r="AD40" t="s">
        <v>41</v>
      </c>
      <c r="AE40">
        <v>10</v>
      </c>
      <c r="AF40" s="43">
        <f>AVERAGE(AF158:AF159)</f>
        <v>77.951479092145476</v>
      </c>
      <c r="AG40" s="43">
        <v>2</v>
      </c>
      <c r="AH40" s="43"/>
      <c r="AI40" s="28"/>
      <c r="AJ40" s="28"/>
      <c r="AK40" s="28"/>
      <c r="AL40" s="28"/>
      <c r="AM40" s="28"/>
      <c r="AN40" s="28"/>
    </row>
    <row r="41" spans="1:40">
      <c r="A41" t="s">
        <v>2079</v>
      </c>
      <c r="H41"/>
      <c r="AA41" s="43"/>
      <c r="AC41">
        <v>2023</v>
      </c>
      <c r="AD41" t="s">
        <v>41</v>
      </c>
      <c r="AE41">
        <v>11</v>
      </c>
      <c r="AF41" s="43">
        <f>AVERAGE(AF160:AF161)</f>
        <v>76.809847280003325</v>
      </c>
      <c r="AG41" s="43">
        <v>2</v>
      </c>
      <c r="AH41" s="43"/>
      <c r="AI41" s="28"/>
      <c r="AJ41" s="28"/>
      <c r="AK41" s="28"/>
      <c r="AL41" s="28"/>
      <c r="AM41" s="28"/>
      <c r="AN41" s="28"/>
    </row>
    <row r="42" spans="1:40">
      <c r="A42" s="85">
        <v>45867</v>
      </c>
      <c r="B42">
        <v>1</v>
      </c>
      <c r="C42" t="s">
        <v>2040</v>
      </c>
      <c r="H42">
        <v>0.32369999999999999</v>
      </c>
      <c r="AA42" s="43"/>
      <c r="AC42">
        <v>2023</v>
      </c>
      <c r="AD42" t="s">
        <v>41</v>
      </c>
      <c r="AE42">
        <v>12</v>
      </c>
      <c r="AF42" s="43">
        <f>AVERAGE(AF162:AF163)</f>
        <v>73.529149351928837</v>
      </c>
      <c r="AG42" s="43">
        <v>2</v>
      </c>
      <c r="AH42" s="43"/>
      <c r="AI42" s="28"/>
      <c r="AJ42" s="28"/>
      <c r="AK42" s="28"/>
      <c r="AL42" s="28"/>
      <c r="AM42" s="28"/>
      <c r="AN42" s="28"/>
    </row>
    <row r="43" spans="1:40">
      <c r="A43" s="85">
        <v>45867</v>
      </c>
      <c r="B43">
        <v>2</v>
      </c>
      <c r="C43" t="s">
        <v>2041</v>
      </c>
      <c r="H43">
        <v>0.22750000000000001</v>
      </c>
      <c r="AA43" s="43"/>
      <c r="AC43">
        <v>2023</v>
      </c>
      <c r="AD43" t="s">
        <v>41</v>
      </c>
      <c r="AE43">
        <v>13</v>
      </c>
      <c r="AF43" s="43">
        <f>AVERAGE(AF164:AF165)</f>
        <v>64.590771084804572</v>
      </c>
      <c r="AG43" s="43">
        <v>2</v>
      </c>
      <c r="AH43" s="43"/>
      <c r="AI43" s="28"/>
      <c r="AJ43" s="28"/>
      <c r="AK43" s="28"/>
      <c r="AL43" s="28"/>
      <c r="AM43" s="28"/>
      <c r="AN43" s="28"/>
    </row>
    <row r="44" spans="1:40">
      <c r="A44" s="85">
        <v>45867</v>
      </c>
      <c r="B44">
        <v>3</v>
      </c>
      <c r="C44" t="s">
        <v>2042</v>
      </c>
      <c r="G44">
        <v>0</v>
      </c>
      <c r="H44">
        <v>0.45219999999999999</v>
      </c>
      <c r="I44">
        <v>0.33857000000000004</v>
      </c>
      <c r="J44">
        <v>0.33857000000000004</v>
      </c>
      <c r="X44" s="43"/>
      <c r="Y44" s="43"/>
      <c r="Z44" s="43"/>
      <c r="AA44" s="43"/>
      <c r="AC44">
        <v>2023</v>
      </c>
      <c r="AD44" t="s">
        <v>41</v>
      </c>
      <c r="AE44">
        <v>14</v>
      </c>
      <c r="AF44" s="43">
        <f>AVERAGE(AF166:AF167)</f>
        <v>60.122097947580741</v>
      </c>
      <c r="AG44" s="43">
        <v>2</v>
      </c>
      <c r="AH44" s="43"/>
      <c r="AI44" s="28"/>
      <c r="AJ44" s="28"/>
      <c r="AK44" s="28"/>
      <c r="AL44" s="28"/>
      <c r="AM44" s="28"/>
      <c r="AN44" s="28"/>
    </row>
    <row r="45" spans="1:40">
      <c r="A45" s="85">
        <v>45867</v>
      </c>
      <c r="B45">
        <v>4</v>
      </c>
      <c r="C45" t="s">
        <v>2086</v>
      </c>
      <c r="D45">
        <v>267.2</v>
      </c>
      <c r="G45">
        <v>267.14656000000002</v>
      </c>
      <c r="H45">
        <v>30.8095</v>
      </c>
      <c r="I45">
        <v>0.33857000000000004</v>
      </c>
      <c r="J45">
        <v>30.470929999999999</v>
      </c>
      <c r="K45">
        <v>264.6856853909465</v>
      </c>
      <c r="L45" s="391">
        <v>99.078829759569615</v>
      </c>
      <c r="M45">
        <v>253.94133086594505</v>
      </c>
      <c r="N45">
        <v>95.056934615195885</v>
      </c>
      <c r="O45">
        <v>128</v>
      </c>
      <c r="P45">
        <v>41.7</v>
      </c>
      <c r="Q45">
        <v>100</v>
      </c>
      <c r="R45">
        <v>3</v>
      </c>
      <c r="S45" t="s">
        <v>196</v>
      </c>
      <c r="T45" t="s">
        <v>196</v>
      </c>
      <c r="U45" s="28" t="s">
        <v>2092</v>
      </c>
      <c r="X45" s="43"/>
      <c r="Y45" s="43"/>
      <c r="Z45" s="43"/>
      <c r="AA45" s="43"/>
      <c r="AC45">
        <v>2023</v>
      </c>
      <c r="AD45" t="s">
        <v>41</v>
      </c>
      <c r="AE45">
        <v>15</v>
      </c>
      <c r="AF45" s="43">
        <f>AVERAGE(AF168:AF169)</f>
        <v>59.931755101875503</v>
      </c>
      <c r="AG45" s="43">
        <v>2</v>
      </c>
      <c r="AH45" s="43"/>
      <c r="AI45" s="28"/>
      <c r="AJ45" s="28"/>
      <c r="AK45" s="28"/>
      <c r="AL45" s="28"/>
      <c r="AM45" s="28"/>
      <c r="AN45" s="28"/>
    </row>
    <row r="46" spans="1:40">
      <c r="A46" s="85">
        <v>45867</v>
      </c>
      <c r="B46">
        <v>5</v>
      </c>
      <c r="C46" t="s">
        <v>2087</v>
      </c>
      <c r="D46">
        <v>1247.2</v>
      </c>
      <c r="G46">
        <v>1246.95056</v>
      </c>
      <c r="H46">
        <v>143.59469999999999</v>
      </c>
      <c r="I46">
        <v>0.33857000000000004</v>
      </c>
      <c r="J46">
        <v>143.25612999999998</v>
      </c>
      <c r="K46">
        <v>1225.5809300947487</v>
      </c>
      <c r="L46" s="391">
        <v>98.286248822467243</v>
      </c>
      <c r="M46">
        <v>1193.8806038051623</v>
      </c>
      <c r="N46">
        <v>95.744020821897081</v>
      </c>
      <c r="O46">
        <v>128</v>
      </c>
      <c r="P46">
        <v>41.7</v>
      </c>
      <c r="Q46">
        <v>100</v>
      </c>
      <c r="R46">
        <v>3</v>
      </c>
      <c r="S46" t="s">
        <v>196</v>
      </c>
      <c r="T46" t="s">
        <v>196</v>
      </c>
      <c r="X46" s="43"/>
      <c r="Y46" s="43"/>
      <c r="Z46" s="43"/>
      <c r="AA46" s="43"/>
      <c r="AC46">
        <v>2023</v>
      </c>
      <c r="AD46" t="s">
        <v>41</v>
      </c>
      <c r="AE46">
        <v>16</v>
      </c>
      <c r="AF46" s="43">
        <f>AVERAGE(AF170:AF171)</f>
        <v>69.633516813843912</v>
      </c>
      <c r="AG46" s="43">
        <v>2</v>
      </c>
      <c r="AH46" s="43"/>
      <c r="AI46" s="28"/>
      <c r="AJ46" s="28"/>
      <c r="AK46" s="28"/>
      <c r="AL46" s="28"/>
      <c r="AM46" s="28"/>
      <c r="AN46" s="28"/>
    </row>
    <row r="47" spans="1:40">
      <c r="A47" s="85">
        <v>45867</v>
      </c>
      <c r="B47">
        <v>6</v>
      </c>
      <c r="C47" t="s">
        <v>2088</v>
      </c>
      <c r="D47">
        <v>2068.8000000000002</v>
      </c>
      <c r="G47">
        <v>2068.3862400000003</v>
      </c>
      <c r="H47">
        <v>244.9264</v>
      </c>
      <c r="I47">
        <v>0.33857000000000004</v>
      </c>
      <c r="J47">
        <v>244.58783</v>
      </c>
      <c r="K47">
        <v>2088.8958745001523</v>
      </c>
      <c r="L47" s="391">
        <v>100.99157662643086</v>
      </c>
      <c r="M47">
        <v>2038.3676856536219</v>
      </c>
      <c r="N47">
        <v>98.548696864934755</v>
      </c>
      <c r="O47">
        <v>128</v>
      </c>
      <c r="P47">
        <v>41.7</v>
      </c>
      <c r="Q47">
        <v>100</v>
      </c>
      <c r="R47">
        <v>3</v>
      </c>
      <c r="S47" t="s">
        <v>196</v>
      </c>
      <c r="T47" t="s">
        <v>196</v>
      </c>
      <c r="X47" s="423">
        <f>A48</f>
        <v>45867</v>
      </c>
      <c r="Y47" s="43"/>
      <c r="Z47" s="43"/>
      <c r="AA47" s="43"/>
      <c r="AC47">
        <v>2023</v>
      </c>
      <c r="AD47" t="s">
        <v>41</v>
      </c>
      <c r="AE47">
        <v>17</v>
      </c>
      <c r="AF47" s="43">
        <f>AVERAGE(AF172:AF173)</f>
        <v>71.007655938794088</v>
      </c>
      <c r="AG47" s="43">
        <v>2</v>
      </c>
      <c r="AH47" s="43"/>
      <c r="AI47" s="28"/>
      <c r="AJ47" s="28"/>
      <c r="AK47" s="28"/>
      <c r="AL47" s="28"/>
      <c r="AM47" s="28"/>
      <c r="AN47" s="28"/>
    </row>
    <row r="48" spans="1:40">
      <c r="A48" s="85">
        <v>45867</v>
      </c>
      <c r="B48">
        <v>7</v>
      </c>
      <c r="C48" t="s">
        <v>2089</v>
      </c>
      <c r="D48">
        <v>2906.1</v>
      </c>
      <c r="G48">
        <v>2905.5187799999999</v>
      </c>
      <c r="H48">
        <v>340.81169999999997</v>
      </c>
      <c r="I48">
        <v>0.33857000000000004</v>
      </c>
      <c r="J48">
        <v>340.47312999999997</v>
      </c>
      <c r="K48">
        <v>2905.809164603796</v>
      </c>
      <c r="L48" s="391">
        <v>100.00999424287997</v>
      </c>
      <c r="M48">
        <v>2837.4650775770192</v>
      </c>
      <c r="N48">
        <v>97.657777919336638</v>
      </c>
      <c r="O48">
        <v>128</v>
      </c>
      <c r="P48">
        <v>41.7</v>
      </c>
      <c r="Q48">
        <v>100</v>
      </c>
      <c r="R48">
        <v>3</v>
      </c>
      <c r="S48" t="s">
        <v>196</v>
      </c>
      <c r="T48" t="s">
        <v>196</v>
      </c>
      <c r="X48" s="193">
        <f>((J44-INDEX(LINEST($H$44:$H$49,$G$44:$G$49),2))/INDEX(LINEST($H$44:$H$49,$G$44:$G$49),1)/100.09)*12.01</f>
        <v>0.71466993712025262</v>
      </c>
      <c r="Y48" s="193">
        <f>(J44-X48)^2</f>
        <v>0.14145116270185795</v>
      </c>
      <c r="Z48" s="43"/>
      <c r="AA48" s="43"/>
      <c r="AC48">
        <v>2023</v>
      </c>
      <c r="AD48" t="s">
        <v>41</v>
      </c>
      <c r="AE48">
        <v>18</v>
      </c>
      <c r="AF48" s="43">
        <f>AVERAGE(AF174:AF175)</f>
        <v>73.175592708371099</v>
      </c>
      <c r="AG48" s="43">
        <v>2</v>
      </c>
      <c r="AH48" s="43"/>
      <c r="AI48" s="28"/>
      <c r="AJ48" s="28"/>
      <c r="AK48" s="28"/>
      <c r="AL48" s="28"/>
      <c r="AM48" s="28"/>
      <c r="AN48" s="28"/>
    </row>
    <row r="49" spans="1:40">
      <c r="A49" s="85">
        <v>45867</v>
      </c>
      <c r="B49">
        <v>8</v>
      </c>
      <c r="C49" t="s">
        <v>2090</v>
      </c>
      <c r="D49">
        <v>3233.8</v>
      </c>
      <c r="G49">
        <v>3233.1532400000001</v>
      </c>
      <c r="H49">
        <v>378.65429999999998</v>
      </c>
      <c r="I49">
        <v>0.33857000000000004</v>
      </c>
      <c r="J49">
        <v>378.31572999999997</v>
      </c>
      <c r="K49">
        <v>3228.2164874371829</v>
      </c>
      <c r="L49" s="391">
        <v>99.847308426283647</v>
      </c>
      <c r="M49">
        <v>3152.8410837385513</v>
      </c>
      <c r="N49">
        <v>97.515980521187771</v>
      </c>
      <c r="O49">
        <v>128</v>
      </c>
      <c r="P49">
        <v>41.7</v>
      </c>
      <c r="Q49">
        <v>100</v>
      </c>
      <c r="R49">
        <v>3</v>
      </c>
      <c r="S49" t="s">
        <v>196</v>
      </c>
      <c r="T49" t="s">
        <v>196</v>
      </c>
      <c r="X49" s="193">
        <f t="shared" ref="X49:X53" si="2">((J45-INDEX(LINEST($H$44:$H$49,$G$44:$G$49),2))/INDEX(LINEST($H$44:$H$49,$G$44:$G$49),1)/100.09)*12.01</f>
        <v>31.508266328059882</v>
      </c>
      <c r="Y49" s="193">
        <f t="shared" ref="Y49:Y53" si="3">(J45-X49)^2</f>
        <v>1.0760666575127613</v>
      </c>
      <c r="Z49" s="43"/>
      <c r="AA49" s="43"/>
      <c r="AC49">
        <v>2023</v>
      </c>
      <c r="AD49" t="s">
        <v>41</v>
      </c>
      <c r="AE49">
        <v>19</v>
      </c>
      <c r="AF49" s="43">
        <f>AVERAGE(AF176:AF177)</f>
        <v>80.567666009343725</v>
      </c>
      <c r="AG49" s="43">
        <v>2</v>
      </c>
      <c r="AH49" s="43"/>
      <c r="AI49" s="484"/>
      <c r="AJ49" s="28"/>
      <c r="AK49" s="28"/>
      <c r="AL49" s="28"/>
      <c r="AM49" s="28"/>
      <c r="AN49" s="28"/>
    </row>
    <row r="50" spans="1:40">
      <c r="A50" s="85">
        <v>45867</v>
      </c>
      <c r="B50">
        <v>9</v>
      </c>
      <c r="C50" t="s">
        <v>2045</v>
      </c>
      <c r="H50">
        <v>0.32840000000000003</v>
      </c>
      <c r="I50">
        <v>0.33857000000000004</v>
      </c>
      <c r="J50">
        <v>-1.0170000000000012E-2</v>
      </c>
      <c r="K50">
        <v>4.9960803422249178</v>
      </c>
      <c r="L50" s="391" t="e">
        <v>#DIV/0!</v>
      </c>
      <c r="M50">
        <v>-8.4755645295587115E-2</v>
      </c>
      <c r="N50" t="e">
        <v>#DIV/0!</v>
      </c>
      <c r="O50">
        <v>128</v>
      </c>
      <c r="P50">
        <v>41.7</v>
      </c>
      <c r="Q50">
        <v>100</v>
      </c>
      <c r="R50">
        <v>3</v>
      </c>
      <c r="S50" t="s">
        <v>196</v>
      </c>
      <c r="T50" t="s">
        <v>196</v>
      </c>
      <c r="X50" s="193">
        <f t="shared" si="2"/>
        <v>146.76846923521364</v>
      </c>
      <c r="Y50" s="193">
        <f t="shared" si="3"/>
        <v>12.336526903221271</v>
      </c>
      <c r="Z50" s="43"/>
      <c r="AA50" s="43"/>
      <c r="AC50">
        <v>2023</v>
      </c>
      <c r="AD50" t="s">
        <v>41</v>
      </c>
      <c r="AE50">
        <v>20</v>
      </c>
      <c r="AF50" s="43">
        <f>AVERAGE(AF178:AF179)</f>
        <v>83.120682042415268</v>
      </c>
      <c r="AG50" s="43">
        <v>2</v>
      </c>
      <c r="AH50" s="43"/>
      <c r="AI50" s="28"/>
      <c r="AJ50" s="28"/>
      <c r="AK50" s="28"/>
      <c r="AL50" s="28"/>
      <c r="AM50" s="28"/>
      <c r="AN50" s="28"/>
    </row>
    <row r="51" spans="1:40">
      <c r="A51" s="85">
        <v>45867</v>
      </c>
      <c r="B51">
        <v>10</v>
      </c>
      <c r="C51" t="s">
        <v>2047</v>
      </c>
      <c r="H51">
        <v>0.27400000000000002</v>
      </c>
      <c r="I51">
        <v>0.33857000000000004</v>
      </c>
      <c r="J51">
        <v>-6.4570000000000016E-2</v>
      </c>
      <c r="K51">
        <v>4.5326090595398956</v>
      </c>
      <c r="L51" s="391" t="e">
        <v>#DIV/0!</v>
      </c>
      <c r="M51">
        <v>-0.53811917568692769</v>
      </c>
      <c r="N51" t="e">
        <v>#DIV/0!</v>
      </c>
      <c r="O51">
        <v>128</v>
      </c>
      <c r="P51">
        <v>41.7</v>
      </c>
      <c r="Q51">
        <v>100</v>
      </c>
      <c r="R51">
        <v>3</v>
      </c>
      <c r="S51" t="s">
        <v>196</v>
      </c>
      <c r="T51" t="s">
        <v>196</v>
      </c>
      <c r="X51" s="193">
        <f t="shared" si="2"/>
        <v>250.32383202152639</v>
      </c>
      <c r="Y51" s="193">
        <f t="shared" si="3"/>
        <v>32.901719190954815</v>
      </c>
      <c r="Z51" s="43"/>
      <c r="AA51" s="43"/>
      <c r="AC51">
        <v>2023</v>
      </c>
      <c r="AD51" t="s">
        <v>41</v>
      </c>
      <c r="AE51">
        <v>21</v>
      </c>
      <c r="AF51" s="43">
        <f>AVERAGE(AF180:AF181)</f>
        <v>82.788216515817822</v>
      </c>
      <c r="AG51" s="43">
        <v>2</v>
      </c>
      <c r="AH51" s="43"/>
      <c r="AI51" s="28"/>
      <c r="AJ51" s="28"/>
      <c r="AK51" s="28"/>
      <c r="AL51" s="28"/>
      <c r="AM51" s="28"/>
      <c r="AN51" s="28"/>
    </row>
    <row r="52" spans="1:40" ht="15.75">
      <c r="A52" s="85">
        <v>45867</v>
      </c>
      <c r="B52">
        <v>11</v>
      </c>
      <c r="C52" t="s">
        <v>2080</v>
      </c>
      <c r="D52">
        <v>1007.7</v>
      </c>
      <c r="H52">
        <v>96.7393</v>
      </c>
      <c r="I52">
        <v>0.33857000000000004</v>
      </c>
      <c r="J52">
        <v>96.400729999999996</v>
      </c>
      <c r="K52">
        <v>826.38732092710507</v>
      </c>
      <c r="L52" s="391">
        <v>82.007276066994635</v>
      </c>
      <c r="M52">
        <v>803.39292803497085</v>
      </c>
      <c r="N52">
        <v>79.72540716830116</v>
      </c>
      <c r="O52">
        <v>128</v>
      </c>
      <c r="P52">
        <v>41.7</v>
      </c>
      <c r="Q52">
        <v>100</v>
      </c>
      <c r="R52">
        <v>3</v>
      </c>
      <c r="S52" t="s">
        <v>196</v>
      </c>
      <c r="T52" t="s">
        <v>196</v>
      </c>
      <c r="X52" s="193">
        <f t="shared" si="2"/>
        <v>348.31327685837829</v>
      </c>
      <c r="Y52" s="193">
        <f t="shared" si="3"/>
        <v>61.467902760939417</v>
      </c>
      <c r="Z52" s="43"/>
      <c r="AA52" s="51" t="s">
        <v>2039</v>
      </c>
      <c r="AI52" s="28"/>
      <c r="AJ52" s="28"/>
      <c r="AK52" s="28"/>
      <c r="AL52" s="28"/>
      <c r="AM52" s="28"/>
      <c r="AN52" s="28"/>
    </row>
    <row r="53" spans="1:40" ht="15.75">
      <c r="A53" s="85">
        <v>45867</v>
      </c>
      <c r="B53">
        <v>12</v>
      </c>
      <c r="C53" t="s">
        <v>2081</v>
      </c>
      <c r="D53">
        <v>1940.7</v>
      </c>
      <c r="H53">
        <v>185.399</v>
      </c>
      <c r="I53">
        <v>0.33857000000000004</v>
      </c>
      <c r="J53">
        <v>185.06043</v>
      </c>
      <c r="K53">
        <v>1581.7407194835266</v>
      </c>
      <c r="L53" s="391">
        <v>81.503618255450434</v>
      </c>
      <c r="M53">
        <v>1542.2729757452125</v>
      </c>
      <c r="N53">
        <v>79.469932279343141</v>
      </c>
      <c r="O53">
        <v>128</v>
      </c>
      <c r="P53">
        <v>41.7</v>
      </c>
      <c r="Q53">
        <v>100</v>
      </c>
      <c r="R53">
        <v>3</v>
      </c>
      <c r="S53" t="s">
        <v>196</v>
      </c>
      <c r="T53" t="s">
        <v>196</v>
      </c>
      <c r="X53" s="193">
        <f t="shared" si="2"/>
        <v>386.98630979651426</v>
      </c>
      <c r="Y53" s="193">
        <f t="shared" si="3"/>
        <v>75.178954007721771</v>
      </c>
      <c r="Z53" s="43"/>
      <c r="AA53" s="425">
        <f>(Y54/$AL$15)*100</f>
        <v>9.6848799903270422</v>
      </c>
      <c r="AI53" s="28"/>
      <c r="AJ53" s="28"/>
      <c r="AK53" s="28"/>
      <c r="AL53" s="28"/>
      <c r="AM53" s="28"/>
      <c r="AN53" s="28"/>
    </row>
    <row r="54" spans="1:40" ht="15.75">
      <c r="A54" s="482">
        <v>45867</v>
      </c>
      <c r="B54" s="391">
        <v>13</v>
      </c>
      <c r="C54" s="391" t="s">
        <v>2082</v>
      </c>
      <c r="D54" s="391">
        <v>958.6</v>
      </c>
      <c r="E54" s="391"/>
      <c r="F54" s="391"/>
      <c r="G54" s="391"/>
      <c r="H54" s="391">
        <v>14.418200000000001</v>
      </c>
      <c r="I54" s="391">
        <v>0.33857000000000004</v>
      </c>
      <c r="J54" s="391">
        <v>14.07963</v>
      </c>
      <c r="K54" s="391">
        <v>125.03684649618515</v>
      </c>
      <c r="L54" s="391">
        <v>13.043693563132186</v>
      </c>
      <c r="M54" s="391">
        <v>117.33806550374688</v>
      </c>
      <c r="N54" s="391">
        <v>12.240565982030761</v>
      </c>
      <c r="O54">
        <v>128</v>
      </c>
      <c r="P54">
        <v>41.7</v>
      </c>
      <c r="Q54">
        <v>100</v>
      </c>
      <c r="R54">
        <v>3</v>
      </c>
      <c r="S54" t="s">
        <v>196</v>
      </c>
      <c r="T54" t="s">
        <v>196</v>
      </c>
      <c r="X54" s="43"/>
      <c r="Y54" s="425">
        <f>SQRT(SUM(Y48:Y53)/(6-2))</f>
        <v>6.7657708482303018</v>
      </c>
      <c r="Z54" s="51" t="s">
        <v>2044</v>
      </c>
      <c r="AA54" s="43"/>
      <c r="AJ54" s="28"/>
      <c r="AK54" s="28"/>
      <c r="AL54" s="28"/>
      <c r="AM54" s="28"/>
      <c r="AN54" s="28"/>
    </row>
    <row r="55" spans="1:40" ht="15.75">
      <c r="A55" s="482">
        <v>45867</v>
      </c>
      <c r="B55" s="391">
        <v>14</v>
      </c>
      <c r="C55" s="391" t="s">
        <v>2083</v>
      </c>
      <c r="D55" s="391">
        <v>2060.5</v>
      </c>
      <c r="E55" s="391"/>
      <c r="F55" s="391"/>
      <c r="G55" s="391"/>
      <c r="H55" s="391">
        <v>32.555100000000003</v>
      </c>
      <c r="I55" s="391">
        <v>0.33857000000000004</v>
      </c>
      <c r="J55" s="391">
        <v>32.216530000000006</v>
      </c>
      <c r="K55" s="391">
        <v>279.55766096181009</v>
      </c>
      <c r="L55" s="391">
        <v>13.567467166309639</v>
      </c>
      <c r="M55" s="391">
        <v>268.48896650291431</v>
      </c>
      <c r="N55" s="391">
        <v>13.030282285994385</v>
      </c>
      <c r="O55">
        <v>128</v>
      </c>
      <c r="P55">
        <v>41.7</v>
      </c>
      <c r="Q55">
        <v>100</v>
      </c>
      <c r="R55">
        <v>3</v>
      </c>
      <c r="S55" t="s">
        <v>196</v>
      </c>
      <c r="T55" t="s">
        <v>196</v>
      </c>
      <c r="X55" s="43"/>
      <c r="Y55" s="425">
        <f>(Y54/12.01)*100.09</f>
        <v>56.385179367141625</v>
      </c>
      <c r="Z55" s="51" t="s">
        <v>2046</v>
      </c>
      <c r="AA55" s="43"/>
      <c r="AI55" s="43"/>
      <c r="AJ55" s="28"/>
      <c r="AK55" s="28"/>
      <c r="AL55" s="28"/>
      <c r="AM55" s="28"/>
      <c r="AN55" s="28"/>
    </row>
    <row r="56" spans="1:40">
      <c r="A56" s="85">
        <v>45867</v>
      </c>
      <c r="B56">
        <v>15</v>
      </c>
      <c r="C56" t="s">
        <v>2049</v>
      </c>
      <c r="H56">
        <v>0.1779</v>
      </c>
      <c r="I56">
        <v>0.33857000000000004</v>
      </c>
      <c r="J56">
        <v>-0.16067000000000004</v>
      </c>
      <c r="K56">
        <v>3.7138665914143307</v>
      </c>
      <c r="L56" s="391" t="e">
        <v>#DIV/0!</v>
      </c>
      <c r="M56">
        <v>-1.3390058534554541</v>
      </c>
      <c r="N56" t="e">
        <v>#DIV/0!</v>
      </c>
      <c r="O56">
        <v>128</v>
      </c>
      <c r="P56">
        <v>41.7</v>
      </c>
      <c r="Q56">
        <v>100</v>
      </c>
      <c r="R56">
        <v>3</v>
      </c>
      <c r="S56" t="s">
        <v>196</v>
      </c>
      <c r="T56" t="s">
        <v>196</v>
      </c>
      <c r="X56" s="43"/>
      <c r="Y56" s="43"/>
      <c r="Z56" s="43"/>
      <c r="AA56" s="43"/>
      <c r="AI56" s="28"/>
      <c r="AJ56" s="28"/>
      <c r="AK56" s="28"/>
      <c r="AL56" s="28"/>
      <c r="AM56" s="28"/>
      <c r="AN56" s="28"/>
    </row>
    <row r="57" spans="1:40">
      <c r="A57" s="285">
        <v>45867</v>
      </c>
      <c r="B57" s="284">
        <v>16</v>
      </c>
      <c r="C57" s="284" t="s">
        <v>2084</v>
      </c>
      <c r="D57" s="284">
        <v>2402.1</v>
      </c>
      <c r="E57" s="284"/>
      <c r="F57" s="284"/>
      <c r="G57" s="284"/>
      <c r="H57" s="284">
        <v>192.30529999999999</v>
      </c>
      <c r="I57" s="284">
        <v>0.33857000000000004</v>
      </c>
      <c r="J57" s="284">
        <v>191.96672999999998</v>
      </c>
      <c r="K57" s="284">
        <v>1640.5802731527833</v>
      </c>
      <c r="L57" s="284">
        <v>68.297750849372775</v>
      </c>
      <c r="M57" s="284">
        <v>1599.829309383847</v>
      </c>
      <c r="N57" s="284">
        <v>66.601278439026146</v>
      </c>
      <c r="O57">
        <v>128</v>
      </c>
      <c r="P57">
        <v>41.7</v>
      </c>
      <c r="Q57">
        <v>100</v>
      </c>
      <c r="R57">
        <v>3</v>
      </c>
      <c r="S57" t="s">
        <v>196</v>
      </c>
      <c r="T57" t="s">
        <v>196</v>
      </c>
      <c r="X57" s="43"/>
      <c r="Y57" s="43"/>
      <c r="Z57" s="43"/>
      <c r="AA57" s="43"/>
      <c r="AI57" s="28"/>
      <c r="AJ57" s="28"/>
      <c r="AK57" s="28"/>
      <c r="AL57" s="28"/>
      <c r="AM57" s="28"/>
      <c r="AN57" s="28"/>
    </row>
    <row r="58" spans="1:40">
      <c r="A58" s="85">
        <v>45867</v>
      </c>
      <c r="B58">
        <v>17</v>
      </c>
      <c r="C58" t="s">
        <v>2064</v>
      </c>
      <c r="D58">
        <v>2356</v>
      </c>
      <c r="H58">
        <v>197.67330000000001</v>
      </c>
      <c r="I58">
        <v>0.33857000000000004</v>
      </c>
      <c r="J58">
        <v>197.33473000000001</v>
      </c>
      <c r="K58">
        <v>1686.3139835471438</v>
      </c>
      <c r="L58" s="391">
        <v>71.575296415413575</v>
      </c>
      <c r="M58">
        <v>1644.5656224562865</v>
      </c>
      <c r="N58">
        <v>69.803294671319463</v>
      </c>
      <c r="O58">
        <v>128</v>
      </c>
      <c r="P58">
        <v>41.7</v>
      </c>
      <c r="Q58">
        <v>100</v>
      </c>
      <c r="R58">
        <v>3</v>
      </c>
      <c r="S58" t="s">
        <v>196</v>
      </c>
      <c r="T58" t="s">
        <v>196</v>
      </c>
      <c r="X58" s="43"/>
      <c r="Y58" s="43"/>
      <c r="Z58" s="43"/>
      <c r="AA58" s="43"/>
      <c r="AI58" s="28"/>
      <c r="AJ58" s="28"/>
      <c r="AK58" s="28"/>
      <c r="AL58" s="28"/>
      <c r="AM58" s="28"/>
      <c r="AN58" s="28"/>
    </row>
    <row r="59" spans="1:40">
      <c r="A59" s="205">
        <v>45867</v>
      </c>
      <c r="B59" s="204">
        <v>18</v>
      </c>
      <c r="C59" s="204" t="s">
        <v>2067</v>
      </c>
      <c r="D59" s="204">
        <v>2249</v>
      </c>
      <c r="E59" s="204"/>
      <c r="F59" s="204"/>
      <c r="G59" s="204"/>
      <c r="H59" s="204">
        <v>164.41130000000001</v>
      </c>
      <c r="I59" s="204">
        <v>0.33857000000000004</v>
      </c>
      <c r="J59" s="204">
        <v>164.07273000000001</v>
      </c>
      <c r="K59" s="204">
        <v>1402.9319650789594</v>
      </c>
      <c r="L59" s="204">
        <v>62.380256339660264</v>
      </c>
      <c r="M59" s="204">
        <v>1367.3638256203164</v>
      </c>
      <c r="N59" s="204">
        <v>60.798747248568986</v>
      </c>
      <c r="O59">
        <v>128</v>
      </c>
      <c r="P59">
        <v>41.7</v>
      </c>
      <c r="Q59">
        <v>100</v>
      </c>
      <c r="R59">
        <v>3</v>
      </c>
      <c r="S59" t="s">
        <v>196</v>
      </c>
      <c r="T59" t="s">
        <v>196</v>
      </c>
      <c r="AA59" s="43"/>
      <c r="AI59" s="28"/>
      <c r="AJ59" s="28"/>
      <c r="AK59" s="28"/>
      <c r="AL59" s="28"/>
      <c r="AM59" s="28"/>
      <c r="AN59" s="28"/>
    </row>
    <row r="60" spans="1:40">
      <c r="A60" s="85">
        <v>45867</v>
      </c>
      <c r="B60">
        <v>19</v>
      </c>
      <c r="C60" t="s">
        <v>2050</v>
      </c>
      <c r="H60">
        <v>0.51060000000000005</v>
      </c>
      <c r="I60">
        <v>0.33857000000000004</v>
      </c>
      <c r="J60">
        <v>0.17203000000000002</v>
      </c>
      <c r="K60">
        <v>6.5483683515118889</v>
      </c>
      <c r="L60" s="391" t="e">
        <v>#DIV/0!</v>
      </c>
      <c r="M60">
        <v>1.4336788259783517</v>
      </c>
      <c r="N60" t="e">
        <v>#DIV/0!</v>
      </c>
      <c r="O60">
        <v>128</v>
      </c>
      <c r="P60">
        <v>41.7</v>
      </c>
      <c r="Q60">
        <v>100</v>
      </c>
      <c r="R60">
        <v>3</v>
      </c>
      <c r="S60" t="s">
        <v>196</v>
      </c>
      <c r="T60" t="s">
        <v>196</v>
      </c>
      <c r="AA60" s="43"/>
      <c r="AI60" s="28"/>
      <c r="AJ60" s="28"/>
      <c r="AK60" s="28"/>
      <c r="AL60" s="28"/>
      <c r="AM60" s="28"/>
      <c r="AN60" s="28"/>
    </row>
    <row r="61" spans="1:40">
      <c r="A61" s="85">
        <v>45867</v>
      </c>
      <c r="B61">
        <v>20</v>
      </c>
      <c r="C61" t="s">
        <v>2072</v>
      </c>
      <c r="D61">
        <v>2584.6</v>
      </c>
      <c r="H61">
        <v>201.1636</v>
      </c>
      <c r="I61">
        <v>0.33857000000000004</v>
      </c>
      <c r="J61">
        <v>200.82503</v>
      </c>
      <c r="K61">
        <v>1716.0502669654441</v>
      </c>
      <c r="L61" s="391">
        <v>66.395197205193995</v>
      </c>
      <c r="M61">
        <v>1673.6533932306413</v>
      </c>
      <c r="N61">
        <v>64.754832207329628</v>
      </c>
      <c r="O61">
        <v>128</v>
      </c>
      <c r="P61">
        <v>41.7</v>
      </c>
      <c r="Q61">
        <v>100</v>
      </c>
      <c r="R61">
        <v>3</v>
      </c>
      <c r="S61" t="s">
        <v>196</v>
      </c>
      <c r="T61" t="s">
        <v>196</v>
      </c>
      <c r="AA61" s="43"/>
      <c r="AI61" s="28"/>
      <c r="AJ61" s="28"/>
      <c r="AK61" s="28"/>
      <c r="AL61" s="28"/>
      <c r="AM61" s="28"/>
      <c r="AN61" s="28"/>
    </row>
    <row r="62" spans="1:40">
      <c r="A62" s="205">
        <v>45867</v>
      </c>
      <c r="B62" s="204">
        <v>21</v>
      </c>
      <c r="C62" s="204" t="s">
        <v>2071</v>
      </c>
      <c r="D62" s="204">
        <v>2177.6999999999998</v>
      </c>
      <c r="E62" s="204"/>
      <c r="F62" s="204"/>
      <c r="G62" s="204"/>
      <c r="H62" s="204">
        <v>160.4228</v>
      </c>
      <c r="I62" s="204">
        <v>0.33857000000000004</v>
      </c>
      <c r="J62" s="204">
        <v>160.08422999999999</v>
      </c>
      <c r="K62" s="204">
        <v>1368.9511707593047</v>
      </c>
      <c r="L62" s="204">
        <v>62.862247819226923</v>
      </c>
      <c r="M62" s="204">
        <v>1334.1241116319734</v>
      </c>
      <c r="N62" s="204">
        <v>61.262989008218462</v>
      </c>
      <c r="O62">
        <v>128</v>
      </c>
      <c r="P62">
        <v>41.7</v>
      </c>
      <c r="Q62">
        <v>100</v>
      </c>
      <c r="R62">
        <v>3</v>
      </c>
      <c r="S62" t="s">
        <v>196</v>
      </c>
      <c r="T62" t="s">
        <v>196</v>
      </c>
      <c r="AA62" s="43"/>
      <c r="AI62" s="28"/>
      <c r="AJ62" s="28"/>
      <c r="AK62" s="28"/>
      <c r="AL62" s="28"/>
      <c r="AM62" s="28"/>
      <c r="AN62" s="28"/>
    </row>
    <row r="63" spans="1:40">
      <c r="A63" s="285">
        <v>45867</v>
      </c>
      <c r="B63" s="284">
        <v>22</v>
      </c>
      <c r="C63" s="284" t="s">
        <v>2085</v>
      </c>
      <c r="D63" s="284">
        <v>2761.6</v>
      </c>
      <c r="E63" s="284"/>
      <c r="F63" s="284"/>
      <c r="G63" s="284"/>
      <c r="H63" s="284">
        <v>221.75579999999999</v>
      </c>
      <c r="I63" s="284">
        <v>0.33857000000000004</v>
      </c>
      <c r="J63" s="284">
        <v>221.41722999999999</v>
      </c>
      <c r="K63" s="284">
        <v>1891.4894829085788</v>
      </c>
      <c r="L63" s="284">
        <v>68.492521831857573</v>
      </c>
      <c r="M63" s="284">
        <v>1845.266490482931</v>
      </c>
      <c r="N63" s="284">
        <v>66.818746034289219</v>
      </c>
      <c r="O63">
        <v>128</v>
      </c>
      <c r="P63">
        <v>41.7</v>
      </c>
      <c r="Q63">
        <v>100</v>
      </c>
      <c r="R63">
        <v>3</v>
      </c>
      <c r="S63" t="s">
        <v>196</v>
      </c>
      <c r="T63" t="s">
        <v>196</v>
      </c>
      <c r="AA63" s="43"/>
      <c r="AI63" s="28"/>
      <c r="AJ63" s="28"/>
      <c r="AK63" s="28"/>
      <c r="AL63" s="28"/>
      <c r="AM63" s="28"/>
      <c r="AN63" s="28"/>
    </row>
    <row r="64" spans="1:40">
      <c r="A64" s="85">
        <v>45867</v>
      </c>
      <c r="B64">
        <v>23</v>
      </c>
      <c r="C64" t="s">
        <v>2069</v>
      </c>
      <c r="D64">
        <v>3064.1</v>
      </c>
      <c r="H64">
        <v>242.52440000000001</v>
      </c>
      <c r="I64">
        <v>0.33857000000000004</v>
      </c>
      <c r="J64">
        <v>242.18583000000001</v>
      </c>
      <c r="K64">
        <v>2068.4315726433615</v>
      </c>
      <c r="L64" s="391">
        <v>67.505354676523666</v>
      </c>
      <c r="M64">
        <v>2018.3496856536221</v>
      </c>
      <c r="N64">
        <v>65.870881683157279</v>
      </c>
      <c r="O64">
        <v>128</v>
      </c>
      <c r="P64">
        <v>41.7</v>
      </c>
      <c r="Q64">
        <v>100</v>
      </c>
      <c r="R64">
        <v>3</v>
      </c>
      <c r="S64" t="s">
        <v>196</v>
      </c>
      <c r="T64" t="s">
        <v>196</v>
      </c>
      <c r="AA64" s="43"/>
      <c r="AI64" s="43"/>
      <c r="AJ64" s="43"/>
      <c r="AK64" s="43"/>
      <c r="AL64" s="43"/>
      <c r="AM64" s="28"/>
      <c r="AN64" s="28"/>
    </row>
    <row r="65" spans="1:40">
      <c r="A65" s="85">
        <v>45867</v>
      </c>
      <c r="C65" t="s">
        <v>2051</v>
      </c>
      <c r="H65">
        <v>0.36720000000000003</v>
      </c>
      <c r="I65">
        <v>0.33857000000000004</v>
      </c>
      <c r="J65">
        <v>2.8629999999999989E-2</v>
      </c>
      <c r="K65">
        <v>5.326644418845853</v>
      </c>
      <c r="L65" s="391" t="e">
        <v>#DIV/0!</v>
      </c>
      <c r="M65">
        <v>0.23859922564529548</v>
      </c>
      <c r="N65" t="e">
        <v>#DIV/0!</v>
      </c>
      <c r="O65">
        <v>128</v>
      </c>
      <c r="P65">
        <v>41.7</v>
      </c>
      <c r="Q65">
        <v>100</v>
      </c>
      <c r="R65">
        <v>3</v>
      </c>
      <c r="S65" t="s">
        <v>196</v>
      </c>
      <c r="T65" t="s">
        <v>196</v>
      </c>
      <c r="AA65" s="43"/>
      <c r="AI65" s="43"/>
      <c r="AJ65" s="43"/>
      <c r="AK65" s="43"/>
      <c r="AL65" s="43"/>
      <c r="AM65" s="28"/>
      <c r="AN65" s="28"/>
    </row>
    <row r="66" spans="1:40">
      <c r="A66" s="85">
        <v>45867</v>
      </c>
      <c r="B66">
        <v>24</v>
      </c>
      <c r="C66" t="s">
        <v>2052</v>
      </c>
      <c r="H66">
        <v>0.36809999999999998</v>
      </c>
      <c r="I66">
        <v>0.33857000000000004</v>
      </c>
      <c r="J66">
        <v>2.9529999999999945E-2</v>
      </c>
      <c r="K66">
        <v>5.3343121422726272</v>
      </c>
      <c r="L66" s="391" t="e">
        <v>#DIV/0!</v>
      </c>
      <c r="M66">
        <v>0.24609972522897539</v>
      </c>
      <c r="N66" t="e">
        <v>#DIV/0!</v>
      </c>
      <c r="O66">
        <v>128</v>
      </c>
      <c r="P66">
        <v>41.7</v>
      </c>
      <c r="Q66">
        <v>100</v>
      </c>
      <c r="R66">
        <v>3</v>
      </c>
      <c r="S66" t="s">
        <v>196</v>
      </c>
      <c r="T66" t="s">
        <v>196</v>
      </c>
      <c r="AA66" s="43"/>
      <c r="AI66" s="43"/>
      <c r="AJ66" s="43"/>
      <c r="AK66" s="43"/>
      <c r="AL66" s="43"/>
      <c r="AM66" s="28"/>
      <c r="AN66" s="28"/>
    </row>
    <row r="67" spans="1:40">
      <c r="A67" s="85">
        <v>45867</v>
      </c>
      <c r="B67">
        <v>25</v>
      </c>
      <c r="C67" t="s">
        <v>2091</v>
      </c>
      <c r="D67">
        <v>2201.8000000000002</v>
      </c>
      <c r="G67">
        <v>2201.3596400000001</v>
      </c>
      <c r="H67">
        <v>257.42970000000003</v>
      </c>
      <c r="I67">
        <v>0.33857000000000004</v>
      </c>
      <c r="J67">
        <v>257.09113000000002</v>
      </c>
      <c r="K67">
        <v>2195.4201481912487</v>
      </c>
      <c r="L67" s="391">
        <v>99.730189847182288</v>
      </c>
      <c r="M67">
        <v>2142.568792814322</v>
      </c>
      <c r="N67">
        <v>97.309873413312829</v>
      </c>
      <c r="O67">
        <v>128</v>
      </c>
      <c r="P67">
        <v>41.7</v>
      </c>
      <c r="Q67">
        <v>100</v>
      </c>
      <c r="R67">
        <v>3</v>
      </c>
      <c r="S67" t="s">
        <v>196</v>
      </c>
      <c r="T67" t="s">
        <v>196</v>
      </c>
      <c r="AA67" s="43"/>
      <c r="AI67" s="43"/>
      <c r="AJ67" s="43"/>
      <c r="AK67" s="43"/>
      <c r="AL67" s="43"/>
      <c r="AM67" s="28"/>
      <c r="AN67" s="28"/>
    </row>
    <row r="68" spans="1:40">
      <c r="A68" s="85">
        <v>45867</v>
      </c>
      <c r="B68">
        <v>26</v>
      </c>
      <c r="C68" t="s">
        <v>2053</v>
      </c>
      <c r="H68">
        <v>0.35610000000000003</v>
      </c>
      <c r="I68">
        <v>0.33857000000000004</v>
      </c>
      <c r="J68">
        <v>1.752999999999999E-2</v>
      </c>
      <c r="K68">
        <v>5.2320758299156385</v>
      </c>
      <c r="L68" s="391" t="e">
        <v>#DIV/0!</v>
      </c>
      <c r="M68">
        <v>0.14609306411323889</v>
      </c>
      <c r="N68" t="e">
        <v>#DIV/0!</v>
      </c>
      <c r="O68">
        <v>128</v>
      </c>
      <c r="P68">
        <v>41.7</v>
      </c>
      <c r="Q68">
        <v>100</v>
      </c>
      <c r="R68">
        <v>3</v>
      </c>
      <c r="S68" t="s">
        <v>196</v>
      </c>
      <c r="T68" t="s">
        <v>196</v>
      </c>
      <c r="AA68" s="43"/>
      <c r="AI68" s="43"/>
      <c r="AJ68" s="43"/>
      <c r="AK68" s="43"/>
      <c r="AL68" s="43"/>
      <c r="AM68" s="28"/>
      <c r="AN68" s="28"/>
    </row>
    <row r="69" spans="1:40">
      <c r="H69"/>
      <c r="AA69" s="43"/>
      <c r="AI69" s="43"/>
      <c r="AJ69" s="43"/>
      <c r="AK69" s="43"/>
      <c r="AL69" s="43"/>
      <c r="AM69" s="28"/>
      <c r="AN69" s="28"/>
    </row>
    <row r="70" spans="1:40">
      <c r="A70" s="85" t="s">
        <v>2093</v>
      </c>
      <c r="H70"/>
      <c r="AA70" s="43"/>
      <c r="AI70" s="28"/>
      <c r="AJ70" s="28"/>
      <c r="AK70" s="28"/>
      <c r="AL70" s="28"/>
      <c r="AM70" s="28"/>
      <c r="AN70" s="28"/>
    </row>
    <row r="71" spans="1:40">
      <c r="A71" s="85" t="s">
        <v>2035</v>
      </c>
      <c r="H71"/>
      <c r="AA71" s="43"/>
      <c r="AF71" s="43"/>
      <c r="AG71" s="43"/>
      <c r="AH71" s="43"/>
    </row>
    <row r="72" spans="1:40">
      <c r="A72" s="85" t="s">
        <v>2094</v>
      </c>
      <c r="H72"/>
      <c r="AA72" s="43"/>
    </row>
    <row r="73" spans="1:40">
      <c r="A73" s="85">
        <v>45874</v>
      </c>
      <c r="B73">
        <v>1</v>
      </c>
      <c r="C73" t="s">
        <v>2040</v>
      </c>
      <c r="H73">
        <v>0.1817</v>
      </c>
      <c r="AA73" s="43"/>
    </row>
    <row r="74" spans="1:40">
      <c r="A74" s="85">
        <v>45874</v>
      </c>
      <c r="B74">
        <v>2</v>
      </c>
      <c r="C74" t="s">
        <v>2041</v>
      </c>
      <c r="H74">
        <v>0.22359999999999999</v>
      </c>
      <c r="AA74" s="43"/>
    </row>
    <row r="75" spans="1:40">
      <c r="A75" s="85">
        <v>45874</v>
      </c>
      <c r="B75">
        <v>3</v>
      </c>
      <c r="C75" t="s">
        <v>2042</v>
      </c>
      <c r="G75">
        <v>0</v>
      </c>
      <c r="H75">
        <v>0.22620000000000001</v>
      </c>
      <c r="I75">
        <v>0.27860000000000001</v>
      </c>
      <c r="J75">
        <v>0.27860000000000001</v>
      </c>
      <c r="AA75" s="43"/>
    </row>
    <row r="76" spans="1:40">
      <c r="A76" s="85">
        <v>45874</v>
      </c>
      <c r="B76">
        <v>4</v>
      </c>
      <c r="C76" t="s">
        <v>2097</v>
      </c>
      <c r="D76">
        <v>457.6</v>
      </c>
      <c r="G76">
        <v>457.50848000000002</v>
      </c>
      <c r="H76">
        <v>53.647199999999998</v>
      </c>
      <c r="I76">
        <v>0.27860000000000001</v>
      </c>
      <c r="J76">
        <v>53.368600000000001</v>
      </c>
      <c r="K76">
        <v>457.97266866331978</v>
      </c>
      <c r="L76" s="391">
        <v>100.10146012229539</v>
      </c>
      <c r="M76">
        <v>444.76795786844298</v>
      </c>
      <c r="N76">
        <v>97.215238036340438</v>
      </c>
      <c r="O76">
        <v>128</v>
      </c>
      <c r="P76">
        <v>41.7</v>
      </c>
      <c r="Q76">
        <v>100</v>
      </c>
      <c r="R76">
        <v>3</v>
      </c>
      <c r="S76" t="s">
        <v>196</v>
      </c>
      <c r="T76" t="s">
        <v>196</v>
      </c>
      <c r="U76" s="28" t="s">
        <v>2103</v>
      </c>
      <c r="AA76" s="43"/>
    </row>
    <row r="77" spans="1:40">
      <c r="A77" s="85">
        <v>45874</v>
      </c>
      <c r="B77">
        <v>5</v>
      </c>
      <c r="C77" t="s">
        <v>2098</v>
      </c>
      <c r="D77">
        <v>1033.5</v>
      </c>
      <c r="G77">
        <v>1033.2933</v>
      </c>
      <c r="H77">
        <v>121.6092</v>
      </c>
      <c r="I77">
        <v>0.27860000000000001</v>
      </c>
      <c r="J77">
        <v>121.3306</v>
      </c>
      <c r="K77">
        <v>1032.483987694761</v>
      </c>
      <c r="L77" s="391">
        <v>99.921676419924623</v>
      </c>
      <c r="M77">
        <v>1011.1556830974189</v>
      </c>
      <c r="N77">
        <v>97.857566975167543</v>
      </c>
      <c r="O77">
        <v>128</v>
      </c>
      <c r="P77">
        <v>41.7</v>
      </c>
      <c r="Q77">
        <v>100</v>
      </c>
      <c r="R77">
        <v>3</v>
      </c>
      <c r="S77" t="s">
        <v>196</v>
      </c>
      <c r="T77" t="s">
        <v>196</v>
      </c>
      <c r="AA77" s="43"/>
    </row>
    <row r="78" spans="1:40">
      <c r="A78" s="85">
        <v>45874</v>
      </c>
      <c r="B78">
        <v>6</v>
      </c>
      <c r="C78" t="s">
        <v>2099</v>
      </c>
      <c r="D78">
        <v>1924.9</v>
      </c>
      <c r="G78">
        <v>1924.51502</v>
      </c>
      <c r="H78">
        <v>224.916</v>
      </c>
      <c r="I78">
        <v>0.27860000000000001</v>
      </c>
      <c r="J78">
        <v>224.63739999999999</v>
      </c>
      <c r="K78">
        <v>1905.7797402170131</v>
      </c>
      <c r="L78" s="391">
        <v>99.026493449607528</v>
      </c>
      <c r="M78">
        <v>1872.103027976686</v>
      </c>
      <c r="N78">
        <v>97.276612991915542</v>
      </c>
      <c r="O78">
        <v>128</v>
      </c>
      <c r="P78">
        <v>41.7</v>
      </c>
      <c r="Q78">
        <v>100</v>
      </c>
      <c r="R78">
        <v>3</v>
      </c>
      <c r="S78" t="s">
        <v>196</v>
      </c>
      <c r="T78" t="s">
        <v>196</v>
      </c>
      <c r="AA78" s="43"/>
    </row>
    <row r="79" spans="1:40">
      <c r="A79" s="85">
        <v>45874</v>
      </c>
      <c r="B79">
        <v>7</v>
      </c>
      <c r="C79" t="s">
        <v>2100</v>
      </c>
      <c r="D79">
        <v>2850.5</v>
      </c>
      <c r="G79">
        <v>2849.9299000000001</v>
      </c>
      <c r="H79">
        <v>335.74040000000002</v>
      </c>
      <c r="I79">
        <v>0.27860000000000001</v>
      </c>
      <c r="J79">
        <v>335.46180000000004</v>
      </c>
      <c r="K79">
        <v>2842.6249217135564</v>
      </c>
      <c r="L79" s="391">
        <v>99.743678667800083</v>
      </c>
      <c r="M79">
        <v>2795.7012124895928</v>
      </c>
      <c r="N79">
        <v>98.097192232327984</v>
      </c>
      <c r="O79">
        <v>128</v>
      </c>
      <c r="P79">
        <v>41.7</v>
      </c>
      <c r="Q79">
        <v>100</v>
      </c>
      <c r="R79">
        <v>3</v>
      </c>
      <c r="S79" t="s">
        <v>196</v>
      </c>
      <c r="T79" t="s">
        <v>196</v>
      </c>
      <c r="AA79" s="43"/>
      <c r="AC79" s="428">
        <v>2023</v>
      </c>
      <c r="AD79" s="470" t="s">
        <v>37</v>
      </c>
      <c r="AE79" s="470">
        <v>1</v>
      </c>
      <c r="AF79" s="463">
        <f>L24</f>
        <v>65.927432788586316</v>
      </c>
      <c r="AG79" s="464">
        <f>A24</f>
        <v>45860</v>
      </c>
      <c r="AH79" s="429">
        <f>((AF79-AVERAGE(AF80:AF83))/AVERAGE(AF80:AF83))*100</f>
        <v>-2.9021913247073297</v>
      </c>
      <c r="AI79" t="s">
        <v>353</v>
      </c>
    </row>
    <row r="80" spans="1:40">
      <c r="A80" s="85">
        <v>45874</v>
      </c>
      <c r="B80">
        <v>8</v>
      </c>
      <c r="C80" t="s">
        <v>2101</v>
      </c>
      <c r="D80">
        <v>3342.7</v>
      </c>
      <c r="G80">
        <v>3342.0314599999997</v>
      </c>
      <c r="H80">
        <v>396.85309999999998</v>
      </c>
      <c r="I80">
        <v>0.27860000000000001</v>
      </c>
      <c r="J80">
        <v>396.5745</v>
      </c>
      <c r="K80">
        <v>3359.2362322484551</v>
      </c>
      <c r="L80" s="391">
        <v>100.51479982921691</v>
      </c>
      <c r="M80">
        <v>3305.0076357202333</v>
      </c>
      <c r="N80">
        <v>98.892176069468633</v>
      </c>
      <c r="O80">
        <v>128</v>
      </c>
      <c r="P80">
        <v>41.7</v>
      </c>
      <c r="Q80">
        <v>100</v>
      </c>
      <c r="R80">
        <v>3</v>
      </c>
      <c r="S80" t="s">
        <v>196</v>
      </c>
      <c r="T80" t="s">
        <v>196</v>
      </c>
      <c r="AA80" s="43"/>
      <c r="AC80" s="434">
        <v>2023</v>
      </c>
      <c r="AD80" s="468" t="s">
        <v>37</v>
      </c>
      <c r="AE80" s="468">
        <v>1</v>
      </c>
      <c r="AF80" s="468">
        <f>L57</f>
        <v>68.297750849372775</v>
      </c>
      <c r="AG80" s="472">
        <f>A57</f>
        <v>45867</v>
      </c>
      <c r="AH80" s="429">
        <f>((AF80-AF81)/AVERAGE(AF80:AF81))*100</f>
        <v>-0.2847731474864193</v>
      </c>
    </row>
    <row r="81" spans="1:37">
      <c r="A81" s="85">
        <v>45874</v>
      </c>
      <c r="B81">
        <v>9</v>
      </c>
      <c r="C81" t="s">
        <v>2045</v>
      </c>
      <c r="H81">
        <v>0.36809999999999998</v>
      </c>
      <c r="I81">
        <v>0.27860000000000001</v>
      </c>
      <c r="J81">
        <v>8.9499999999999968E-2</v>
      </c>
      <c r="K81">
        <v>7.5820677715263862</v>
      </c>
      <c r="L81" s="391" t="e">
        <v>#DIV/0!</v>
      </c>
      <c r="M81">
        <v>0.74588301415487068</v>
      </c>
      <c r="N81" t="e">
        <v>#DIV/0!</v>
      </c>
      <c r="O81">
        <v>128</v>
      </c>
      <c r="P81">
        <v>41.7</v>
      </c>
      <c r="Q81">
        <v>100</v>
      </c>
      <c r="R81">
        <v>3</v>
      </c>
      <c r="S81" t="s">
        <v>196</v>
      </c>
      <c r="T81" t="s">
        <v>196</v>
      </c>
      <c r="AA81" s="43"/>
      <c r="AC81" s="434">
        <v>2023</v>
      </c>
      <c r="AD81" s="468" t="s">
        <v>37</v>
      </c>
      <c r="AE81" s="468">
        <v>1</v>
      </c>
      <c r="AF81" s="468">
        <f>L63</f>
        <v>68.492521831857573</v>
      </c>
      <c r="AG81" s="472">
        <f>A63</f>
        <v>45867</v>
      </c>
      <c r="AH81" s="433"/>
    </row>
    <row r="82" spans="1:37">
      <c r="A82" s="85">
        <v>45874</v>
      </c>
      <c r="B82">
        <v>10</v>
      </c>
      <c r="C82" t="s">
        <v>2047</v>
      </c>
      <c r="H82">
        <v>0.2697</v>
      </c>
      <c r="I82">
        <v>0.27860000000000001</v>
      </c>
      <c r="J82">
        <v>-8.900000000000019E-3</v>
      </c>
      <c r="K82">
        <v>6.7502512594653252</v>
      </c>
      <c r="L82" s="391" t="e">
        <v>#DIV/0!</v>
      </c>
      <c r="M82">
        <v>-7.417160699417169E-2</v>
      </c>
      <c r="N82" t="e">
        <v>#DIV/0!</v>
      </c>
      <c r="O82">
        <v>128</v>
      </c>
      <c r="P82">
        <v>41.7</v>
      </c>
      <c r="Q82">
        <v>100</v>
      </c>
      <c r="R82">
        <v>3</v>
      </c>
      <c r="S82" t="s">
        <v>196</v>
      </c>
      <c r="T82" t="s">
        <v>196</v>
      </c>
      <c r="X82" s="43"/>
      <c r="Y82" s="43"/>
      <c r="Z82" s="43"/>
      <c r="AA82" s="43"/>
      <c r="AC82" s="434">
        <v>2023</v>
      </c>
      <c r="AD82" s="468" t="s">
        <v>37</v>
      </c>
      <c r="AE82" s="468">
        <v>1</v>
      </c>
      <c r="AF82" s="468">
        <f>L120</f>
        <v>67.340527612620008</v>
      </c>
      <c r="AG82" s="472">
        <f>A120</f>
        <v>45876</v>
      </c>
      <c r="AH82" s="429">
        <f>((AF82-AF83)/AVERAGE(AF82:AF83))*100</f>
        <v>-0.17880836611496315</v>
      </c>
    </row>
    <row r="83" spans="1:37">
      <c r="A83" s="85">
        <v>45874</v>
      </c>
      <c r="B83">
        <v>11</v>
      </c>
      <c r="C83" t="s">
        <v>2080</v>
      </c>
      <c r="D83">
        <v>1051.0999999999999</v>
      </c>
      <c r="H83">
        <v>101.5393</v>
      </c>
      <c r="I83">
        <v>0.27860000000000001</v>
      </c>
      <c r="J83">
        <v>101.2607</v>
      </c>
      <c r="K83">
        <v>862.82469688770527</v>
      </c>
      <c r="L83" s="391">
        <v>82.087783929950092</v>
      </c>
      <c r="M83">
        <v>843.89537577019166</v>
      </c>
      <c r="N83">
        <v>80.286878105812164</v>
      </c>
      <c r="O83">
        <v>128</v>
      </c>
      <c r="P83">
        <v>41.7</v>
      </c>
      <c r="Q83">
        <v>100</v>
      </c>
      <c r="R83">
        <v>3</v>
      </c>
      <c r="S83" t="s">
        <v>196</v>
      </c>
      <c r="T83" t="s">
        <v>196</v>
      </c>
      <c r="X83" s="43"/>
      <c r="Y83" s="43"/>
      <c r="Z83" s="43"/>
      <c r="AA83" s="43"/>
      <c r="AC83" s="434">
        <v>2023</v>
      </c>
      <c r="AD83" s="468" t="s">
        <v>37</v>
      </c>
      <c r="AE83" s="468">
        <v>1</v>
      </c>
      <c r="AF83" s="468">
        <f>L125</f>
        <v>67.461045858130163</v>
      </c>
      <c r="AG83" s="472">
        <f>A125</f>
        <v>45876</v>
      </c>
      <c r="AH83" s="433"/>
      <c r="AK83" t="s">
        <v>2325</v>
      </c>
    </row>
    <row r="84" spans="1:37">
      <c r="A84" s="85">
        <v>45874</v>
      </c>
      <c r="B84">
        <v>12</v>
      </c>
      <c r="C84" t="s">
        <v>2081</v>
      </c>
      <c r="D84">
        <v>1926.4</v>
      </c>
      <c r="H84">
        <v>187.19540000000001</v>
      </c>
      <c r="I84">
        <v>0.27860000000000001</v>
      </c>
      <c r="J84">
        <v>186.91679999999999</v>
      </c>
      <c r="K84">
        <v>1586.911671875037</v>
      </c>
      <c r="L84" s="391">
        <v>82.377059378895183</v>
      </c>
      <c r="M84">
        <v>1557.7437562031639</v>
      </c>
      <c r="N84">
        <v>80.862944155064568</v>
      </c>
      <c r="O84">
        <v>128</v>
      </c>
      <c r="P84">
        <v>41.7</v>
      </c>
      <c r="Q84">
        <v>100</v>
      </c>
      <c r="R84">
        <v>3</v>
      </c>
      <c r="S84" t="s">
        <v>196</v>
      </c>
      <c r="T84" t="s">
        <v>196</v>
      </c>
      <c r="X84" s="423">
        <f>A85</f>
        <v>45874</v>
      </c>
      <c r="Y84" s="43"/>
      <c r="Z84" s="43"/>
      <c r="AA84" s="43"/>
      <c r="AC84" s="428">
        <v>2023</v>
      </c>
      <c r="AD84" s="470" t="s">
        <v>37</v>
      </c>
      <c r="AE84" s="470">
        <v>2</v>
      </c>
      <c r="AF84" s="463">
        <f>L25</f>
        <v>62.643125283360867</v>
      </c>
      <c r="AG84" s="464">
        <f>A25</f>
        <v>45860</v>
      </c>
      <c r="AH84" s="432">
        <f>((AF84-AF85)/AVERAGE(AF84:AF85))*100</f>
        <v>-13.309903393289968</v>
      </c>
      <c r="AI84" t="s">
        <v>353</v>
      </c>
      <c r="AK84" s="461"/>
    </row>
    <row r="85" spans="1:37">
      <c r="A85" s="482">
        <v>45874</v>
      </c>
      <c r="B85" s="391">
        <v>13</v>
      </c>
      <c r="C85" s="391" t="s">
        <v>2082</v>
      </c>
      <c r="D85" s="391">
        <v>1271.5</v>
      </c>
      <c r="E85" s="391"/>
      <c r="F85" s="391"/>
      <c r="G85" s="391"/>
      <c r="H85" s="391">
        <v>18.556999999999999</v>
      </c>
      <c r="I85" s="391">
        <v>0.27860000000000001</v>
      </c>
      <c r="J85" s="391">
        <v>18.278399999999998</v>
      </c>
      <c r="K85" s="391">
        <v>161.34047586326855</v>
      </c>
      <c r="L85" s="391">
        <v>12.68898748433099</v>
      </c>
      <c r="M85">
        <v>152.33014621149042</v>
      </c>
      <c r="N85">
        <v>11.980349682382258</v>
      </c>
      <c r="O85">
        <v>128</v>
      </c>
      <c r="P85">
        <v>41.7</v>
      </c>
      <c r="Q85">
        <v>100</v>
      </c>
      <c r="R85">
        <v>3</v>
      </c>
      <c r="S85" t="s">
        <v>196</v>
      </c>
      <c r="T85" t="s">
        <v>196</v>
      </c>
      <c r="X85" s="193">
        <f>((J75-INDEX(LINEST($H$75:$H$80,$G$75:$G$80),2))/INDEX(LINEST($H$75:$H$80,$G$75:$G$80),1)/100.09)*12.01</f>
        <v>0.97131570936304656</v>
      </c>
      <c r="Y85" s="193">
        <f>(J75-X85)^2</f>
        <v>0.47985505399834871</v>
      </c>
      <c r="Z85" s="43"/>
      <c r="AA85" s="43"/>
      <c r="AC85" s="434">
        <v>2023</v>
      </c>
      <c r="AD85" s="468" t="s">
        <v>37</v>
      </c>
      <c r="AE85" s="468">
        <v>2</v>
      </c>
      <c r="AF85" s="468">
        <f>L58</f>
        <v>71.575296415413575</v>
      </c>
      <c r="AG85" s="472">
        <f>A58</f>
        <v>45867</v>
      </c>
      <c r="AH85" s="433"/>
      <c r="AJ85" s="28"/>
      <c r="AK85" s="461"/>
    </row>
    <row r="86" spans="1:37">
      <c r="A86" s="482">
        <v>45874</v>
      </c>
      <c r="B86" s="391">
        <v>14</v>
      </c>
      <c r="C86" s="391" t="s">
        <v>2083</v>
      </c>
      <c r="D86" s="391">
        <v>2174.4</v>
      </c>
      <c r="E86" s="391"/>
      <c r="F86" s="391"/>
      <c r="G86" s="391"/>
      <c r="H86" s="391">
        <v>35.453400000000002</v>
      </c>
      <c r="I86" s="391">
        <v>0.27860000000000001</v>
      </c>
      <c r="J86" s="391">
        <v>35.174800000000005</v>
      </c>
      <c r="K86" s="391">
        <v>304.17283881437135</v>
      </c>
      <c r="L86" s="391">
        <v>13.988817090432825</v>
      </c>
      <c r="M86">
        <v>293.14285861781855</v>
      </c>
      <c r="N86">
        <v>13.48155162885479</v>
      </c>
      <c r="O86">
        <v>128</v>
      </c>
      <c r="P86">
        <v>41.7</v>
      </c>
      <c r="Q86">
        <v>100</v>
      </c>
      <c r="R86">
        <v>3</v>
      </c>
      <c r="S86" t="s">
        <v>196</v>
      </c>
      <c r="T86" t="s">
        <v>196</v>
      </c>
      <c r="X86" s="193">
        <f t="shared" ref="X86:X90" si="4">((J76-INDEX(LINEST($H$75:$H$80,$G$75:$G$80),2))/INDEX(LINEST($H$75:$H$80,$G$75:$G$80),1)/100.09)*12.01</f>
        <v>54.795645827616966</v>
      </c>
      <c r="Y86" s="193">
        <f t="shared" ref="Y86:Y90" si="5">(J76-X86)^2</f>
        <v>2.0364597941189881</v>
      </c>
      <c r="Z86" s="43"/>
      <c r="AA86" s="43"/>
      <c r="AC86" s="434">
        <v>2023</v>
      </c>
      <c r="AD86" s="468" t="s">
        <v>37</v>
      </c>
      <c r="AE86" s="468">
        <v>2</v>
      </c>
      <c r="AF86" s="468">
        <f>L88</f>
        <v>71.436922839915951</v>
      </c>
      <c r="AG86" s="472">
        <f>A88</f>
        <v>45874</v>
      </c>
      <c r="AH86" s="433">
        <f>((AF86-AF87)/AVERAGE(AF86:AF87))*100</f>
        <v>-1.5462469699050552</v>
      </c>
      <c r="AK86" s="461"/>
    </row>
    <row r="87" spans="1:37">
      <c r="A87" s="85">
        <v>45874</v>
      </c>
      <c r="B87">
        <v>15</v>
      </c>
      <c r="C87" t="s">
        <v>2049</v>
      </c>
      <c r="H87">
        <v>0.22839999999999999</v>
      </c>
      <c r="I87">
        <v>0.27860000000000001</v>
      </c>
      <c r="J87">
        <v>-5.0200000000000022E-2</v>
      </c>
      <c r="K87">
        <v>6.4011250201551446</v>
      </c>
      <c r="L87" s="391" t="e">
        <v>#DIV/0!</v>
      </c>
      <c r="M87">
        <v>-0.41836119900083285</v>
      </c>
      <c r="N87" t="e">
        <v>#DIV/0!</v>
      </c>
      <c r="O87">
        <v>128</v>
      </c>
      <c r="P87">
        <v>41.7</v>
      </c>
      <c r="Q87">
        <v>100</v>
      </c>
      <c r="R87">
        <v>3</v>
      </c>
      <c r="S87" t="s">
        <v>196</v>
      </c>
      <c r="T87" t="s">
        <v>196</v>
      </c>
      <c r="X87" s="193">
        <f t="shared" si="4"/>
        <v>123.69768243520359</v>
      </c>
      <c r="Y87" s="193">
        <f t="shared" si="5"/>
        <v>5.6030792550493347</v>
      </c>
      <c r="Z87" s="43"/>
      <c r="AA87" s="43"/>
      <c r="AC87" s="430">
        <v>2023</v>
      </c>
      <c r="AD87" s="465" t="s">
        <v>37</v>
      </c>
      <c r="AE87" s="465">
        <v>2</v>
      </c>
      <c r="AF87" s="465">
        <f>L92</f>
        <v>72.550120487166396</v>
      </c>
      <c r="AG87" s="474">
        <f>A92</f>
        <v>45874</v>
      </c>
      <c r="AH87" s="431"/>
      <c r="AK87" s="461"/>
    </row>
    <row r="88" spans="1:37">
      <c r="A88" s="285">
        <v>45874</v>
      </c>
      <c r="B88" s="284">
        <v>16</v>
      </c>
      <c r="C88" s="284" t="s">
        <v>2095</v>
      </c>
      <c r="D88" s="284">
        <v>2191.4</v>
      </c>
      <c r="E88" s="284"/>
      <c r="F88" s="284"/>
      <c r="G88" s="284"/>
      <c r="H88" s="284">
        <v>184.65880000000001</v>
      </c>
      <c r="I88" s="284">
        <v>0.27860000000000001</v>
      </c>
      <c r="J88" s="284">
        <v>184.3802</v>
      </c>
      <c r="K88" s="284">
        <v>1565.4687271139182</v>
      </c>
      <c r="L88" s="284">
        <v>71.436922839915951</v>
      </c>
      <c r="M88" s="284">
        <v>1536.6040148209827</v>
      </c>
      <c r="N88" s="284">
        <v>70.119741481289708</v>
      </c>
      <c r="O88">
        <v>128</v>
      </c>
      <c r="P88">
        <v>41.7</v>
      </c>
      <c r="Q88">
        <v>100</v>
      </c>
      <c r="R88">
        <v>3</v>
      </c>
      <c r="S88" t="s">
        <v>196</v>
      </c>
      <c r="T88" t="s">
        <v>196</v>
      </c>
      <c r="X88" s="193">
        <f t="shared" si="4"/>
        <v>228.43340115173086</v>
      </c>
      <c r="Y88" s="193">
        <f t="shared" si="5"/>
        <v>14.409624743942146</v>
      </c>
      <c r="Z88" s="43"/>
      <c r="AA88" s="43"/>
      <c r="AC88" s="428">
        <v>2023</v>
      </c>
      <c r="AD88" s="470" t="s">
        <v>37</v>
      </c>
      <c r="AE88" s="470">
        <v>3</v>
      </c>
      <c r="AF88" s="463">
        <f>L26</f>
        <v>67.492836677166196</v>
      </c>
      <c r="AG88" s="464">
        <f>A26</f>
        <v>45860</v>
      </c>
      <c r="AH88" s="432">
        <f>((AF88-AF89)/AVERAGE(AF88:AF89))*100</f>
        <v>-5.0097111582693366</v>
      </c>
      <c r="AI88" t="s">
        <v>353</v>
      </c>
      <c r="AK88" s="461"/>
    </row>
    <row r="89" spans="1:37" ht="15.75">
      <c r="A89" s="85">
        <v>45874</v>
      </c>
      <c r="B89">
        <v>17</v>
      </c>
      <c r="C89" t="s">
        <v>2065</v>
      </c>
      <c r="D89">
        <v>2488.4</v>
      </c>
      <c r="H89">
        <v>208.35599999999999</v>
      </c>
      <c r="I89">
        <v>0.27860000000000001</v>
      </c>
      <c r="J89">
        <v>208.07739999999998</v>
      </c>
      <c r="K89">
        <v>1765.7911076994199</v>
      </c>
      <c r="L89" s="391">
        <v>70.960902897420823</v>
      </c>
      <c r="M89">
        <v>1734.0938356369693</v>
      </c>
      <c r="N89">
        <v>69.687101576795101</v>
      </c>
      <c r="O89">
        <v>128</v>
      </c>
      <c r="P89">
        <v>41.7</v>
      </c>
      <c r="Q89">
        <v>100</v>
      </c>
      <c r="R89">
        <v>3</v>
      </c>
      <c r="S89" t="s">
        <v>196</v>
      </c>
      <c r="T89" t="s">
        <v>196</v>
      </c>
      <c r="X89" s="193">
        <f t="shared" si="4"/>
        <v>340.79070178758366</v>
      </c>
      <c r="Y89" s="193">
        <f t="shared" si="5"/>
        <v>28.397194261711878</v>
      </c>
      <c r="Z89" s="43"/>
      <c r="AA89" s="51" t="s">
        <v>2039</v>
      </c>
      <c r="AC89" s="434">
        <v>2023</v>
      </c>
      <c r="AD89" s="468" t="s">
        <v>37</v>
      </c>
      <c r="AE89" s="468">
        <v>3</v>
      </c>
      <c r="AF89" s="468">
        <f>L89</f>
        <v>70.960902897420823</v>
      </c>
      <c r="AG89" s="472">
        <f>A89</f>
        <v>45874</v>
      </c>
      <c r="AH89" s="433"/>
      <c r="AK89" s="461"/>
    </row>
    <row r="90" spans="1:37" ht="15.75">
      <c r="A90" s="85">
        <v>45874</v>
      </c>
      <c r="B90">
        <v>18</v>
      </c>
      <c r="C90" t="s">
        <v>2066</v>
      </c>
      <c r="D90">
        <v>2384.6999999999998</v>
      </c>
      <c r="H90">
        <v>182.2407</v>
      </c>
      <c r="I90">
        <v>0.27860000000000001</v>
      </c>
      <c r="J90">
        <v>181.96209999999999</v>
      </c>
      <c r="K90">
        <v>1545.0275126036047</v>
      </c>
      <c r="L90" s="391">
        <v>64.78917736418019</v>
      </c>
      <c r="M90">
        <v>1516.4518392173188</v>
      </c>
      <c r="N90">
        <v>63.590885193832307</v>
      </c>
      <c r="O90">
        <v>128</v>
      </c>
      <c r="P90">
        <v>41.7</v>
      </c>
      <c r="Q90">
        <v>100</v>
      </c>
      <c r="R90">
        <v>3</v>
      </c>
      <c r="S90" t="s">
        <v>196</v>
      </c>
      <c r="T90" t="s">
        <v>196</v>
      </c>
      <c r="X90" s="193">
        <f t="shared" si="4"/>
        <v>402.74870026597534</v>
      </c>
      <c r="Y90" s="193">
        <f t="shared" si="5"/>
        <v>38.120748924370005</v>
      </c>
      <c r="Z90" s="43"/>
      <c r="AA90" s="425">
        <f>(Y91/$AL$15)*100</f>
        <v>6.7539294091934803</v>
      </c>
      <c r="AC90" s="434">
        <v>2023</v>
      </c>
      <c r="AD90" s="468" t="s">
        <v>37</v>
      </c>
      <c r="AE90" s="468">
        <v>3</v>
      </c>
      <c r="AF90" s="468">
        <f>L118</f>
        <v>71.635838804607175</v>
      </c>
      <c r="AG90" s="472">
        <f>A118</f>
        <v>45876</v>
      </c>
      <c r="AH90" s="433">
        <f>((AF90-AF91)/AVERAGE(AF90:AF91))*100</f>
        <v>1.7581450196697423</v>
      </c>
      <c r="AI90" s="28"/>
      <c r="AK90" s="461"/>
    </row>
    <row r="91" spans="1:37" ht="15.75">
      <c r="A91" s="85">
        <v>45874</v>
      </c>
      <c r="B91">
        <v>19</v>
      </c>
      <c r="C91" t="s">
        <v>2050</v>
      </c>
      <c r="H91">
        <v>0.22409999999999999</v>
      </c>
      <c r="I91">
        <v>0.27860000000000001</v>
      </c>
      <c r="J91">
        <v>-5.4500000000000021E-2</v>
      </c>
      <c r="K91">
        <v>6.3647753148516637</v>
      </c>
      <c r="L91" s="391" t="e">
        <v>#DIV/0!</v>
      </c>
      <c r="M91">
        <v>-0.45419691923397187</v>
      </c>
      <c r="N91" t="e">
        <v>#DIV/0!</v>
      </c>
      <c r="O91">
        <v>128</v>
      </c>
      <c r="P91">
        <v>41.7</v>
      </c>
      <c r="Q91">
        <v>100</v>
      </c>
      <c r="R91">
        <v>3</v>
      </c>
      <c r="S91" t="s">
        <v>196</v>
      </c>
      <c r="T91" t="s">
        <v>196</v>
      </c>
      <c r="X91" s="43"/>
      <c r="Y91" s="425">
        <f>SQRT(SUM(Y85:Y90)/(6-2))</f>
        <v>4.718234893294067</v>
      </c>
      <c r="Z91" s="51" t="s">
        <v>2044</v>
      </c>
      <c r="AA91" s="43"/>
      <c r="AC91" s="430">
        <v>2023</v>
      </c>
      <c r="AD91" s="465" t="s">
        <v>37</v>
      </c>
      <c r="AE91" s="465">
        <v>3</v>
      </c>
      <c r="AF91" s="465">
        <f>L123</f>
        <v>70.387351976856991</v>
      </c>
      <c r="AG91" s="474">
        <f>A123</f>
        <v>45876</v>
      </c>
      <c r="AH91" s="431"/>
      <c r="AK91" s="461"/>
    </row>
    <row r="92" spans="1:37" ht="15.75">
      <c r="A92" s="285">
        <v>45874</v>
      </c>
      <c r="B92" s="284">
        <v>20</v>
      </c>
      <c r="C92" s="284" t="s">
        <v>2096</v>
      </c>
      <c r="D92" s="284">
        <v>2397.9</v>
      </c>
      <c r="E92" s="284"/>
      <c r="F92" s="284"/>
      <c r="G92" s="284"/>
      <c r="H92" s="284">
        <v>205.2671</v>
      </c>
      <c r="I92" s="284">
        <v>0.27860000000000001</v>
      </c>
      <c r="J92" s="284">
        <v>204.98849999999999</v>
      </c>
      <c r="K92" s="284">
        <v>1739.6793391617632</v>
      </c>
      <c r="L92" s="284">
        <v>72.550120487166396</v>
      </c>
      <c r="M92" s="284">
        <v>1708.3512876769357</v>
      </c>
      <c r="N92" s="284">
        <v>71.243641839815481</v>
      </c>
      <c r="O92">
        <v>128</v>
      </c>
      <c r="P92">
        <v>41.7</v>
      </c>
      <c r="Q92">
        <v>100</v>
      </c>
      <c r="R92">
        <v>3</v>
      </c>
      <c r="S92" t="s">
        <v>196</v>
      </c>
      <c r="T92" t="s">
        <v>196</v>
      </c>
      <c r="X92" s="43"/>
      <c r="Y92" s="425">
        <f>(Y91/12.01)*100.09</f>
        <v>39.321243169842063</v>
      </c>
      <c r="Z92" s="51" t="s">
        <v>2046</v>
      </c>
      <c r="AA92" s="43"/>
      <c r="AC92" s="434">
        <v>2023</v>
      </c>
      <c r="AD92" s="468" t="s">
        <v>37</v>
      </c>
      <c r="AE92" s="468">
        <v>4</v>
      </c>
      <c r="AF92" s="468">
        <f>L27</f>
        <v>63.907269384225408</v>
      </c>
      <c r="AG92" s="472">
        <f>A27</f>
        <v>45860</v>
      </c>
      <c r="AH92" s="433">
        <f>((AF92-AF93)/AVERAGE(AF92:AF93))*100</f>
        <v>-1.3705242098546253</v>
      </c>
      <c r="AI92" t="s">
        <v>353</v>
      </c>
      <c r="AK92" s="461"/>
    </row>
    <row r="93" spans="1:37">
      <c r="A93" s="85">
        <v>45874</v>
      </c>
      <c r="B93">
        <v>21</v>
      </c>
      <c r="C93" t="s">
        <v>2068</v>
      </c>
      <c r="D93">
        <v>3139.1</v>
      </c>
      <c r="H93">
        <v>238.76769999999999</v>
      </c>
      <c r="I93">
        <v>0.27860000000000001</v>
      </c>
      <c r="J93">
        <v>238.48909999999998</v>
      </c>
      <c r="K93">
        <v>2022.8739757872995</v>
      </c>
      <c r="L93" s="391">
        <v>64.441208492475539</v>
      </c>
      <c r="M93">
        <v>1987.5415502914238</v>
      </c>
      <c r="N93">
        <v>63.315649399236214</v>
      </c>
      <c r="O93">
        <v>128</v>
      </c>
      <c r="P93">
        <v>41.7</v>
      </c>
      <c r="Q93">
        <v>100</v>
      </c>
      <c r="R93">
        <v>3</v>
      </c>
      <c r="S93" t="s">
        <v>196</v>
      </c>
      <c r="T93" t="s">
        <v>196</v>
      </c>
      <c r="X93" s="43"/>
      <c r="Y93" s="43"/>
      <c r="Z93" s="43"/>
      <c r="AA93" s="43"/>
      <c r="AC93" s="430">
        <v>2023</v>
      </c>
      <c r="AD93" s="465" t="s">
        <v>37</v>
      </c>
      <c r="AE93" s="465">
        <v>4</v>
      </c>
      <c r="AF93" s="465">
        <f>L90</f>
        <v>64.78917736418019</v>
      </c>
      <c r="AG93" s="474">
        <f>A90</f>
        <v>45874</v>
      </c>
      <c r="AH93" s="431"/>
      <c r="AK93" s="462"/>
    </row>
    <row r="94" spans="1:37">
      <c r="A94" s="85">
        <v>45874</v>
      </c>
      <c r="B94">
        <v>22</v>
      </c>
      <c r="C94" t="s">
        <v>2070</v>
      </c>
      <c r="D94">
        <v>2126.4</v>
      </c>
      <c r="H94">
        <v>154.59989999999999</v>
      </c>
      <c r="I94">
        <v>0.27860000000000001</v>
      </c>
      <c r="J94">
        <v>154.32129999999998</v>
      </c>
      <c r="K94">
        <v>1311.3682255448914</v>
      </c>
      <c r="L94" s="391">
        <v>61.67081572351821</v>
      </c>
      <c r="M94">
        <v>1286.0964960033305</v>
      </c>
      <c r="N94">
        <v>60.482340857944429</v>
      </c>
      <c r="O94">
        <v>128</v>
      </c>
      <c r="P94">
        <v>41.7</v>
      </c>
      <c r="Q94">
        <v>100</v>
      </c>
      <c r="R94">
        <v>3</v>
      </c>
      <c r="S94" t="s">
        <v>196</v>
      </c>
      <c r="T94" t="s">
        <v>196</v>
      </c>
      <c r="AA94" s="43"/>
      <c r="AC94" s="434">
        <v>2023</v>
      </c>
      <c r="AD94" s="468" t="s">
        <v>37</v>
      </c>
      <c r="AE94" s="468">
        <v>5</v>
      </c>
      <c r="AF94" s="468">
        <f>L30</f>
        <v>61.898327234359961</v>
      </c>
      <c r="AG94" s="472">
        <f>A30</f>
        <v>45860</v>
      </c>
      <c r="AH94" s="433">
        <f>((AF94-AF95)/AVERAGE(AF94:AF95))*100</f>
        <v>-4.025471905506536</v>
      </c>
      <c r="AI94" t="s">
        <v>353</v>
      </c>
      <c r="AK94" s="462"/>
    </row>
    <row r="95" spans="1:37">
      <c r="A95" s="85">
        <v>45874</v>
      </c>
      <c r="B95">
        <v>23</v>
      </c>
      <c r="C95" t="s">
        <v>2051</v>
      </c>
      <c r="H95">
        <v>0.27779999999999999</v>
      </c>
      <c r="I95">
        <v>0.27860000000000001</v>
      </c>
      <c r="J95">
        <v>-8.0000000000002292E-4</v>
      </c>
      <c r="K95">
        <v>6.818723960153279</v>
      </c>
      <c r="L95" s="391" t="e">
        <v>#DIV/0!</v>
      </c>
      <c r="M95">
        <v>-6.6671107410493169E-3</v>
      </c>
      <c r="N95" t="e">
        <v>#DIV/0!</v>
      </c>
      <c r="O95">
        <v>128</v>
      </c>
      <c r="P95">
        <v>41.7</v>
      </c>
      <c r="Q95">
        <v>100</v>
      </c>
      <c r="R95">
        <v>3</v>
      </c>
      <c r="S95" t="s">
        <v>196</v>
      </c>
      <c r="T95" t="s">
        <v>196</v>
      </c>
      <c r="AA95" s="43"/>
      <c r="AC95" s="430">
        <v>2023</v>
      </c>
      <c r="AD95" s="465" t="s">
        <v>37</v>
      </c>
      <c r="AE95" s="465">
        <v>5</v>
      </c>
      <c r="AF95" s="465">
        <f>L93</f>
        <v>64.441208492475539</v>
      </c>
      <c r="AG95" s="474">
        <f>A93</f>
        <v>45874</v>
      </c>
      <c r="AH95" s="431"/>
      <c r="AK95" s="462"/>
    </row>
    <row r="96" spans="1:37">
      <c r="A96" s="85">
        <v>45874</v>
      </c>
      <c r="B96">
        <v>24</v>
      </c>
      <c r="C96" t="s">
        <v>2052</v>
      </c>
      <c r="H96">
        <v>0.36849999999999999</v>
      </c>
      <c r="I96">
        <v>0.27860000000000001</v>
      </c>
      <c r="J96">
        <v>8.989999999999998E-2</v>
      </c>
      <c r="K96">
        <v>7.5854491394615939</v>
      </c>
      <c r="L96" s="391" t="e">
        <v>#DIV/0!</v>
      </c>
      <c r="M96">
        <v>0.74921656952539539</v>
      </c>
      <c r="N96" t="e">
        <v>#DIV/0!</v>
      </c>
      <c r="O96">
        <v>128</v>
      </c>
      <c r="P96">
        <v>41.7</v>
      </c>
      <c r="Q96">
        <v>100</v>
      </c>
      <c r="R96">
        <v>3</v>
      </c>
      <c r="S96" t="s">
        <v>196</v>
      </c>
      <c r="T96" t="s">
        <v>196</v>
      </c>
      <c r="AA96" s="43"/>
      <c r="AC96" s="434">
        <v>2023</v>
      </c>
      <c r="AD96" s="468" t="s">
        <v>37</v>
      </c>
      <c r="AE96" s="468">
        <v>6</v>
      </c>
      <c r="AF96" s="468">
        <f>L31</f>
        <v>66.122833025916066</v>
      </c>
      <c r="AG96" s="472">
        <f>A31</f>
        <v>45860</v>
      </c>
      <c r="AH96" s="433">
        <f>((AF96-AF97)/AVERAGE(AF96:AF97))*100</f>
        <v>-2.069206616325844</v>
      </c>
      <c r="AI96" t="s">
        <v>353</v>
      </c>
      <c r="AK96" s="462"/>
    </row>
    <row r="97" spans="1:37">
      <c r="A97" s="85">
        <v>45874</v>
      </c>
      <c r="B97">
        <v>25</v>
      </c>
      <c r="C97" t="s">
        <v>2102</v>
      </c>
      <c r="D97">
        <v>1968.4</v>
      </c>
      <c r="G97">
        <v>1968.0063200000002</v>
      </c>
      <c r="H97">
        <v>233.13659999999999</v>
      </c>
      <c r="I97">
        <v>0.27860000000000001</v>
      </c>
      <c r="J97">
        <v>232.85799999999998</v>
      </c>
      <c r="K97">
        <v>1975.2719233374312</v>
      </c>
      <c r="L97" s="391">
        <v>100.36918597585758</v>
      </c>
      <c r="M97">
        <v>1940.6125911740216</v>
      </c>
      <c r="N97">
        <v>98.608046704546226</v>
      </c>
      <c r="O97">
        <v>128</v>
      </c>
      <c r="P97">
        <v>41.7</v>
      </c>
      <c r="Q97">
        <v>100</v>
      </c>
      <c r="R97">
        <v>3</v>
      </c>
      <c r="S97" t="s">
        <v>196</v>
      </c>
      <c r="T97" t="s">
        <v>196</v>
      </c>
      <c r="AA97" s="43"/>
      <c r="AC97" s="430">
        <v>2023</v>
      </c>
      <c r="AD97" s="465" t="s">
        <v>37</v>
      </c>
      <c r="AE97" s="465">
        <v>6</v>
      </c>
      <c r="AF97" s="465">
        <f>L64</f>
        <v>67.505354676523666</v>
      </c>
      <c r="AG97" s="474">
        <f>A64</f>
        <v>45867</v>
      </c>
      <c r="AH97" s="431"/>
      <c r="AJ97" s="28"/>
      <c r="AK97" s="462"/>
    </row>
    <row r="98" spans="1:37">
      <c r="A98" s="85">
        <v>45874</v>
      </c>
      <c r="B98">
        <v>26</v>
      </c>
      <c r="C98" t="s">
        <v>2053</v>
      </c>
      <c r="H98">
        <v>0.41789999999999999</v>
      </c>
      <c r="I98">
        <v>0.27860000000000001</v>
      </c>
      <c r="J98">
        <v>0.13929999999999998</v>
      </c>
      <c r="K98">
        <v>8.0030480794597292</v>
      </c>
      <c r="L98" s="391" t="e">
        <v>#DIV/0!</v>
      </c>
      <c r="M98">
        <v>1.1609106577851789</v>
      </c>
      <c r="N98" t="e">
        <v>#DIV/0!</v>
      </c>
      <c r="O98">
        <v>128</v>
      </c>
      <c r="P98">
        <v>41.7</v>
      </c>
      <c r="Q98">
        <v>100</v>
      </c>
      <c r="R98">
        <v>3</v>
      </c>
      <c r="S98" t="s">
        <v>196</v>
      </c>
      <c r="T98" t="s">
        <v>196</v>
      </c>
      <c r="AA98" s="43"/>
      <c r="AC98" s="434">
        <v>2023</v>
      </c>
      <c r="AD98" s="468" t="s">
        <v>37</v>
      </c>
      <c r="AE98" s="468">
        <v>7</v>
      </c>
      <c r="AF98" s="466">
        <f>L32</f>
        <v>57.357775061372472</v>
      </c>
      <c r="AG98" s="467">
        <f>A32</f>
        <v>45860</v>
      </c>
      <c r="AH98" s="435">
        <f>((AF98-AF99)/AVERAGE(AF98:AF99))*100</f>
        <v>-7.2470666647482975</v>
      </c>
      <c r="AI98" s="43" t="s">
        <v>353</v>
      </c>
      <c r="AJ98" s="28"/>
      <c r="AK98" s="462"/>
    </row>
    <row r="99" spans="1:37">
      <c r="H99"/>
      <c r="AA99" s="43"/>
      <c r="AC99" s="434">
        <v>2023</v>
      </c>
      <c r="AD99" s="468" t="s">
        <v>37</v>
      </c>
      <c r="AE99" s="468">
        <v>7</v>
      </c>
      <c r="AF99" s="468">
        <f>L94</f>
        <v>61.67081572351821</v>
      </c>
      <c r="AG99" s="472">
        <f>A94</f>
        <v>45874</v>
      </c>
      <c r="AH99" s="435"/>
      <c r="AI99" s="28"/>
      <c r="AJ99" s="28"/>
      <c r="AK99" s="462"/>
    </row>
    <row r="100" spans="1:37">
      <c r="A100" s="85" t="s">
        <v>2104</v>
      </c>
      <c r="H100"/>
      <c r="AA100" s="43"/>
      <c r="AC100" s="434">
        <v>2023</v>
      </c>
      <c r="AD100" s="468" t="s">
        <v>37</v>
      </c>
      <c r="AE100" s="468">
        <v>7</v>
      </c>
      <c r="AF100" s="468">
        <f>L119</f>
        <v>62.465958211275833</v>
      </c>
      <c r="AG100" s="472">
        <f>A119</f>
        <v>45876</v>
      </c>
      <c r="AH100" s="476">
        <f>((AF100-AF101)/AVERAGE(AF100:AF101))*100</f>
        <v>1.0821071734756849</v>
      </c>
      <c r="AI100" s="28"/>
      <c r="AK100" s="462"/>
    </row>
    <row r="101" spans="1:37">
      <c r="A101" s="85" t="s">
        <v>2035</v>
      </c>
      <c r="H101"/>
      <c r="AA101" s="43"/>
      <c r="AC101" s="430">
        <v>2023</v>
      </c>
      <c r="AD101" s="465" t="s">
        <v>37</v>
      </c>
      <c r="AE101" s="465">
        <v>7</v>
      </c>
      <c r="AF101" s="465">
        <f>L124</f>
        <v>61.793647159550687</v>
      </c>
      <c r="AG101" s="474">
        <f>A124</f>
        <v>45876</v>
      </c>
      <c r="AH101" s="437"/>
      <c r="AI101" s="28"/>
      <c r="AK101" s="462"/>
    </row>
    <row r="102" spans="1:37">
      <c r="A102" s="85" t="s">
        <v>2105</v>
      </c>
      <c r="H102"/>
      <c r="AA102" s="43"/>
      <c r="AC102" s="428">
        <v>2023</v>
      </c>
      <c r="AD102" s="470" t="s">
        <v>37</v>
      </c>
      <c r="AE102" s="470">
        <v>8</v>
      </c>
      <c r="AF102" s="463">
        <f>L28</f>
        <v>53.566456314512301</v>
      </c>
      <c r="AG102" s="464">
        <f>A28</f>
        <v>45860</v>
      </c>
      <c r="AH102" s="432">
        <f>((AF102-AF103)/AVERAGE(AF102:AF103))*100</f>
        <v>-15.495350671509801</v>
      </c>
      <c r="AI102" t="s">
        <v>353</v>
      </c>
      <c r="AK102" s="462"/>
    </row>
    <row r="103" spans="1:37">
      <c r="A103" s="85">
        <v>45876</v>
      </c>
      <c r="B103">
        <v>1</v>
      </c>
      <c r="C103" t="s">
        <v>2040</v>
      </c>
      <c r="H103">
        <v>0.31790000000000002</v>
      </c>
      <c r="AA103" s="43"/>
      <c r="AC103" s="434">
        <v>2023</v>
      </c>
      <c r="AD103" s="468" t="s">
        <v>37</v>
      </c>
      <c r="AE103" s="468">
        <v>8</v>
      </c>
      <c r="AF103" s="468">
        <f>L33</f>
        <v>62.563855868880168</v>
      </c>
      <c r="AG103" s="472">
        <f>A33</f>
        <v>45860</v>
      </c>
      <c r="AH103" s="433"/>
      <c r="AK103" s="462"/>
    </row>
    <row r="104" spans="1:37">
      <c r="A104" s="85">
        <v>45876</v>
      </c>
      <c r="B104">
        <v>2</v>
      </c>
      <c r="C104" t="s">
        <v>2041</v>
      </c>
      <c r="H104">
        <v>0.42180000000000001</v>
      </c>
      <c r="X104" s="43"/>
      <c r="Y104" s="43"/>
      <c r="Z104" s="43"/>
      <c r="AA104" s="43"/>
      <c r="AC104" s="434">
        <v>2023</v>
      </c>
      <c r="AD104" s="468" t="s">
        <v>37</v>
      </c>
      <c r="AE104" s="468">
        <v>8</v>
      </c>
      <c r="AF104" s="468">
        <f>L59</f>
        <v>62.380256339660264</v>
      </c>
      <c r="AG104" s="472">
        <f>A59</f>
        <v>45867</v>
      </c>
      <c r="AH104" s="476">
        <f>((AF104-AF105)/AVERAGE(AF104:AF105))*100</f>
        <v>-0.76969313701231534</v>
      </c>
      <c r="AK104" s="462"/>
    </row>
    <row r="105" spans="1:37">
      <c r="A105" s="85">
        <v>45876</v>
      </c>
      <c r="B105">
        <v>3</v>
      </c>
      <c r="C105" t="s">
        <v>2042</v>
      </c>
      <c r="G105">
        <v>0</v>
      </c>
      <c r="H105">
        <v>0.23</v>
      </c>
      <c r="I105">
        <v>0.29312000000000005</v>
      </c>
      <c r="J105">
        <v>0.29312000000000005</v>
      </c>
      <c r="X105" s="43"/>
      <c r="Y105" s="43"/>
      <c r="Z105" s="43"/>
      <c r="AA105" s="43"/>
      <c r="AC105" s="430">
        <v>2023</v>
      </c>
      <c r="AD105" s="465" t="s">
        <v>37</v>
      </c>
      <c r="AE105" s="465">
        <v>8</v>
      </c>
      <c r="AF105" s="465">
        <f>L62</f>
        <v>62.862247819226923</v>
      </c>
      <c r="AG105" s="474">
        <f>A62</f>
        <v>45867</v>
      </c>
      <c r="AH105" s="431"/>
      <c r="AK105" s="462"/>
    </row>
    <row r="106" spans="1:37">
      <c r="A106" s="85">
        <v>45876</v>
      </c>
      <c r="B106">
        <v>4</v>
      </c>
      <c r="C106" t="s">
        <v>2114</v>
      </c>
      <c r="D106">
        <v>388.4</v>
      </c>
      <c r="G106">
        <v>388.32231999999999</v>
      </c>
      <c r="H106">
        <v>44.747700000000002</v>
      </c>
      <c r="I106">
        <v>0.29312000000000005</v>
      </c>
      <c r="J106">
        <v>44.45458</v>
      </c>
      <c r="K106">
        <v>380.7459687254169</v>
      </c>
      <c r="L106" s="391">
        <v>98.04895292277223</v>
      </c>
      <c r="M106">
        <v>370.47950975853456</v>
      </c>
      <c r="N106">
        <v>95.405154604178961</v>
      </c>
      <c r="O106">
        <v>128</v>
      </c>
      <c r="P106">
        <v>41.7</v>
      </c>
      <c r="Q106">
        <v>100</v>
      </c>
      <c r="R106">
        <v>3</v>
      </c>
      <c r="S106" t="s">
        <v>196</v>
      </c>
      <c r="T106" t="s">
        <v>196</v>
      </c>
      <c r="X106" s="423">
        <f>A107</f>
        <v>45876</v>
      </c>
      <c r="Y106" s="43"/>
      <c r="Z106" s="43"/>
      <c r="AA106" s="43"/>
      <c r="AC106" s="434">
        <v>2023</v>
      </c>
      <c r="AD106" s="468" t="s">
        <v>37</v>
      </c>
      <c r="AE106" s="468">
        <v>9</v>
      </c>
      <c r="AF106" s="468">
        <f>L34</f>
        <v>64.66164366540518</v>
      </c>
      <c r="AG106" s="472">
        <f>A34</f>
        <v>45860</v>
      </c>
      <c r="AH106" s="433">
        <f>((AF106-AF107)/AVERAGE(AF106:AF107))*100</f>
        <v>-2.6454987443203577</v>
      </c>
      <c r="AI106" t="s">
        <v>353</v>
      </c>
      <c r="AK106" s="462"/>
    </row>
    <row r="107" spans="1:37">
      <c r="A107" s="85">
        <v>45876</v>
      </c>
      <c r="B107">
        <v>5</v>
      </c>
      <c r="C107" t="s">
        <v>2115</v>
      </c>
      <c r="D107">
        <v>987.5</v>
      </c>
      <c r="G107">
        <v>987.30250000000001</v>
      </c>
      <c r="H107">
        <v>116.46429999999999</v>
      </c>
      <c r="I107">
        <v>0.29312000000000005</v>
      </c>
      <c r="J107">
        <v>116.17117999999999</v>
      </c>
      <c r="K107">
        <v>986.80269635793263</v>
      </c>
      <c r="L107" s="391">
        <v>99.94937684832486</v>
      </c>
      <c r="M107">
        <v>968.15765247293916</v>
      </c>
      <c r="N107">
        <v>98.060893441770801</v>
      </c>
      <c r="O107">
        <v>128</v>
      </c>
      <c r="P107">
        <v>41.7</v>
      </c>
      <c r="Q107">
        <v>100</v>
      </c>
      <c r="R107">
        <v>3</v>
      </c>
      <c r="S107" t="s">
        <v>196</v>
      </c>
      <c r="T107" t="s">
        <v>196</v>
      </c>
      <c r="X107" s="193">
        <f>((J105-INDEX(LINEST($H$105:$H$110,$G$105:$G$110),2))/INDEX(LINEST($H$105:$H$110,$G$105:$G$110),1)/100.09)*12.01</f>
        <v>0.76728003865921723</v>
      </c>
      <c r="Y107" s="193">
        <f>(J105-X107)^2</f>
        <v>0.22482774226131033</v>
      </c>
      <c r="Z107" s="43"/>
      <c r="AA107" s="43"/>
      <c r="AC107" s="430">
        <v>2023</v>
      </c>
      <c r="AD107" s="465" t="s">
        <v>37</v>
      </c>
      <c r="AE107" s="465">
        <v>9</v>
      </c>
      <c r="AF107" s="465">
        <f>L61</f>
        <v>66.395197205193995</v>
      </c>
      <c r="AG107" s="474">
        <f>A61</f>
        <v>45867</v>
      </c>
      <c r="AH107" s="431"/>
      <c r="AK107" s="461"/>
    </row>
    <row r="108" spans="1:37">
      <c r="A108" s="85">
        <v>45876</v>
      </c>
      <c r="B108">
        <v>6</v>
      </c>
      <c r="C108" t="s">
        <v>2116</v>
      </c>
      <c r="D108">
        <v>1945.6</v>
      </c>
      <c r="G108">
        <v>1945.2108799999999</v>
      </c>
      <c r="H108">
        <v>229.7792</v>
      </c>
      <c r="I108">
        <v>0.29312000000000005</v>
      </c>
      <c r="J108">
        <v>229.48608000000002</v>
      </c>
      <c r="K108">
        <v>1944.394906334504</v>
      </c>
      <c r="L108" s="391">
        <v>99.958052174502754</v>
      </c>
      <c r="M108">
        <v>1912.511386111574</v>
      </c>
      <c r="N108">
        <v>98.318974347479184</v>
      </c>
      <c r="O108">
        <v>128</v>
      </c>
      <c r="P108">
        <v>41.7</v>
      </c>
      <c r="Q108">
        <v>100</v>
      </c>
      <c r="R108">
        <v>3</v>
      </c>
      <c r="S108" t="s">
        <v>196</v>
      </c>
      <c r="T108" t="s">
        <v>196</v>
      </c>
      <c r="X108" s="193">
        <f t="shared" ref="X108:X111" si="6">((J106-INDEX(LINEST($H$105:$H$110,$G$105:$G$110),2))/INDEX(LINEST($H$105:$H$110,$G$105:$G$110),1)/100.09)*12.01</f>
        <v>45.524759616960885</v>
      </c>
      <c r="Y108" s="193">
        <f t="shared" ref="Y108:Y112" si="7">(J106-X108)^2</f>
        <v>1.1452844125585475</v>
      </c>
      <c r="Z108" s="43"/>
      <c r="AA108" s="43"/>
      <c r="AC108" s="434">
        <v>2023</v>
      </c>
      <c r="AD108" s="468" t="s">
        <v>37</v>
      </c>
      <c r="AE108" s="468">
        <v>10</v>
      </c>
      <c r="AF108" s="468">
        <f>L150</f>
        <v>73.081094005868579</v>
      </c>
      <c r="AG108" s="472">
        <f>A150</f>
        <v>45896</v>
      </c>
      <c r="AH108" s="433">
        <f>((AF108-AF109)/AVERAGE(AF108:AF109))*100</f>
        <v>2.0884974092396864</v>
      </c>
      <c r="AI108" t="s">
        <v>353</v>
      </c>
      <c r="AK108" s="461"/>
    </row>
    <row r="109" spans="1:37">
      <c r="A109" s="85">
        <v>45876</v>
      </c>
      <c r="B109">
        <v>7</v>
      </c>
      <c r="C109" t="s">
        <v>2117</v>
      </c>
      <c r="D109">
        <v>2891.6</v>
      </c>
      <c r="G109">
        <v>2891.0216799999998</v>
      </c>
      <c r="H109">
        <v>341.67509999999999</v>
      </c>
      <c r="I109">
        <v>0.29312000000000005</v>
      </c>
      <c r="J109">
        <v>341.38198</v>
      </c>
      <c r="K109">
        <v>2889.9955481593424</v>
      </c>
      <c r="L109" s="391">
        <v>99.964506255772605</v>
      </c>
      <c r="M109">
        <v>2845.0393320732728</v>
      </c>
      <c r="N109">
        <v>98.409477582100763</v>
      </c>
      <c r="O109">
        <v>128</v>
      </c>
      <c r="P109">
        <v>41.7</v>
      </c>
      <c r="Q109">
        <v>100</v>
      </c>
      <c r="R109">
        <v>3</v>
      </c>
      <c r="S109" t="s">
        <v>196</v>
      </c>
      <c r="T109" t="s">
        <v>196</v>
      </c>
      <c r="X109" s="193">
        <f t="shared" si="6"/>
        <v>118.2092736689245</v>
      </c>
      <c r="Y109" s="193">
        <f t="shared" si="7"/>
        <v>4.1538258033101432</v>
      </c>
      <c r="Z109" s="43"/>
      <c r="AA109" s="43"/>
      <c r="AC109" s="430">
        <v>2023</v>
      </c>
      <c r="AD109" s="465" t="s">
        <v>37</v>
      </c>
      <c r="AE109" s="465">
        <v>10</v>
      </c>
      <c r="AF109" s="465">
        <f>L156</f>
        <v>71.570570869199642</v>
      </c>
      <c r="AG109" s="474">
        <f>A156</f>
        <v>45896</v>
      </c>
      <c r="AH109" s="431"/>
      <c r="AK109" s="462"/>
    </row>
    <row r="110" spans="1:37">
      <c r="A110" s="85">
        <v>45876</v>
      </c>
      <c r="B110">
        <v>8</v>
      </c>
      <c r="C110" t="s">
        <v>2118</v>
      </c>
      <c r="D110">
        <v>3374.1</v>
      </c>
      <c r="G110">
        <v>3373.4251800000002</v>
      </c>
      <c r="H110">
        <v>399.16109999999998</v>
      </c>
      <c r="I110">
        <v>0.29312000000000005</v>
      </c>
      <c r="J110">
        <v>398.86797999999999</v>
      </c>
      <c r="K110">
        <v>3375.7934951434827</v>
      </c>
      <c r="L110" s="391">
        <v>100.07020505916431</v>
      </c>
      <c r="M110">
        <v>3324.1212421482101</v>
      </c>
      <c r="N110">
        <v>98.538460608401877</v>
      </c>
      <c r="O110">
        <v>128</v>
      </c>
      <c r="P110">
        <v>41.7</v>
      </c>
      <c r="Q110">
        <v>100</v>
      </c>
      <c r="R110">
        <v>3</v>
      </c>
      <c r="S110" t="s">
        <v>196</v>
      </c>
      <c r="T110" t="s">
        <v>196</v>
      </c>
      <c r="X110" s="193">
        <f t="shared" si="6"/>
        <v>233.05351393333822</v>
      </c>
      <c r="Y110" s="193">
        <f t="shared" si="7"/>
        <v>12.726584868732917</v>
      </c>
      <c r="Z110" s="43"/>
      <c r="AA110" s="43"/>
      <c r="AC110" s="434">
        <v>2023</v>
      </c>
      <c r="AD110" s="468" t="s">
        <v>37</v>
      </c>
      <c r="AE110" s="468">
        <v>11</v>
      </c>
      <c r="AF110" s="468">
        <f>L151</f>
        <v>71.451768905779758</v>
      </c>
      <c r="AG110" s="472">
        <f>A151</f>
        <v>45896</v>
      </c>
      <c r="AH110" s="433">
        <f>((AF110-AF111)/AVERAGE(AF110:AF111))*100</f>
        <v>-1.2816775503823525</v>
      </c>
      <c r="AI110" t="s">
        <v>353</v>
      </c>
      <c r="AK110" s="461"/>
    </row>
    <row r="111" spans="1:37" ht="15.75">
      <c r="A111" s="85">
        <v>45876</v>
      </c>
      <c r="B111">
        <v>9</v>
      </c>
      <c r="C111" t="s">
        <v>2045</v>
      </c>
      <c r="H111">
        <v>0.32579999999999998</v>
      </c>
      <c r="I111">
        <v>0.29312000000000005</v>
      </c>
      <c r="J111">
        <v>3.2679999999999931E-2</v>
      </c>
      <c r="K111">
        <v>5.3490404100916846</v>
      </c>
      <c r="L111" s="391" t="e">
        <v>#DIV/0!</v>
      </c>
      <c r="M111">
        <v>0.2723514737718562</v>
      </c>
      <c r="N111" t="e">
        <v>#DIV/0!</v>
      </c>
      <c r="O111">
        <v>128</v>
      </c>
      <c r="P111">
        <v>41.7</v>
      </c>
      <c r="Q111">
        <v>100</v>
      </c>
      <c r="R111">
        <v>3</v>
      </c>
      <c r="S111" t="s">
        <v>196</v>
      </c>
      <c r="T111" t="s">
        <v>196</v>
      </c>
      <c r="X111" s="193">
        <f t="shared" si="6"/>
        <v>346.45960284311803</v>
      </c>
      <c r="Y111" s="193">
        <f t="shared" si="7"/>
        <v>25.782253736954083</v>
      </c>
      <c r="Z111" s="43"/>
      <c r="AA111" s="51" t="s">
        <v>2039</v>
      </c>
      <c r="AC111" s="430">
        <v>2023</v>
      </c>
      <c r="AD111" s="465" t="s">
        <v>37</v>
      </c>
      <c r="AE111" s="465">
        <v>11</v>
      </c>
      <c r="AF111" s="465">
        <f>L157</f>
        <v>72.37345672009657</v>
      </c>
      <c r="AG111" s="474">
        <f>A157</f>
        <v>45896</v>
      </c>
      <c r="AH111" s="431"/>
      <c r="AK111" s="461"/>
    </row>
    <row r="112" spans="1:37" ht="15.75">
      <c r="A112" s="85">
        <v>45876</v>
      </c>
      <c r="B112">
        <v>10</v>
      </c>
      <c r="C112" t="s">
        <v>2047</v>
      </c>
      <c r="H112">
        <v>0.36830000000000002</v>
      </c>
      <c r="I112">
        <v>0.29312000000000005</v>
      </c>
      <c r="J112">
        <v>7.5179999999999969E-2</v>
      </c>
      <c r="K112">
        <v>5.7081959044177122</v>
      </c>
      <c r="L112" s="391" t="e">
        <v>#DIV/0!</v>
      </c>
      <c r="M112">
        <v>0.62654173189009144</v>
      </c>
      <c r="N112" t="e">
        <v>#DIV/0!</v>
      </c>
      <c r="O112">
        <v>128</v>
      </c>
      <c r="P112">
        <v>41.7</v>
      </c>
      <c r="Q112">
        <v>100</v>
      </c>
      <c r="R112">
        <v>3</v>
      </c>
      <c r="S112" t="s">
        <v>196</v>
      </c>
      <c r="T112" t="s">
        <v>196</v>
      </c>
      <c r="X112" s="193">
        <f>((J110-INDEX(LINEST($H$105:$H$110,$G$105:$G$110),2))/INDEX(LINEST($H$105:$H$110,$G$105:$G$110),1)/100.09)*12.01</f>
        <v>404.72145539596045</v>
      </c>
      <c r="Y112" s="193">
        <f t="shared" si="7"/>
        <v>34.263174211114446</v>
      </c>
      <c r="Z112" s="43"/>
      <c r="AA112" s="425">
        <f>(Y113/$AL$15)*100</f>
        <v>6.3331039218965364</v>
      </c>
      <c r="AC112" s="434">
        <v>2023</v>
      </c>
      <c r="AD112" s="468" t="s">
        <v>37</v>
      </c>
      <c r="AE112" s="468">
        <v>12</v>
      </c>
      <c r="AF112" s="468">
        <f>L152</f>
        <v>67.511600893902511</v>
      </c>
      <c r="AG112" s="472">
        <f>A152</f>
        <v>45896</v>
      </c>
      <c r="AH112" s="433">
        <f>((AF112-AF113)/AVERAGE(AF112:AF113))*100</f>
        <v>-0.6423219075115969</v>
      </c>
      <c r="AI112" t="s">
        <v>353</v>
      </c>
      <c r="AK112" s="461"/>
    </row>
    <row r="113" spans="1:37" ht="15.75">
      <c r="A113" s="85">
        <v>45876</v>
      </c>
      <c r="B113">
        <v>11</v>
      </c>
      <c r="C113" t="s">
        <v>2055</v>
      </c>
      <c r="D113">
        <v>1157.3</v>
      </c>
      <c r="H113">
        <v>112.4401</v>
      </c>
      <c r="I113">
        <v>0.29312000000000005</v>
      </c>
      <c r="J113">
        <v>112.14698</v>
      </c>
      <c r="K113">
        <v>952.79531893989042</v>
      </c>
      <c r="L113" s="391">
        <v>82.329155702055687</v>
      </c>
      <c r="M113">
        <v>934.6204186677769</v>
      </c>
      <c r="N113">
        <v>80.758698580124175</v>
      </c>
      <c r="O113">
        <v>128</v>
      </c>
      <c r="P113">
        <v>41.7</v>
      </c>
      <c r="Q113">
        <v>100</v>
      </c>
      <c r="R113">
        <v>3</v>
      </c>
      <c r="S113" t="s">
        <v>196</v>
      </c>
      <c r="T113" t="s">
        <v>196</v>
      </c>
      <c r="X113" s="43"/>
      <c r="Y113" s="425">
        <f>SQRT(SUM(Y107:Y112)/(6-2))</f>
        <v>4.4242499583243324</v>
      </c>
      <c r="Z113" s="51" t="s">
        <v>2044</v>
      </c>
      <c r="AA113" s="43"/>
      <c r="AC113" s="430">
        <v>2023</v>
      </c>
      <c r="AD113" s="465" t="s">
        <v>37</v>
      </c>
      <c r="AE113" s="465">
        <v>12</v>
      </c>
      <c r="AF113" s="465">
        <f>L158</f>
        <v>67.946639871886745</v>
      </c>
      <c r="AG113" s="474">
        <f>A158</f>
        <v>45896</v>
      </c>
      <c r="AH113" s="431"/>
      <c r="AK113" s="462"/>
    </row>
    <row r="114" spans="1:37" ht="15.75">
      <c r="A114" s="85">
        <v>45876</v>
      </c>
      <c r="B114">
        <v>12</v>
      </c>
      <c r="C114" t="s">
        <v>2055</v>
      </c>
      <c r="D114">
        <v>1900.6</v>
      </c>
      <c r="H114">
        <v>186.03630000000001</v>
      </c>
      <c r="I114">
        <v>0.29312000000000005</v>
      </c>
      <c r="J114">
        <v>185.74318000000002</v>
      </c>
      <c r="K114">
        <v>1574.7360152108818</v>
      </c>
      <c r="L114" s="391">
        <v>82.854678270592544</v>
      </c>
      <c r="M114">
        <v>1547.9629380682768</v>
      </c>
      <c r="N114">
        <v>81.446013788712875</v>
      </c>
      <c r="O114">
        <v>128</v>
      </c>
      <c r="P114">
        <v>41.7</v>
      </c>
      <c r="Q114">
        <v>100</v>
      </c>
      <c r="R114">
        <v>3</v>
      </c>
      <c r="S114" t="s">
        <v>196</v>
      </c>
      <c r="T114" t="s">
        <v>196</v>
      </c>
      <c r="X114" s="43"/>
      <c r="Y114" s="425">
        <f>(Y113/12.01)*100.09</f>
        <v>36.871205522787882</v>
      </c>
      <c r="Z114" s="51" t="s">
        <v>2046</v>
      </c>
      <c r="AA114" s="43"/>
      <c r="AC114" s="480">
        <v>2023</v>
      </c>
      <c r="AD114" s="468" t="s">
        <v>37</v>
      </c>
      <c r="AE114" s="468">
        <v>13</v>
      </c>
      <c r="AF114" s="468">
        <f>L153</f>
        <v>60.450631031424621</v>
      </c>
      <c r="AG114" s="472">
        <f>A153</f>
        <v>45896</v>
      </c>
      <c r="AH114" s="477">
        <f>((AF114-AF115)/AVERAGE(AF114:AF115))*100</f>
        <v>1.0447643868922476</v>
      </c>
      <c r="AI114" t="s">
        <v>353</v>
      </c>
      <c r="AK114" s="462"/>
    </row>
    <row r="115" spans="1:37">
      <c r="A115" s="85">
        <v>45876</v>
      </c>
      <c r="B115">
        <v>13</v>
      </c>
      <c r="C115" t="s">
        <v>2048</v>
      </c>
      <c r="D115">
        <v>947.2</v>
      </c>
      <c r="H115">
        <v>14.526999999999999</v>
      </c>
      <c r="I115">
        <v>0.29312000000000005</v>
      </c>
      <c r="J115">
        <v>14.233879999999999</v>
      </c>
      <c r="K115">
        <v>125.3593699635686</v>
      </c>
      <c r="L115" s="391">
        <v>13.234730781626752</v>
      </c>
      <c r="M115">
        <v>118.62356779350542</v>
      </c>
      <c r="N115">
        <v>12.523603018740014</v>
      </c>
      <c r="O115">
        <v>128</v>
      </c>
      <c r="P115">
        <v>41.7</v>
      </c>
      <c r="Q115">
        <v>100</v>
      </c>
      <c r="R115">
        <v>3</v>
      </c>
      <c r="S115" t="s">
        <v>196</v>
      </c>
      <c r="T115" t="s">
        <v>196</v>
      </c>
      <c r="X115" s="43"/>
      <c r="Y115" s="43"/>
      <c r="Z115" s="43"/>
      <c r="AA115" s="43"/>
      <c r="AC115" s="478">
        <v>2023</v>
      </c>
      <c r="AD115" s="465" t="s">
        <v>37</v>
      </c>
      <c r="AE115" s="465">
        <v>13</v>
      </c>
      <c r="AF115" s="465">
        <f>L159</f>
        <v>59.822346413723693</v>
      </c>
      <c r="AG115" s="474">
        <f>A159</f>
        <v>45896</v>
      </c>
      <c r="AH115" s="479"/>
      <c r="AK115" s="461"/>
    </row>
    <row r="116" spans="1:37">
      <c r="A116" s="85">
        <v>45876</v>
      </c>
      <c r="B116">
        <v>14</v>
      </c>
      <c r="C116" t="s">
        <v>2048</v>
      </c>
      <c r="D116">
        <v>2081</v>
      </c>
      <c r="H116">
        <v>30.528199999999998</v>
      </c>
      <c r="I116">
        <v>0.29312000000000005</v>
      </c>
      <c r="J116">
        <v>30.235079999999996</v>
      </c>
      <c r="K116">
        <v>260.58099104144191</v>
      </c>
      <c r="L116" s="391">
        <v>12.521912111554151</v>
      </c>
      <c r="M116">
        <v>251.9757832805995</v>
      </c>
      <c r="N116">
        <v>12.108399004353652</v>
      </c>
      <c r="O116">
        <v>128</v>
      </c>
      <c r="P116">
        <v>41.7</v>
      </c>
      <c r="Q116">
        <v>100</v>
      </c>
      <c r="R116">
        <v>3</v>
      </c>
      <c r="S116" t="s">
        <v>196</v>
      </c>
      <c r="T116" t="s">
        <v>196</v>
      </c>
      <c r="AA116" s="43"/>
      <c r="AC116" s="434">
        <v>2023</v>
      </c>
      <c r="AD116" s="468" t="s">
        <v>37</v>
      </c>
      <c r="AE116" s="468">
        <v>14</v>
      </c>
      <c r="AF116" s="468">
        <f>L154</f>
        <v>61.81727272799241</v>
      </c>
      <c r="AG116" s="472">
        <f>A154</f>
        <v>45896</v>
      </c>
      <c r="AH116" s="433">
        <f>((AF116-AF117)/AVERAGE(AF116:AF117))*100</f>
        <v>0.50356004403580301</v>
      </c>
      <c r="AI116" t="s">
        <v>353</v>
      </c>
      <c r="AK116" s="461"/>
    </row>
    <row r="117" spans="1:37">
      <c r="A117" s="85">
        <v>45876</v>
      </c>
      <c r="B117">
        <v>15</v>
      </c>
      <c r="C117" t="s">
        <v>2049</v>
      </c>
      <c r="H117">
        <v>0.32150000000000001</v>
      </c>
      <c r="I117">
        <v>0.29312000000000005</v>
      </c>
      <c r="J117">
        <v>2.8379999999999961E-2</v>
      </c>
      <c r="K117">
        <v>5.3127023247834044</v>
      </c>
      <c r="L117" s="391" t="e">
        <v>#DIV/0!</v>
      </c>
      <c r="M117">
        <v>0.23651575353871743</v>
      </c>
      <c r="N117" t="e">
        <v>#DIV/0!</v>
      </c>
      <c r="O117">
        <v>128</v>
      </c>
      <c r="P117">
        <v>41.7</v>
      </c>
      <c r="Q117">
        <v>100</v>
      </c>
      <c r="R117">
        <v>3</v>
      </c>
      <c r="S117" t="s">
        <v>196</v>
      </c>
      <c r="T117" t="s">
        <v>196</v>
      </c>
      <c r="AA117" s="43"/>
      <c r="AC117" s="430">
        <v>2023</v>
      </c>
      <c r="AD117" s="465" t="s">
        <v>37</v>
      </c>
      <c r="AE117" s="465">
        <v>14</v>
      </c>
      <c r="AF117" s="465">
        <f>L160</f>
        <v>61.506767432522899</v>
      </c>
      <c r="AG117" s="474">
        <f>A160</f>
        <v>45896</v>
      </c>
      <c r="AH117" s="431"/>
      <c r="AK117" s="461"/>
    </row>
    <row r="118" spans="1:37">
      <c r="A118" s="285">
        <v>45876</v>
      </c>
      <c r="B118" s="284">
        <v>16</v>
      </c>
      <c r="C118" s="284" t="s">
        <v>2106</v>
      </c>
      <c r="D118" s="284">
        <v>2297.4</v>
      </c>
      <c r="E118" s="284"/>
      <c r="F118" s="284"/>
      <c r="G118" s="284"/>
      <c r="H118" s="284">
        <v>194.441</v>
      </c>
      <c r="I118" s="284">
        <v>0.29312000000000005</v>
      </c>
      <c r="J118" s="284">
        <v>194.14788000000001</v>
      </c>
      <c r="K118" s="284">
        <v>1645.7617606970452</v>
      </c>
      <c r="L118" s="284">
        <v>71.635838804607175</v>
      </c>
      <c r="M118" s="284">
        <v>1618.0067701248961</v>
      </c>
      <c r="N118" s="284">
        <v>70.42773440083991</v>
      </c>
      <c r="O118">
        <v>128</v>
      </c>
      <c r="P118">
        <v>41.7</v>
      </c>
      <c r="Q118">
        <v>100</v>
      </c>
      <c r="R118">
        <v>3</v>
      </c>
      <c r="S118" t="s">
        <v>196</v>
      </c>
      <c r="T118" t="s">
        <v>196</v>
      </c>
      <c r="AA118" s="43"/>
      <c r="AC118" s="434">
        <v>2023</v>
      </c>
      <c r="AD118" s="468" t="s">
        <v>37</v>
      </c>
      <c r="AE118" s="468">
        <v>15</v>
      </c>
      <c r="AF118" s="468">
        <f>L184</f>
        <v>68.196379539199526</v>
      </c>
      <c r="AG118" s="472">
        <f>A184</f>
        <v>45897</v>
      </c>
      <c r="AH118" s="435">
        <f>((AF118-AF119)/AVERAGE(AF118:AF119))*100</f>
        <v>93.109591150444615</v>
      </c>
      <c r="AI118" t="s">
        <v>353</v>
      </c>
      <c r="AK118" s="461"/>
    </row>
    <row r="119" spans="1:37">
      <c r="A119" s="205">
        <v>45876</v>
      </c>
      <c r="B119" s="204">
        <v>17</v>
      </c>
      <c r="C119" s="204" t="s">
        <v>2107</v>
      </c>
      <c r="D119" s="204">
        <v>2381.4</v>
      </c>
      <c r="E119" s="204"/>
      <c r="F119" s="204"/>
      <c r="G119" s="204"/>
      <c r="H119" s="204">
        <v>175.721</v>
      </c>
      <c r="I119" s="204">
        <v>0.29312000000000005</v>
      </c>
      <c r="J119" s="204">
        <v>175.42788000000002</v>
      </c>
      <c r="K119" s="204">
        <v>1487.5643288433225</v>
      </c>
      <c r="L119" s="204">
        <v>62.465958211275833</v>
      </c>
      <c r="M119" s="204">
        <v>1461.9963787843467</v>
      </c>
      <c r="N119" s="204">
        <v>61.392306155385349</v>
      </c>
      <c r="O119">
        <v>128</v>
      </c>
      <c r="P119">
        <v>41.7</v>
      </c>
      <c r="Q119">
        <v>100</v>
      </c>
      <c r="R119">
        <v>3</v>
      </c>
      <c r="S119" t="s">
        <v>196</v>
      </c>
      <c r="T119" t="s">
        <v>196</v>
      </c>
      <c r="AA119" s="43"/>
      <c r="AC119" s="434">
        <v>2023</v>
      </c>
      <c r="AD119" s="468" t="s">
        <v>37</v>
      </c>
      <c r="AE119" s="468">
        <v>15</v>
      </c>
      <c r="AF119" s="466">
        <f>L190</f>
        <v>24.869670290874183</v>
      </c>
      <c r="AG119" s="467">
        <f>A190</f>
        <v>45897</v>
      </c>
      <c r="AH119" s="433"/>
      <c r="AK119" s="461"/>
    </row>
    <row r="120" spans="1:37">
      <c r="A120" s="438">
        <v>45876</v>
      </c>
      <c r="B120" s="439">
        <v>18</v>
      </c>
      <c r="C120" s="439" t="s">
        <v>2108</v>
      </c>
      <c r="D120" s="439">
        <v>2323.3000000000002</v>
      </c>
      <c r="E120" s="439"/>
      <c r="F120" s="439"/>
      <c r="G120" s="439"/>
      <c r="H120" s="439">
        <v>184.82769999999999</v>
      </c>
      <c r="I120" s="439">
        <v>0.29312000000000005</v>
      </c>
      <c r="J120" s="439">
        <v>184.53458000000001</v>
      </c>
      <c r="K120" s="439">
        <v>1564.5224780240007</v>
      </c>
      <c r="L120" s="439">
        <v>67.340527612620008</v>
      </c>
      <c r="M120" s="439">
        <v>1537.8906005162366</v>
      </c>
      <c r="N120" s="439">
        <v>66.194232364147396</v>
      </c>
      <c r="O120">
        <v>128</v>
      </c>
      <c r="P120">
        <v>41.7</v>
      </c>
      <c r="Q120">
        <v>100</v>
      </c>
      <c r="R120">
        <v>3</v>
      </c>
      <c r="S120" t="s">
        <v>196</v>
      </c>
      <c r="T120" t="s">
        <v>196</v>
      </c>
      <c r="AA120" s="43"/>
      <c r="AC120" s="434">
        <v>2023</v>
      </c>
      <c r="AD120" s="468" t="s">
        <v>37</v>
      </c>
      <c r="AE120" s="468">
        <v>15</v>
      </c>
      <c r="AF120" s="468">
        <f>L218</f>
        <v>67.136227642076022</v>
      </c>
      <c r="AG120" s="472">
        <f>A218</f>
        <v>45898</v>
      </c>
      <c r="AH120" s="433">
        <f>((AF120-AF121)/AVERAGE(AF120:AF121))*100</f>
        <v>-2.2466127606115727</v>
      </c>
      <c r="AK120" s="462"/>
    </row>
    <row r="121" spans="1:37">
      <c r="A121" s="201">
        <v>45876</v>
      </c>
      <c r="B121" s="200">
        <v>19</v>
      </c>
      <c r="C121" s="200" t="s">
        <v>2109</v>
      </c>
      <c r="D121" s="200">
        <v>2543.8000000000002</v>
      </c>
      <c r="E121" s="200"/>
      <c r="F121" s="200"/>
      <c r="G121" s="200"/>
      <c r="H121" s="200">
        <v>127.8417</v>
      </c>
      <c r="I121" s="200">
        <v>0.29312000000000005</v>
      </c>
      <c r="J121" s="200">
        <v>127.54858</v>
      </c>
      <c r="K121" s="200">
        <v>1082.9498897966371</v>
      </c>
      <c r="L121" s="200">
        <v>42.572131841993752</v>
      </c>
      <c r="M121" s="200">
        <v>1062.9756346544546</v>
      </c>
      <c r="N121" s="200">
        <v>41.786918572783016</v>
      </c>
      <c r="O121">
        <v>128</v>
      </c>
      <c r="P121">
        <v>41.7</v>
      </c>
      <c r="Q121">
        <v>100</v>
      </c>
      <c r="R121">
        <v>3</v>
      </c>
      <c r="S121" t="s">
        <v>196</v>
      </c>
      <c r="T121" t="s">
        <v>196</v>
      </c>
      <c r="AA121" s="43"/>
      <c r="AC121" s="434">
        <v>2023</v>
      </c>
      <c r="AD121" s="468" t="s">
        <v>37</v>
      </c>
      <c r="AE121" s="468">
        <v>15</v>
      </c>
      <c r="AF121" s="468">
        <f>L224</f>
        <v>68.661653909869116</v>
      </c>
      <c r="AG121" s="472">
        <f>A224</f>
        <v>45898</v>
      </c>
      <c r="AH121" s="433"/>
      <c r="AK121" s="461"/>
    </row>
    <row r="122" spans="1:37">
      <c r="A122" s="85">
        <v>45876</v>
      </c>
      <c r="B122">
        <v>21</v>
      </c>
      <c r="C122" t="s">
        <v>2050</v>
      </c>
      <c r="H122">
        <v>0.27189999999999998</v>
      </c>
      <c r="I122">
        <v>0.29312000000000005</v>
      </c>
      <c r="J122">
        <v>-2.1220000000000072E-2</v>
      </c>
      <c r="K122">
        <v>4.8935467361111478</v>
      </c>
      <c r="L122" s="391" t="e">
        <v>#DIV/0!</v>
      </c>
      <c r="M122">
        <v>-0.17684511240632869</v>
      </c>
      <c r="N122" t="e">
        <v>#DIV/0!</v>
      </c>
      <c r="O122">
        <v>128</v>
      </c>
      <c r="P122">
        <v>41.7</v>
      </c>
      <c r="Q122">
        <v>100</v>
      </c>
      <c r="R122">
        <v>3</v>
      </c>
      <c r="S122" t="s">
        <v>196</v>
      </c>
      <c r="T122" t="s">
        <v>196</v>
      </c>
      <c r="AA122" s="43"/>
      <c r="AC122" s="428">
        <v>2023</v>
      </c>
      <c r="AD122" s="470" t="s">
        <v>37</v>
      </c>
      <c r="AE122" s="470">
        <v>16</v>
      </c>
      <c r="AF122" s="470">
        <f>L185</f>
        <v>64.326241772706126</v>
      </c>
      <c r="AG122" s="473">
        <f>A185</f>
        <v>45897</v>
      </c>
      <c r="AH122" s="429">
        <f>((AF122-AF123)/AVERAGE(AF122:AF123))*100</f>
        <v>-0.24541104326200139</v>
      </c>
      <c r="AI122" t="s">
        <v>353</v>
      </c>
      <c r="AK122" s="461"/>
    </row>
    <row r="123" spans="1:37">
      <c r="A123" s="285">
        <v>45876</v>
      </c>
      <c r="B123" s="284">
        <v>22</v>
      </c>
      <c r="C123" s="284" t="s">
        <v>2110</v>
      </c>
      <c r="D123" s="284">
        <v>2449.4</v>
      </c>
      <c r="E123" s="284"/>
      <c r="F123" s="284"/>
      <c r="G123" s="284"/>
      <c r="H123" s="284">
        <v>203.7072</v>
      </c>
      <c r="I123" s="284">
        <v>0.29312000000000005</v>
      </c>
      <c r="J123" s="284">
        <v>203.41408000000001</v>
      </c>
      <c r="K123" s="284">
        <v>1724.0677993211352</v>
      </c>
      <c r="L123" s="284">
        <v>70.387351976856991</v>
      </c>
      <c r="M123" s="284">
        <v>1695.2302470607829</v>
      </c>
      <c r="N123" s="284">
        <v>69.21002070142822</v>
      </c>
      <c r="O123">
        <v>128</v>
      </c>
      <c r="P123">
        <v>41.7</v>
      </c>
      <c r="Q123">
        <v>100</v>
      </c>
      <c r="R123">
        <v>3</v>
      </c>
      <c r="S123" t="s">
        <v>196</v>
      </c>
      <c r="T123" t="s">
        <v>196</v>
      </c>
      <c r="AA123" s="43"/>
      <c r="AC123" s="430">
        <v>2023</v>
      </c>
      <c r="AD123" s="465" t="s">
        <v>37</v>
      </c>
      <c r="AE123" s="465">
        <v>16</v>
      </c>
      <c r="AF123" s="459">
        <f>L191</f>
        <v>64.484299419191359</v>
      </c>
      <c r="AG123" s="460">
        <f>A191</f>
        <v>45897</v>
      </c>
      <c r="AH123" s="431"/>
      <c r="AK123" s="461"/>
    </row>
    <row r="124" spans="1:37">
      <c r="A124" s="205">
        <v>45876</v>
      </c>
      <c r="B124" s="204">
        <v>23</v>
      </c>
      <c r="C124" s="204" t="s">
        <v>2111</v>
      </c>
      <c r="D124" s="204">
        <v>3288.2</v>
      </c>
      <c r="E124" s="204"/>
      <c r="F124" s="204"/>
      <c r="G124" s="204"/>
      <c r="H124" s="204">
        <v>240.13380000000001</v>
      </c>
      <c r="I124" s="204">
        <v>0.29312000000000005</v>
      </c>
      <c r="J124" s="204">
        <v>239.84068000000002</v>
      </c>
      <c r="K124" s="204">
        <v>2031.8987059003457</v>
      </c>
      <c r="L124" s="204">
        <v>61.793647159550687</v>
      </c>
      <c r="M124" s="204">
        <v>1998.805467210658</v>
      </c>
      <c r="N124" s="204">
        <v>60.787223015955782</v>
      </c>
      <c r="O124">
        <v>128</v>
      </c>
      <c r="P124">
        <v>41.7</v>
      </c>
      <c r="Q124">
        <v>100</v>
      </c>
      <c r="R124">
        <v>3</v>
      </c>
      <c r="S124" t="s">
        <v>196</v>
      </c>
      <c r="T124" t="s">
        <v>196</v>
      </c>
      <c r="AA124" s="43"/>
      <c r="AC124" s="428">
        <v>2023</v>
      </c>
      <c r="AD124" s="470" t="s">
        <v>37</v>
      </c>
      <c r="AE124" s="470">
        <v>17</v>
      </c>
      <c r="AF124" s="470">
        <f>L186</f>
        <v>64.890579323609714</v>
      </c>
      <c r="AG124" s="473">
        <f>A186</f>
        <v>45897</v>
      </c>
      <c r="AH124" s="429">
        <f>((AF124-AF125)/AVERAGE(AF124:AF125))*100</f>
        <v>-0.80213314467518526</v>
      </c>
      <c r="AI124" t="s">
        <v>353</v>
      </c>
      <c r="AK124" s="461"/>
    </row>
    <row r="125" spans="1:37">
      <c r="A125" s="438">
        <v>45876</v>
      </c>
      <c r="B125" s="439">
        <v>24</v>
      </c>
      <c r="C125" s="439" t="s">
        <v>2112</v>
      </c>
      <c r="D125" s="439">
        <v>2619.6</v>
      </c>
      <c r="E125" s="439"/>
      <c r="F125" s="439"/>
      <c r="G125" s="439"/>
      <c r="H125" s="439">
        <v>208.81229999999999</v>
      </c>
      <c r="I125" s="439">
        <v>0.29312000000000005</v>
      </c>
      <c r="J125" s="439">
        <v>208.51918000000001</v>
      </c>
      <c r="K125" s="439">
        <v>1767.2095572995777</v>
      </c>
      <c r="L125" s="439">
        <v>67.461045858130163</v>
      </c>
      <c r="M125" s="439">
        <v>1737.7755808659451</v>
      </c>
      <c r="N125" s="439">
        <v>66.337440100242219</v>
      </c>
      <c r="O125">
        <v>128</v>
      </c>
      <c r="P125">
        <v>41.7</v>
      </c>
      <c r="Q125">
        <v>100</v>
      </c>
      <c r="R125">
        <v>3</v>
      </c>
      <c r="S125" t="s">
        <v>196</v>
      </c>
      <c r="T125" t="s">
        <v>196</v>
      </c>
      <c r="AA125" s="43"/>
      <c r="AC125" s="430">
        <v>2023</v>
      </c>
      <c r="AD125" s="465" t="s">
        <v>37</v>
      </c>
      <c r="AE125" s="465">
        <v>17</v>
      </c>
      <c r="AF125" s="465">
        <f>L192</f>
        <v>65.413184161446111</v>
      </c>
      <c r="AG125" s="474">
        <f>A192</f>
        <v>45897</v>
      </c>
      <c r="AH125" s="431"/>
      <c r="AK125" s="461"/>
    </row>
    <row r="126" spans="1:37">
      <c r="A126" s="201">
        <v>45876</v>
      </c>
      <c r="B126" s="200">
        <v>25</v>
      </c>
      <c r="C126" s="200" t="s">
        <v>2113</v>
      </c>
      <c r="D126" s="200">
        <v>2467.5</v>
      </c>
      <c r="E126" s="200"/>
      <c r="F126" s="200"/>
      <c r="G126" s="200"/>
      <c r="H126" s="200">
        <v>124.41249999999999</v>
      </c>
      <c r="I126" s="200">
        <v>0.29312000000000005</v>
      </c>
      <c r="J126" s="200">
        <v>124.11937999999999</v>
      </c>
      <c r="K126" s="200">
        <v>1053.9706892991592</v>
      </c>
      <c r="L126" s="200">
        <v>42.714111015163489</v>
      </c>
      <c r="M126" s="200">
        <v>1034.3970644629476</v>
      </c>
      <c r="N126" s="200">
        <v>41.920853676309932</v>
      </c>
      <c r="O126">
        <v>128</v>
      </c>
      <c r="P126">
        <v>41.7</v>
      </c>
      <c r="Q126">
        <v>100</v>
      </c>
      <c r="R126">
        <v>3</v>
      </c>
      <c r="S126" t="s">
        <v>196</v>
      </c>
      <c r="T126" t="s">
        <v>196</v>
      </c>
      <c r="AA126" s="43"/>
      <c r="AC126" s="428">
        <v>2023</v>
      </c>
      <c r="AD126" s="470" t="s">
        <v>37</v>
      </c>
      <c r="AE126" s="470">
        <v>18</v>
      </c>
      <c r="AF126" s="470">
        <f>L187</f>
        <v>74.014086561771279</v>
      </c>
      <c r="AG126" s="473">
        <f>A187</f>
        <v>45897</v>
      </c>
      <c r="AH126" s="429">
        <f>((AF126-AF127)/AVERAGE(AF126:AF127))*100</f>
        <v>0.34422621984937191</v>
      </c>
      <c r="AI126" t="s">
        <v>353</v>
      </c>
      <c r="AK126" s="461"/>
    </row>
    <row r="127" spans="1:37">
      <c r="A127" s="85">
        <v>45876</v>
      </c>
      <c r="B127">
        <v>27</v>
      </c>
      <c r="C127" t="s">
        <v>2051</v>
      </c>
      <c r="H127">
        <v>0.27410000000000001</v>
      </c>
      <c r="I127">
        <v>0.29312000000000005</v>
      </c>
      <c r="J127">
        <v>-1.9020000000000037E-2</v>
      </c>
      <c r="K127">
        <v>4.9121383146409654</v>
      </c>
      <c r="L127" s="391" t="e">
        <v>#DIV/0!</v>
      </c>
      <c r="M127">
        <v>-0.15851055786844329</v>
      </c>
      <c r="N127" t="e">
        <v>#DIV/0!</v>
      </c>
      <c r="O127">
        <v>128</v>
      </c>
      <c r="P127">
        <v>41.7</v>
      </c>
      <c r="Q127">
        <v>100</v>
      </c>
      <c r="R127">
        <v>3</v>
      </c>
      <c r="S127" t="s">
        <v>196</v>
      </c>
      <c r="T127" t="s">
        <v>196</v>
      </c>
      <c r="AA127" s="43"/>
      <c r="AC127" s="430">
        <v>2023</v>
      </c>
      <c r="AD127" s="465" t="s">
        <v>37</v>
      </c>
      <c r="AE127" s="465">
        <v>18</v>
      </c>
      <c r="AF127" s="465">
        <f>L193</f>
        <v>73.759748418731363</v>
      </c>
      <c r="AG127" s="474">
        <f>A193</f>
        <v>45897</v>
      </c>
      <c r="AH127" s="431"/>
      <c r="AK127" s="461"/>
    </row>
    <row r="128" spans="1:37">
      <c r="A128" s="85">
        <v>45876</v>
      </c>
      <c r="B128">
        <v>28</v>
      </c>
      <c r="C128" t="s">
        <v>2052</v>
      </c>
      <c r="H128">
        <v>0.13619999999999999</v>
      </c>
      <c r="I128">
        <v>0.29312000000000005</v>
      </c>
      <c r="J128">
        <v>-0.15692000000000006</v>
      </c>
      <c r="K128">
        <v>3.7467843695219285</v>
      </c>
      <c r="L128" s="391" t="e">
        <v>#DIV/0!</v>
      </c>
      <c r="M128">
        <v>-1.3077537718567867</v>
      </c>
      <c r="N128" t="e">
        <v>#DIV/0!</v>
      </c>
      <c r="O128">
        <v>128</v>
      </c>
      <c r="P128">
        <v>41.7</v>
      </c>
      <c r="Q128">
        <v>100</v>
      </c>
      <c r="R128">
        <v>3</v>
      </c>
      <c r="S128" t="s">
        <v>196</v>
      </c>
      <c r="T128" t="s">
        <v>196</v>
      </c>
      <c r="AA128" s="43"/>
      <c r="AC128" s="428">
        <v>2023</v>
      </c>
      <c r="AD128" s="470" t="s">
        <v>37</v>
      </c>
      <c r="AE128" s="470">
        <v>19</v>
      </c>
      <c r="AF128" s="470">
        <f>L188</f>
        <v>77.862974086243611</v>
      </c>
      <c r="AG128" s="473">
        <f>A188</f>
        <v>45897</v>
      </c>
      <c r="AH128" s="429">
        <f>((AF128-AF129)/AVERAGE(AF128:AF129))*100</f>
        <v>-0.93944195291520427</v>
      </c>
      <c r="AI128" t="s">
        <v>353</v>
      </c>
      <c r="AK128" s="461"/>
    </row>
    <row r="129" spans="1:35">
      <c r="A129" s="85">
        <v>45876</v>
      </c>
      <c r="B129">
        <v>29</v>
      </c>
      <c r="C129" t="s">
        <v>2119</v>
      </c>
      <c r="D129">
        <v>2218.1</v>
      </c>
      <c r="G129">
        <v>2217.6563799999999</v>
      </c>
      <c r="H129">
        <v>262.05540000000002</v>
      </c>
      <c r="I129">
        <v>0.29312000000000005</v>
      </c>
      <c r="J129">
        <v>261.76228000000003</v>
      </c>
      <c r="K129">
        <v>2217.151954945462</v>
      </c>
      <c r="L129" s="391">
        <v>99.977254138238592</v>
      </c>
      <c r="M129">
        <v>2181.497635736886</v>
      </c>
      <c r="N129">
        <v>98.369506448825319</v>
      </c>
      <c r="O129">
        <v>128</v>
      </c>
      <c r="P129">
        <v>41.7</v>
      </c>
      <c r="Q129">
        <v>100</v>
      </c>
      <c r="R129">
        <v>3</v>
      </c>
      <c r="S129" t="s">
        <v>196</v>
      </c>
      <c r="T129" t="s">
        <v>196</v>
      </c>
      <c r="AA129" s="43"/>
      <c r="AC129" s="430">
        <v>2023</v>
      </c>
      <c r="AD129" s="465" t="s">
        <v>37</v>
      </c>
      <c r="AE129" s="465">
        <v>19</v>
      </c>
      <c r="AF129" s="465">
        <f>L194</f>
        <v>78.597903648915334</v>
      </c>
      <c r="AG129" s="474">
        <f>A194</f>
        <v>45897</v>
      </c>
      <c r="AH129" s="431"/>
    </row>
    <row r="130" spans="1:35">
      <c r="A130" s="85">
        <v>45876</v>
      </c>
      <c r="B130">
        <v>30</v>
      </c>
      <c r="C130" t="s">
        <v>2053</v>
      </c>
      <c r="H130">
        <v>0.26369999999999999</v>
      </c>
      <c r="I130">
        <v>0.29312000000000005</v>
      </c>
      <c r="J130">
        <v>-2.9420000000000057E-2</v>
      </c>
      <c r="K130">
        <v>4.8242508525000085</v>
      </c>
      <c r="L130" s="391" t="e">
        <v>#DIV/0!</v>
      </c>
      <c r="M130">
        <v>-0.24518299750208211</v>
      </c>
      <c r="N130" t="e">
        <v>#DIV/0!</v>
      </c>
      <c r="O130">
        <v>128</v>
      </c>
      <c r="P130">
        <v>41.7</v>
      </c>
      <c r="Q130">
        <v>100</v>
      </c>
      <c r="R130">
        <v>3</v>
      </c>
      <c r="S130" t="s">
        <v>196</v>
      </c>
      <c r="T130" t="s">
        <v>196</v>
      </c>
      <c r="AA130" s="43"/>
      <c r="AC130" s="428">
        <v>2023</v>
      </c>
      <c r="AD130" s="470" t="s">
        <v>37</v>
      </c>
      <c r="AE130" s="470">
        <v>20</v>
      </c>
      <c r="AF130" s="470">
        <f>L219</f>
        <v>76.648897586721404</v>
      </c>
      <c r="AG130" s="473">
        <f>A219</f>
        <v>45898</v>
      </c>
      <c r="AH130" s="429">
        <f>((AF130-AF131)/AVERAGE(AF130:AF131))*100</f>
        <v>1.6981605872495875</v>
      </c>
      <c r="AI130" t="s">
        <v>353</v>
      </c>
    </row>
    <row r="131" spans="1:35">
      <c r="H131"/>
      <c r="AA131" s="43"/>
      <c r="AC131" s="430">
        <v>2023</v>
      </c>
      <c r="AD131" s="465" t="s">
        <v>37</v>
      </c>
      <c r="AE131" s="465">
        <v>20</v>
      </c>
      <c r="AF131" s="465">
        <f>L225</f>
        <v>75.358234979200049</v>
      </c>
      <c r="AG131" s="474">
        <f>A225</f>
        <v>45898</v>
      </c>
      <c r="AH131" s="431"/>
    </row>
    <row r="132" spans="1:35">
      <c r="A132" s="85" t="s">
        <v>2093</v>
      </c>
      <c r="H132"/>
      <c r="AA132" s="43"/>
      <c r="AC132" s="428">
        <v>2023</v>
      </c>
      <c r="AD132" s="470" t="s">
        <v>37</v>
      </c>
      <c r="AE132" s="470">
        <v>21</v>
      </c>
      <c r="AF132" s="470">
        <f>L220</f>
        <v>79.345675715778981</v>
      </c>
      <c r="AG132" s="473">
        <f>A220</f>
        <v>45898</v>
      </c>
      <c r="AH132" s="429">
        <f>((AF132-AF133)/AVERAGE(AF132:AF133))*100</f>
        <v>-2.059070618540265</v>
      </c>
      <c r="AI132" t="s">
        <v>353</v>
      </c>
    </row>
    <row r="133" spans="1:35">
      <c r="A133" s="85" t="s">
        <v>2035</v>
      </c>
      <c r="H133"/>
      <c r="AA133" s="43"/>
      <c r="AC133" s="430">
        <v>2023</v>
      </c>
      <c r="AD133" s="465" t="s">
        <v>37</v>
      </c>
      <c r="AE133" s="465">
        <v>21</v>
      </c>
      <c r="AF133" s="465">
        <f>L226</f>
        <v>80.996454562631129</v>
      </c>
      <c r="AG133" s="474">
        <f>A226</f>
        <v>45898</v>
      </c>
      <c r="AH133" s="431"/>
    </row>
    <row r="134" spans="1:35">
      <c r="A134" s="85" t="s">
        <v>2120</v>
      </c>
      <c r="H134"/>
      <c r="AA134" s="43"/>
      <c r="AC134" s="469">
        <v>2023</v>
      </c>
      <c r="AD134" s="470" t="s">
        <v>40</v>
      </c>
      <c r="AE134" s="470">
        <v>1</v>
      </c>
      <c r="AF134" s="470">
        <f>L120</f>
        <v>67.340527612620008</v>
      </c>
      <c r="AG134" s="473">
        <f>A120</f>
        <v>45876</v>
      </c>
      <c r="AH134" s="429">
        <f>((AF134-AF135)/AVERAGE(AF134:AF135))*100</f>
        <v>-0.17880836611496315</v>
      </c>
      <c r="AI134" s="43"/>
    </row>
    <row r="135" spans="1:35">
      <c r="A135" s="85">
        <v>45896</v>
      </c>
      <c r="B135">
        <v>1</v>
      </c>
      <c r="C135" t="s">
        <v>2040</v>
      </c>
      <c r="H135">
        <v>0.2722</v>
      </c>
      <c r="AA135" s="43"/>
      <c r="AC135" s="436">
        <v>2023</v>
      </c>
      <c r="AD135" s="465" t="s">
        <v>40</v>
      </c>
      <c r="AE135" s="465">
        <v>1</v>
      </c>
      <c r="AF135" s="465">
        <f>L125</f>
        <v>67.461045858130163</v>
      </c>
      <c r="AG135" s="474">
        <f>A125</f>
        <v>45876</v>
      </c>
      <c r="AH135" s="481"/>
      <c r="AI135" s="43"/>
    </row>
    <row r="136" spans="1:35">
      <c r="A136" s="85">
        <v>45896</v>
      </c>
      <c r="B136">
        <v>2</v>
      </c>
      <c r="C136" t="s">
        <v>2041</v>
      </c>
      <c r="H136">
        <v>0.54959999999999998</v>
      </c>
      <c r="AA136" s="43"/>
      <c r="AC136" s="469">
        <v>2023</v>
      </c>
      <c r="AD136" s="470" t="s">
        <v>40</v>
      </c>
      <c r="AE136" s="470">
        <v>2</v>
      </c>
      <c r="AF136" s="470">
        <f>L121</f>
        <v>42.572131841993752</v>
      </c>
      <c r="AG136" s="473">
        <f>A121</f>
        <v>45876</v>
      </c>
      <c r="AH136" s="475">
        <f>((AF136-AF137)/AVERAGE(AF136:AF137))*100</f>
        <v>-0.33294742132686728</v>
      </c>
      <c r="AI136" s="43" t="s">
        <v>353</v>
      </c>
    </row>
    <row r="137" spans="1:35">
      <c r="A137" s="85">
        <v>45896</v>
      </c>
      <c r="B137">
        <v>3</v>
      </c>
      <c r="C137" t="s">
        <v>2042</v>
      </c>
      <c r="G137">
        <v>0</v>
      </c>
      <c r="H137">
        <v>0.36420000000000002</v>
      </c>
      <c r="I137">
        <v>0.41238750000000002</v>
      </c>
      <c r="J137">
        <v>0.41238750000000002</v>
      </c>
      <c r="X137" s="423">
        <f>A138</f>
        <v>45896</v>
      </c>
      <c r="Y137" s="43"/>
      <c r="Z137" s="43"/>
      <c r="AA137" s="43"/>
      <c r="AC137" s="436">
        <v>2023</v>
      </c>
      <c r="AD137" s="465" t="s">
        <v>40</v>
      </c>
      <c r="AE137" s="465">
        <v>2</v>
      </c>
      <c r="AF137" s="465">
        <f>L126</f>
        <v>42.714111015163489</v>
      </c>
      <c r="AG137" s="474">
        <f>A126</f>
        <v>45876</v>
      </c>
      <c r="AH137" s="481"/>
      <c r="AI137" s="43"/>
    </row>
    <row r="138" spans="1:35">
      <c r="A138" s="85">
        <v>45896</v>
      </c>
      <c r="B138">
        <v>4</v>
      </c>
      <c r="C138" t="s">
        <v>2131</v>
      </c>
      <c r="D138">
        <v>418.1</v>
      </c>
      <c r="G138">
        <v>418.01638000000003</v>
      </c>
      <c r="H138">
        <v>49.767499999999998</v>
      </c>
      <c r="I138">
        <v>0.41238750000000002</v>
      </c>
      <c r="J138">
        <v>49.355112499999997</v>
      </c>
      <c r="K138">
        <v>413.47775993583377</v>
      </c>
      <c r="L138" s="391">
        <v>98.914248273197742</v>
      </c>
      <c r="M138">
        <v>411.32000084304747</v>
      </c>
      <c r="N138">
        <v>98.398058191654457</v>
      </c>
      <c r="O138">
        <v>128</v>
      </c>
      <c r="P138">
        <v>41.7</v>
      </c>
      <c r="Q138">
        <v>100</v>
      </c>
      <c r="R138">
        <v>3</v>
      </c>
      <c r="S138" t="s">
        <v>196</v>
      </c>
      <c r="T138" t="s">
        <v>196</v>
      </c>
      <c r="X138" s="193">
        <f>((J137-INDEX(LINEST($H$137:$H$142,$G$137:$G$142),2))/INDEX(LINEST($H$137:$H$142,$G$137:$G$142),1)/100.09)*12.01</f>
        <v>-0.30427773739429037</v>
      </c>
      <c r="Y138" s="193">
        <f>(J137-X138)^2</f>
        <v>0.51360906248941451</v>
      </c>
      <c r="Z138" s="43"/>
      <c r="AA138" s="43"/>
      <c r="AC138" s="469">
        <v>2023</v>
      </c>
      <c r="AD138" s="470" t="s">
        <v>41</v>
      </c>
      <c r="AE138" s="470">
        <v>1</v>
      </c>
      <c r="AF138" s="470">
        <f>L221</f>
        <v>63.73525773816575</v>
      </c>
      <c r="AG138" s="473">
        <f>A221</f>
        <v>45898</v>
      </c>
      <c r="AH138" s="475">
        <f>((AF138-AF139)/AVERAGE(AF138:AF139))*100</f>
        <v>-1.1746558158353806</v>
      </c>
      <c r="AI138" s="43" t="s">
        <v>353</v>
      </c>
    </row>
    <row r="139" spans="1:35">
      <c r="A139" s="85">
        <v>45896</v>
      </c>
      <c r="B139">
        <v>5</v>
      </c>
      <c r="C139" t="s">
        <v>2132</v>
      </c>
      <c r="D139">
        <v>1213.8</v>
      </c>
      <c r="G139">
        <v>1213.5572400000001</v>
      </c>
      <c r="H139">
        <v>144.57859999999999</v>
      </c>
      <c r="I139">
        <v>0.41238750000000002</v>
      </c>
      <c r="J139">
        <v>144.1662125</v>
      </c>
      <c r="K139">
        <v>1216.1917963866101</v>
      </c>
      <c r="L139" s="391">
        <v>100.21709370598867</v>
      </c>
      <c r="M139">
        <v>1201.465129818901</v>
      </c>
      <c r="N139">
        <v>99.003581390104102</v>
      </c>
      <c r="O139">
        <v>128</v>
      </c>
      <c r="P139">
        <v>41.7</v>
      </c>
      <c r="Q139">
        <v>100</v>
      </c>
      <c r="R139">
        <v>3</v>
      </c>
      <c r="S139" t="s">
        <v>196</v>
      </c>
      <c r="T139" t="s">
        <v>196</v>
      </c>
      <c r="X139" s="193">
        <f t="shared" ref="X139:X143" si="8">((J138-INDEX(LINEST($H$137:$H$142,$G$137:$G$142),2))/INDEX(LINEST($H$137:$H$142,$G$137:$G$142),1)/100.09)*12.01</f>
        <v>49.380469149721307</v>
      </c>
      <c r="Y139" s="193">
        <f t="shared" ref="Y139:Y143" si="9">(J138-X139)^2</f>
        <v>6.4295968508921151E-4</v>
      </c>
      <c r="Z139" s="43"/>
      <c r="AA139" s="43"/>
      <c r="AC139" s="436">
        <v>2023</v>
      </c>
      <c r="AD139" s="465" t="s">
        <v>41</v>
      </c>
      <c r="AE139" s="465">
        <v>1</v>
      </c>
      <c r="AF139" s="465">
        <f>L227</f>
        <v>64.488350775505666</v>
      </c>
      <c r="AG139" s="474">
        <f>A227</f>
        <v>45898</v>
      </c>
      <c r="AH139" s="481"/>
      <c r="AI139" s="43"/>
    </row>
    <row r="140" spans="1:35">
      <c r="A140" s="85">
        <v>45896</v>
      </c>
      <c r="B140">
        <v>6</v>
      </c>
      <c r="C140" t="s">
        <v>2133</v>
      </c>
      <c r="D140">
        <v>2049.1999999999998</v>
      </c>
      <c r="G140">
        <v>2048.79016</v>
      </c>
      <c r="H140">
        <v>243.55840000000001</v>
      </c>
      <c r="I140">
        <v>0.41238750000000002</v>
      </c>
      <c r="J140">
        <v>243.14601250000001</v>
      </c>
      <c r="K140">
        <v>2054.1999492831651</v>
      </c>
      <c r="L140" s="391">
        <v>100.26404799226316</v>
      </c>
      <c r="M140">
        <v>2026.351739477519</v>
      </c>
      <c r="N140">
        <v>98.904796549663189</v>
      </c>
      <c r="O140">
        <v>128</v>
      </c>
      <c r="P140">
        <v>41.7</v>
      </c>
      <c r="Q140">
        <v>100</v>
      </c>
      <c r="R140">
        <v>3</v>
      </c>
      <c r="S140" t="s">
        <v>196</v>
      </c>
      <c r="T140" t="s">
        <v>196</v>
      </c>
      <c r="X140" s="193">
        <f t="shared" si="8"/>
        <v>145.62900262612675</v>
      </c>
      <c r="Y140" s="193">
        <f t="shared" si="9"/>
        <v>2.1397549530939077</v>
      </c>
      <c r="Z140" s="43"/>
      <c r="AA140" s="43"/>
      <c r="AC140" s="469">
        <v>2023</v>
      </c>
      <c r="AD140" s="470" t="s">
        <v>41</v>
      </c>
      <c r="AE140" s="470">
        <v>2</v>
      </c>
      <c r="AF140" s="470">
        <f>L222</f>
        <v>72.990300205118501</v>
      </c>
      <c r="AG140" s="473">
        <f>A222</f>
        <v>45898</v>
      </c>
      <c r="AH140" s="475">
        <f>((AF140-AF141)/AVERAGE(AF140:AF141))*100</f>
        <v>-0.12971102357429001</v>
      </c>
      <c r="AI140" s="43" t="s">
        <v>353</v>
      </c>
    </row>
    <row r="141" spans="1:35">
      <c r="A141" s="85">
        <v>45896</v>
      </c>
      <c r="B141">
        <v>7</v>
      </c>
      <c r="C141" t="s">
        <v>2134</v>
      </c>
      <c r="D141">
        <v>2776.8</v>
      </c>
      <c r="G141">
        <v>2776.2446400000003</v>
      </c>
      <c r="H141">
        <v>329.64670000000001</v>
      </c>
      <c r="I141">
        <v>0.41238750000000002</v>
      </c>
      <c r="J141">
        <v>329.23431249999999</v>
      </c>
      <c r="K141">
        <v>2783.0627805780809</v>
      </c>
      <c r="L141" s="391">
        <v>100.24558860843331</v>
      </c>
      <c r="M141">
        <v>2743.802026488343</v>
      </c>
      <c r="N141">
        <v>98.831420940207309</v>
      </c>
      <c r="O141">
        <v>128</v>
      </c>
      <c r="P141">
        <v>41.7</v>
      </c>
      <c r="Q141">
        <v>100</v>
      </c>
      <c r="R141">
        <v>3</v>
      </c>
      <c r="S141" t="s">
        <v>196</v>
      </c>
      <c r="T141" t="s">
        <v>196</v>
      </c>
      <c r="X141" s="193">
        <f t="shared" si="8"/>
        <v>246.10943786828631</v>
      </c>
      <c r="Y141" s="193">
        <f t="shared" si="9"/>
        <v>8.781889913402761</v>
      </c>
      <c r="Z141" s="43"/>
      <c r="AA141" s="43"/>
      <c r="AC141" s="436">
        <v>2023</v>
      </c>
      <c r="AD141" s="465" t="s">
        <v>41</v>
      </c>
      <c r="AE141" s="465">
        <v>2</v>
      </c>
      <c r="AF141" s="465">
        <f>L228</f>
        <v>73.085038113379767</v>
      </c>
      <c r="AG141" s="474">
        <f>A228</f>
        <v>45898</v>
      </c>
      <c r="AH141" s="481"/>
      <c r="AI141" s="43"/>
    </row>
    <row r="142" spans="1:35" ht="15.75">
      <c r="A142" s="85">
        <v>45896</v>
      </c>
      <c r="B142">
        <v>8</v>
      </c>
      <c r="C142" t="s">
        <v>2135</v>
      </c>
      <c r="D142">
        <v>3321.1</v>
      </c>
      <c r="G142">
        <v>3320.4357799999998</v>
      </c>
      <c r="H142">
        <v>392.00369999999998</v>
      </c>
      <c r="I142">
        <v>0.41238750000000002</v>
      </c>
      <c r="J142">
        <v>391.59131249999996</v>
      </c>
      <c r="K142">
        <v>3311.0055970938797</v>
      </c>
      <c r="L142" s="391">
        <v>99.715995624341815</v>
      </c>
      <c r="M142">
        <v>3263.4783070878429</v>
      </c>
      <c r="N142">
        <v>98.284638623182261</v>
      </c>
      <c r="O142">
        <v>128</v>
      </c>
      <c r="P142">
        <v>41.7</v>
      </c>
      <c r="Q142">
        <v>100</v>
      </c>
      <c r="R142">
        <v>3</v>
      </c>
      <c r="S142" t="s">
        <v>196</v>
      </c>
      <c r="T142" t="s">
        <v>196</v>
      </c>
      <c r="X142" s="193">
        <f t="shared" si="8"/>
        <v>333.5029247540711</v>
      </c>
      <c r="Y142" s="193">
        <f t="shared" si="9"/>
        <v>18.221050575606089</v>
      </c>
      <c r="Z142" s="43"/>
      <c r="AA142" s="51" t="s">
        <v>2039</v>
      </c>
      <c r="AC142" s="469">
        <v>2023</v>
      </c>
      <c r="AD142" s="470" t="s">
        <v>41</v>
      </c>
      <c r="AE142" s="470">
        <v>3</v>
      </c>
      <c r="AF142" s="470">
        <f>L252</f>
        <v>72.128135470512944</v>
      </c>
      <c r="AG142" s="473">
        <f>A252</f>
        <v>45903</v>
      </c>
      <c r="AH142" s="475">
        <f>((AF142-AF143)/AVERAGE(AF142:AF143))*100</f>
        <v>-0.87378749788942567</v>
      </c>
      <c r="AI142" s="43" t="s">
        <v>353</v>
      </c>
    </row>
    <row r="143" spans="1:35" ht="15.75">
      <c r="A143" s="85">
        <v>45896</v>
      </c>
      <c r="B143">
        <v>9</v>
      </c>
      <c r="C143" t="s">
        <v>2045</v>
      </c>
      <c r="H143">
        <v>0.59619999999999995</v>
      </c>
      <c r="I143">
        <v>0.41238750000000002</v>
      </c>
      <c r="J143">
        <v>0.18381249999999993</v>
      </c>
      <c r="K143">
        <v>-2.8289035300690393</v>
      </c>
      <c r="L143" s="391" t="e">
        <v>#DIV/0!</v>
      </c>
      <c r="M143">
        <v>1.531872866361365</v>
      </c>
      <c r="N143" t="e">
        <v>#DIV/0!</v>
      </c>
      <c r="O143">
        <v>128</v>
      </c>
      <c r="P143">
        <v>41.7</v>
      </c>
      <c r="Q143">
        <v>100</v>
      </c>
      <c r="R143">
        <v>3</v>
      </c>
      <c r="S143" t="s">
        <v>196</v>
      </c>
      <c r="T143" t="s">
        <v>196</v>
      </c>
      <c r="X143" s="193">
        <f t="shared" si="8"/>
        <v>396.80532080251072</v>
      </c>
      <c r="Y143" s="193">
        <f t="shared" si="9"/>
        <v>27.185882578651167</v>
      </c>
      <c r="Z143" s="43"/>
      <c r="AA143" s="425">
        <f>(Y144/$AL$15)*100</f>
        <v>5.3961598898522078</v>
      </c>
      <c r="AC143" s="436">
        <v>2023</v>
      </c>
      <c r="AD143" s="465" t="s">
        <v>41</v>
      </c>
      <c r="AE143" s="465">
        <v>3</v>
      </c>
      <c r="AF143" s="465">
        <f>L258</f>
        <v>72.761147691538753</v>
      </c>
      <c r="AG143" s="474">
        <f>A258</f>
        <v>45903</v>
      </c>
      <c r="AH143" s="481"/>
      <c r="AI143" s="43"/>
    </row>
    <row r="144" spans="1:35" ht="15.75">
      <c r="A144" s="85">
        <v>45896</v>
      </c>
      <c r="B144">
        <v>10</v>
      </c>
      <c r="C144" t="s">
        <v>2047</v>
      </c>
      <c r="H144">
        <v>0.33279999999999998</v>
      </c>
      <c r="I144">
        <v>0.41238750000000002</v>
      </c>
      <c r="J144">
        <v>-7.9587500000000033E-2</v>
      </c>
      <c r="K144">
        <v>-5.0589681237836412</v>
      </c>
      <c r="L144" s="391" t="e">
        <v>#DIV/0!</v>
      </c>
      <c r="M144">
        <v>-0.66327334512905944</v>
      </c>
      <c r="N144" t="e">
        <v>#DIV/0!</v>
      </c>
      <c r="O144">
        <v>128</v>
      </c>
      <c r="P144">
        <v>41.7</v>
      </c>
      <c r="Q144">
        <v>100</v>
      </c>
      <c r="R144">
        <v>3</v>
      </c>
      <c r="S144" t="s">
        <v>196</v>
      </c>
      <c r="T144" t="s">
        <v>196</v>
      </c>
      <c r="X144" s="43"/>
      <c r="Y144" s="425">
        <f>SQRT(SUM(Y138:Y143)/(6-2))</f>
        <v>3.7697092077151133</v>
      </c>
      <c r="Z144" s="51" t="s">
        <v>2044</v>
      </c>
      <c r="AA144" s="43"/>
      <c r="AC144" s="469">
        <v>2023</v>
      </c>
      <c r="AD144" s="470" t="s">
        <v>41</v>
      </c>
      <c r="AE144" s="470">
        <v>4</v>
      </c>
      <c r="AF144" s="470">
        <f>L253</f>
        <v>77.184146691893048</v>
      </c>
      <c r="AG144" s="473">
        <f>A253</f>
        <v>45903</v>
      </c>
      <c r="AH144" s="475">
        <f>((AF144-AF145)/AVERAGE(AF144:AF145))*100</f>
        <v>0.15052291921300184</v>
      </c>
      <c r="AI144" s="43" t="s">
        <v>353</v>
      </c>
    </row>
    <row r="145" spans="1:35" ht="15.75">
      <c r="A145" s="85">
        <v>45896</v>
      </c>
      <c r="B145">
        <v>11</v>
      </c>
      <c r="C145" t="s">
        <v>2055</v>
      </c>
      <c r="D145">
        <v>1058.0999999999999</v>
      </c>
      <c r="H145">
        <v>103.5552</v>
      </c>
      <c r="I145">
        <v>0.41238750000000002</v>
      </c>
      <c r="J145">
        <v>103.14281250000001</v>
      </c>
      <c r="K145">
        <v>868.86897234032472</v>
      </c>
      <c r="L145" s="391">
        <v>82.115959960336909</v>
      </c>
      <c r="M145">
        <v>859.58069135095764</v>
      </c>
      <c r="N145">
        <v>81.238133574421866</v>
      </c>
      <c r="O145">
        <v>128</v>
      </c>
      <c r="P145">
        <v>41.7</v>
      </c>
      <c r="Q145">
        <v>100</v>
      </c>
      <c r="R145">
        <v>3</v>
      </c>
      <c r="S145" t="s">
        <v>196</v>
      </c>
      <c r="T145" t="s">
        <v>196</v>
      </c>
      <c r="X145" s="43"/>
      <c r="Y145" s="425">
        <f>(Y144/12.01)*100.09</f>
        <v>31.416335936736527</v>
      </c>
      <c r="Z145" s="51" t="s">
        <v>2046</v>
      </c>
      <c r="AA145" s="43"/>
      <c r="AC145" s="436">
        <v>2023</v>
      </c>
      <c r="AD145" s="465" t="s">
        <v>41</v>
      </c>
      <c r="AE145" s="465">
        <v>4</v>
      </c>
      <c r="AF145" s="465">
        <f>L259</f>
        <v>77.068054234001067</v>
      </c>
      <c r="AG145" s="474">
        <f>A259</f>
        <v>45903</v>
      </c>
      <c r="AH145" s="481"/>
      <c r="AI145" s="43"/>
    </row>
    <row r="146" spans="1:35" ht="15.75">
      <c r="A146" s="85">
        <v>45896</v>
      </c>
      <c r="B146">
        <v>12</v>
      </c>
      <c r="C146" t="s">
        <v>2055</v>
      </c>
      <c r="D146">
        <v>2237.6</v>
      </c>
      <c r="H146">
        <v>219.5078</v>
      </c>
      <c r="I146">
        <v>0.41238750000000002</v>
      </c>
      <c r="J146">
        <v>219.09541250000001</v>
      </c>
      <c r="K146">
        <v>1850.5765950022526</v>
      </c>
      <c r="L146" s="391">
        <v>82.703637602889373</v>
      </c>
      <c r="M146">
        <v>1825.9167224916739</v>
      </c>
      <c r="N146">
        <v>81.601569650146317</v>
      </c>
      <c r="O146">
        <v>128</v>
      </c>
      <c r="P146">
        <v>41.7</v>
      </c>
      <c r="Q146">
        <v>100</v>
      </c>
      <c r="R146">
        <v>3</v>
      </c>
      <c r="S146" t="s">
        <v>196</v>
      </c>
      <c r="T146" t="s">
        <v>196</v>
      </c>
      <c r="X146" s="193"/>
      <c r="Y146" s="193"/>
      <c r="Z146" s="43"/>
      <c r="AA146" s="51"/>
      <c r="AC146" s="469">
        <v>2023</v>
      </c>
      <c r="AD146" s="470" t="s">
        <v>41</v>
      </c>
      <c r="AE146" s="470">
        <v>5</v>
      </c>
      <c r="AF146" s="470">
        <f>L254</f>
        <v>72.660508288448099</v>
      </c>
      <c r="AG146" s="473">
        <f>A254</f>
        <v>45903</v>
      </c>
      <c r="AH146" s="475">
        <f>((AF146-AF147)/AVERAGE(AF146:AF147))*100</f>
        <v>-4.7026271246741107</v>
      </c>
      <c r="AI146" s="43" t="s">
        <v>353</v>
      </c>
    </row>
    <row r="147" spans="1:35" ht="15.75">
      <c r="A147" s="85">
        <v>45896</v>
      </c>
      <c r="B147">
        <v>13</v>
      </c>
      <c r="C147" t="s">
        <v>2048</v>
      </c>
      <c r="D147">
        <v>1075.5</v>
      </c>
      <c r="H147">
        <v>16.1249</v>
      </c>
      <c r="I147">
        <v>0.41238750000000002</v>
      </c>
      <c r="J147">
        <v>15.712512500000001</v>
      </c>
      <c r="K147">
        <v>128.64415666892847</v>
      </c>
      <c r="L147" s="391">
        <v>11.961334883210457</v>
      </c>
      <c r="M147">
        <v>130.94632607202334</v>
      </c>
      <c r="N147">
        <v>12.175390615715791</v>
      </c>
      <c r="O147">
        <v>128</v>
      </c>
      <c r="P147">
        <v>41.7</v>
      </c>
      <c r="Q147">
        <v>100</v>
      </c>
      <c r="R147">
        <v>3</v>
      </c>
      <c r="S147" t="s">
        <v>196</v>
      </c>
      <c r="T147" t="s">
        <v>196</v>
      </c>
      <c r="X147" s="193"/>
      <c r="Y147" s="193"/>
      <c r="Z147" s="43"/>
      <c r="AA147" s="425"/>
      <c r="AC147" s="436">
        <v>2023</v>
      </c>
      <c r="AD147" s="465" t="s">
        <v>41</v>
      </c>
      <c r="AE147" s="465">
        <v>5</v>
      </c>
      <c r="AF147" s="465">
        <f>L260</f>
        <v>76.159738945155354</v>
      </c>
      <c r="AG147" s="474">
        <f>A260</f>
        <v>45903</v>
      </c>
      <c r="AH147" s="481"/>
      <c r="AI147" s="43"/>
    </row>
    <row r="148" spans="1:35" ht="15.75">
      <c r="A148" s="85">
        <v>45896</v>
      </c>
      <c r="B148">
        <v>14</v>
      </c>
      <c r="C148" t="s">
        <v>2048</v>
      </c>
      <c r="D148">
        <v>2435.8000000000002</v>
      </c>
      <c r="H148">
        <v>36.823700000000002</v>
      </c>
      <c r="I148">
        <v>0.41238750000000002</v>
      </c>
      <c r="J148">
        <v>36.411312500000001</v>
      </c>
      <c r="K148">
        <v>303.88964266885182</v>
      </c>
      <c r="L148" s="391">
        <v>12.475968579885532</v>
      </c>
      <c r="M148">
        <v>303.44781583055789</v>
      </c>
      <c r="N148">
        <v>12.457829699916161</v>
      </c>
      <c r="O148">
        <v>128</v>
      </c>
      <c r="P148">
        <v>41.7</v>
      </c>
      <c r="Q148">
        <v>100</v>
      </c>
      <c r="R148">
        <v>3</v>
      </c>
      <c r="S148" t="s">
        <v>196</v>
      </c>
      <c r="T148" t="s">
        <v>196</v>
      </c>
      <c r="X148" s="43"/>
      <c r="Y148" s="425"/>
      <c r="Z148" s="51"/>
      <c r="AA148" s="43"/>
      <c r="AC148" s="469">
        <v>2023</v>
      </c>
      <c r="AD148" s="470" t="s">
        <v>41</v>
      </c>
      <c r="AE148" s="470">
        <v>6</v>
      </c>
      <c r="AF148" s="470">
        <f>L255</f>
        <v>74.867170631307047</v>
      </c>
      <c r="AG148" s="473">
        <f>A255</f>
        <v>45903</v>
      </c>
      <c r="AH148" s="475">
        <f>((AF148-AF149)/AVERAGE(AF148:AF149))*100</f>
        <v>0.30805059780707122</v>
      </c>
      <c r="AI148" s="43" t="s">
        <v>353</v>
      </c>
    </row>
    <row r="149" spans="1:35" ht="15.75">
      <c r="A149" s="85">
        <v>45896</v>
      </c>
      <c r="B149">
        <v>15</v>
      </c>
      <c r="C149" t="s">
        <v>2049</v>
      </c>
      <c r="H149">
        <v>0.27189999999999998</v>
      </c>
      <c r="I149">
        <v>0.41238750000000002</v>
      </c>
      <c r="J149">
        <v>-0.14048750000000004</v>
      </c>
      <c r="K149">
        <v>-5.5745753134465845</v>
      </c>
      <c r="L149" s="391" t="e">
        <v>#DIV/0!</v>
      </c>
      <c r="M149">
        <v>-1.1708071502914243</v>
      </c>
      <c r="N149" t="e">
        <v>#DIV/0!</v>
      </c>
      <c r="O149">
        <v>128</v>
      </c>
      <c r="P149">
        <v>41.7</v>
      </c>
      <c r="Q149">
        <v>100</v>
      </c>
      <c r="R149">
        <v>3</v>
      </c>
      <c r="S149" t="s">
        <v>196</v>
      </c>
      <c r="T149" t="s">
        <v>196</v>
      </c>
      <c r="X149" s="43"/>
      <c r="Y149" s="425"/>
      <c r="Z149" s="51"/>
      <c r="AA149" s="43"/>
      <c r="AC149" s="487">
        <v>2023</v>
      </c>
      <c r="AD149" s="468" t="s">
        <v>41</v>
      </c>
      <c r="AE149" s="465">
        <v>6</v>
      </c>
      <c r="AF149" s="465">
        <f>L261</f>
        <v>74.63689654496585</v>
      </c>
      <c r="AG149" s="474">
        <f>A261</f>
        <v>45903</v>
      </c>
      <c r="AH149" s="481"/>
      <c r="AI149" s="43"/>
    </row>
    <row r="150" spans="1:35">
      <c r="A150" s="201">
        <v>45896</v>
      </c>
      <c r="B150" s="200">
        <v>16</v>
      </c>
      <c r="C150" s="200" t="s">
        <v>2121</v>
      </c>
      <c r="D150" s="200">
        <v>2093.1999999999998</v>
      </c>
      <c r="E150" s="200"/>
      <c r="F150" s="200"/>
      <c r="G150" s="200"/>
      <c r="H150" s="200">
        <v>181.61199999999999</v>
      </c>
      <c r="I150" s="200">
        <v>0.41238750000000002</v>
      </c>
      <c r="J150" s="200">
        <v>181.1996125</v>
      </c>
      <c r="K150" s="200">
        <v>1529.7334597308409</v>
      </c>
      <c r="L150" s="200">
        <v>73.081094005868579</v>
      </c>
      <c r="M150" s="200">
        <v>1510.0973534658619</v>
      </c>
      <c r="N150" s="200">
        <v>72.143003700834228</v>
      </c>
      <c r="O150" s="200">
        <v>128</v>
      </c>
      <c r="P150" s="200">
        <v>41.7</v>
      </c>
      <c r="Q150" s="200">
        <v>100</v>
      </c>
      <c r="R150" s="200">
        <v>3</v>
      </c>
      <c r="S150" s="200" t="s">
        <v>196</v>
      </c>
      <c r="T150" s="200" t="s">
        <v>196</v>
      </c>
      <c r="AA150" s="43"/>
      <c r="AC150" s="485">
        <v>2023</v>
      </c>
      <c r="AD150" s="470" t="s">
        <v>41</v>
      </c>
      <c r="AE150" s="470">
        <v>7</v>
      </c>
      <c r="AF150" s="470">
        <f>L256</f>
        <v>69.986992652850489</v>
      </c>
      <c r="AG150" s="473">
        <f>A256</f>
        <v>45903</v>
      </c>
      <c r="AH150" s="475">
        <f>((AF150-AF151)/AVERAGE(AF150:AF151))*100</f>
        <v>-7.2208207733844842</v>
      </c>
      <c r="AI150" s="43" t="s">
        <v>353</v>
      </c>
    </row>
    <row r="151" spans="1:35">
      <c r="A151" s="438">
        <v>45896</v>
      </c>
      <c r="B151" s="439">
        <v>17</v>
      </c>
      <c r="C151" s="439" t="s">
        <v>2122</v>
      </c>
      <c r="D151" s="439">
        <v>2292.6</v>
      </c>
      <c r="E151" s="439"/>
      <c r="F151" s="439"/>
      <c r="G151" s="439"/>
      <c r="H151" s="439">
        <v>194.4119</v>
      </c>
      <c r="I151" s="439">
        <v>0.41238750000000002</v>
      </c>
      <c r="J151" s="439">
        <v>193.99951250000001</v>
      </c>
      <c r="K151" s="439">
        <v>1638.1032539339067</v>
      </c>
      <c r="L151" s="439">
        <v>71.451768905779758</v>
      </c>
      <c r="M151" s="439">
        <v>1616.7702919338053</v>
      </c>
      <c r="N151" s="439">
        <v>70.521254991442262</v>
      </c>
      <c r="O151" s="439">
        <v>128</v>
      </c>
      <c r="P151" s="439">
        <v>41.7</v>
      </c>
      <c r="Q151" s="439">
        <v>100</v>
      </c>
      <c r="R151" s="439">
        <v>3</v>
      </c>
      <c r="S151" s="439" t="s">
        <v>196</v>
      </c>
      <c r="T151" s="439" t="s">
        <v>196</v>
      </c>
      <c r="AA151" s="43"/>
      <c r="AC151" s="488">
        <v>2023</v>
      </c>
      <c r="AD151" s="468" t="s">
        <v>41</v>
      </c>
      <c r="AE151" s="468">
        <v>7</v>
      </c>
      <c r="AF151">
        <f>L262</f>
        <v>75.229919118683668</v>
      </c>
      <c r="AG151" s="85">
        <f>A262</f>
        <v>45903</v>
      </c>
      <c r="AH151" s="433"/>
      <c r="AI151" s="43"/>
    </row>
    <row r="152" spans="1:35">
      <c r="A152" s="205">
        <v>45896</v>
      </c>
      <c r="B152" s="204">
        <v>18</v>
      </c>
      <c r="C152" s="204" t="s">
        <v>2123</v>
      </c>
      <c r="D152" s="204">
        <v>2069.6999999999998</v>
      </c>
      <c r="E152" s="204"/>
      <c r="F152" s="204"/>
      <c r="G152" s="204"/>
      <c r="H152" s="204">
        <v>165.9684</v>
      </c>
      <c r="I152" s="204">
        <v>0.41238750000000002</v>
      </c>
      <c r="J152" s="204">
        <v>165.55601250000001</v>
      </c>
      <c r="K152" s="204">
        <v>1397.2876037011001</v>
      </c>
      <c r="L152" s="204">
        <v>67.511600893902511</v>
      </c>
      <c r="M152" s="204">
        <v>1379.7253364800167</v>
      </c>
      <c r="N152" s="204">
        <v>66.663059210514419</v>
      </c>
      <c r="O152" s="204">
        <v>128</v>
      </c>
      <c r="P152" s="204">
        <v>41.7</v>
      </c>
      <c r="Q152" s="204">
        <v>100</v>
      </c>
      <c r="R152" s="204">
        <v>3</v>
      </c>
      <c r="S152" s="204" t="s">
        <v>196</v>
      </c>
      <c r="T152" s="204" t="s">
        <v>196</v>
      </c>
      <c r="AA152" s="43"/>
      <c r="AC152" s="488">
        <v>2023</v>
      </c>
      <c r="AD152" s="468" t="s">
        <v>41</v>
      </c>
      <c r="AE152" s="468">
        <v>7</v>
      </c>
      <c r="AF152">
        <f>L286</f>
        <v>75.094835815368782</v>
      </c>
      <c r="AG152" s="85">
        <f>A286</f>
        <v>45904</v>
      </c>
      <c r="AH152" s="433">
        <f>((AF152-AF153)/AVERAGE(AF152:AF153))</f>
        <v>8.3663858047173644E-3</v>
      </c>
      <c r="AI152" t="s">
        <v>353</v>
      </c>
    </row>
    <row r="153" spans="1:35">
      <c r="A153" s="285">
        <v>45896</v>
      </c>
      <c r="B153" s="284">
        <v>19</v>
      </c>
      <c r="C153" s="284" t="s">
        <v>2124</v>
      </c>
      <c r="D153" s="284">
        <v>2606.4</v>
      </c>
      <c r="E153" s="284"/>
      <c r="F153" s="284"/>
      <c r="G153" s="284"/>
      <c r="H153" s="284">
        <v>187.02770000000001</v>
      </c>
      <c r="I153" s="284">
        <v>0.41238750000000002</v>
      </c>
      <c r="J153" s="284">
        <v>186.61531250000002</v>
      </c>
      <c r="K153" s="284">
        <v>1575.5852472030513</v>
      </c>
      <c r="L153" s="284">
        <v>60.450631031424621</v>
      </c>
      <c r="M153" s="284">
        <v>1555.2311930162368</v>
      </c>
      <c r="N153" s="284">
        <v>59.669705072753104</v>
      </c>
      <c r="O153" s="284">
        <v>128</v>
      </c>
      <c r="P153" s="284">
        <v>41.7</v>
      </c>
      <c r="Q153" s="284">
        <v>100</v>
      </c>
      <c r="R153" s="284">
        <v>3</v>
      </c>
      <c r="S153" s="284" t="s">
        <v>196</v>
      </c>
      <c r="T153" s="284" t="s">
        <v>196</v>
      </c>
      <c r="AA153" s="43"/>
      <c r="AC153" s="486">
        <v>2023</v>
      </c>
      <c r="AD153" s="465" t="s">
        <v>41</v>
      </c>
      <c r="AE153" s="465">
        <v>7</v>
      </c>
      <c r="AF153" s="465">
        <f>L292</f>
        <v>74.469180683104113</v>
      </c>
      <c r="AG153" s="474">
        <f>A292</f>
        <v>45904</v>
      </c>
      <c r="AH153" s="481"/>
    </row>
    <row r="154" spans="1:35">
      <c r="A154" s="333">
        <v>45896</v>
      </c>
      <c r="B154" s="331">
        <v>20</v>
      </c>
      <c r="C154" s="331" t="s">
        <v>2125</v>
      </c>
      <c r="D154" s="331">
        <v>2110.6999999999998</v>
      </c>
      <c r="E154" s="331"/>
      <c r="F154" s="331"/>
      <c r="G154" s="331"/>
      <c r="H154" s="331">
        <v>155.04169999999999</v>
      </c>
      <c r="I154" s="331">
        <v>0.41238750000000002</v>
      </c>
      <c r="J154" s="331">
        <v>154.6293125</v>
      </c>
      <c r="K154" s="331">
        <v>1304.7771754697358</v>
      </c>
      <c r="L154" s="331">
        <v>61.81727272799241</v>
      </c>
      <c r="M154" s="331">
        <v>1288.6634378122399</v>
      </c>
      <c r="N154" s="331">
        <v>61.05384174976264</v>
      </c>
      <c r="O154" s="331">
        <v>128</v>
      </c>
      <c r="P154" s="331">
        <v>41.7</v>
      </c>
      <c r="Q154" s="331">
        <v>100</v>
      </c>
      <c r="R154" s="331">
        <v>3</v>
      </c>
      <c r="S154" s="331" t="s">
        <v>196</v>
      </c>
      <c r="T154" s="331" t="s">
        <v>196</v>
      </c>
      <c r="AA154" s="43"/>
      <c r="AC154" s="487">
        <v>2023</v>
      </c>
      <c r="AD154" s="468" t="s">
        <v>41</v>
      </c>
      <c r="AE154" s="470">
        <v>8</v>
      </c>
      <c r="AF154" s="470">
        <f>L287</f>
        <v>74.015604341692082</v>
      </c>
      <c r="AG154" s="473">
        <f>A287</f>
        <v>45904</v>
      </c>
      <c r="AH154" s="475">
        <f>((AF154-AF155)/AVERAGE(AF154:AF155))*100</f>
        <v>-0.71844346200167364</v>
      </c>
      <c r="AI154" s="43" t="s">
        <v>353</v>
      </c>
    </row>
    <row r="155" spans="1:35">
      <c r="A155" s="85">
        <v>45896</v>
      </c>
      <c r="B155">
        <v>21</v>
      </c>
      <c r="C155" t="s">
        <v>2050</v>
      </c>
      <c r="H155">
        <v>0.502</v>
      </c>
      <c r="I155">
        <v>0.41238750000000002</v>
      </c>
      <c r="J155">
        <v>8.9612499999999984E-2</v>
      </c>
      <c r="K155">
        <v>-3.6264437150649216</v>
      </c>
      <c r="L155" s="391" t="e">
        <v>#DIV/0!</v>
      </c>
      <c r="M155">
        <v>0.74682057660283085</v>
      </c>
      <c r="N155" t="e">
        <v>#DIV/0!</v>
      </c>
      <c r="O155">
        <v>128</v>
      </c>
      <c r="P155">
        <v>41.7</v>
      </c>
      <c r="Q155">
        <v>100</v>
      </c>
      <c r="R155">
        <v>3</v>
      </c>
      <c r="S155" t="s">
        <v>196</v>
      </c>
      <c r="T155" t="s">
        <v>196</v>
      </c>
      <c r="AA155" s="43"/>
      <c r="AC155" s="436">
        <v>2023</v>
      </c>
      <c r="AD155" s="465" t="s">
        <v>41</v>
      </c>
      <c r="AE155" s="465">
        <v>8</v>
      </c>
      <c r="AF155" s="465">
        <f>L293</f>
        <v>74.549281696979619</v>
      </c>
      <c r="AG155" s="474">
        <f>A293</f>
        <v>45904</v>
      </c>
      <c r="AH155" s="481"/>
      <c r="AI155" s="43"/>
    </row>
    <row r="156" spans="1:35">
      <c r="A156" s="201">
        <v>45896</v>
      </c>
      <c r="B156" s="200">
        <v>22</v>
      </c>
      <c r="C156" s="200" t="s">
        <v>2126</v>
      </c>
      <c r="D156" s="200">
        <v>3061.5</v>
      </c>
      <c r="E156" s="200"/>
      <c r="F156" s="200"/>
      <c r="G156" s="200"/>
      <c r="H156" s="200">
        <v>259.73200000000003</v>
      </c>
      <c r="I156" s="200">
        <v>0.41238750000000002</v>
      </c>
      <c r="J156" s="200">
        <v>259.31961250000001</v>
      </c>
      <c r="K156" s="200">
        <v>2191.133027160547</v>
      </c>
      <c r="L156" s="200">
        <v>71.570570869199642</v>
      </c>
      <c r="M156" s="200">
        <v>2161.1407173293092</v>
      </c>
      <c r="N156" s="200">
        <v>70.590910250834867</v>
      </c>
      <c r="O156" s="200">
        <v>128</v>
      </c>
      <c r="P156" s="200">
        <v>41.7</v>
      </c>
      <c r="Q156" s="200">
        <v>100</v>
      </c>
      <c r="R156" s="200">
        <v>3</v>
      </c>
      <c r="S156" s="200" t="s">
        <v>196</v>
      </c>
      <c r="T156" s="200" t="s">
        <v>196</v>
      </c>
      <c r="AA156" s="43"/>
      <c r="AC156" s="469">
        <v>2023</v>
      </c>
      <c r="AD156" s="470" t="s">
        <v>41</v>
      </c>
      <c r="AE156" s="470">
        <v>9</v>
      </c>
      <c r="AF156" s="470">
        <f>L288</f>
        <v>76.904634929319073</v>
      </c>
      <c r="AG156" s="473">
        <f>A288</f>
        <v>45904</v>
      </c>
      <c r="AH156" s="475">
        <f>((AF156-AF157)/AVERAGE(AF156:AF157))*100</f>
        <v>-0.22881197286168789</v>
      </c>
      <c r="AI156" s="43" t="s">
        <v>353</v>
      </c>
    </row>
    <row r="157" spans="1:35">
      <c r="A157" s="438">
        <v>45896</v>
      </c>
      <c r="B157" s="439">
        <v>23</v>
      </c>
      <c r="C157" s="439" t="s">
        <v>2127</v>
      </c>
      <c r="D157" s="439">
        <v>3225.9</v>
      </c>
      <c r="E157" s="439"/>
      <c r="F157" s="439"/>
      <c r="G157" s="439"/>
      <c r="H157" s="439">
        <v>276.68860000000001</v>
      </c>
      <c r="I157" s="439">
        <v>0.41238750000000002</v>
      </c>
      <c r="J157" s="439">
        <v>276.27621249999999</v>
      </c>
      <c r="K157" s="439">
        <v>2334.6953403335956</v>
      </c>
      <c r="L157" s="439">
        <v>72.37345672009657</v>
      </c>
      <c r="M157" s="439">
        <v>2302.4551298189008</v>
      </c>
      <c r="N157" s="439">
        <v>71.374039177249784</v>
      </c>
      <c r="O157" s="439">
        <v>128</v>
      </c>
      <c r="P157" s="439">
        <v>41.7</v>
      </c>
      <c r="Q157" s="439">
        <v>100</v>
      </c>
      <c r="R157" s="439">
        <v>3</v>
      </c>
      <c r="S157" s="439" t="s">
        <v>196</v>
      </c>
      <c r="T157" s="439" t="s">
        <v>196</v>
      </c>
      <c r="AA157" s="43"/>
      <c r="AC157" s="436">
        <v>2023</v>
      </c>
      <c r="AD157" s="465" t="s">
        <v>41</v>
      </c>
      <c r="AE157" s="465">
        <v>9</v>
      </c>
      <c r="AF157" s="465">
        <f>L294</f>
        <v>77.080803489101527</v>
      </c>
      <c r="AG157" s="474">
        <f>A294</f>
        <v>45904</v>
      </c>
      <c r="AH157" s="481"/>
      <c r="AI157" s="43"/>
    </row>
    <row r="158" spans="1:35">
      <c r="A158" s="205">
        <v>45896</v>
      </c>
      <c r="B158" s="204">
        <v>24</v>
      </c>
      <c r="C158" s="204" t="s">
        <v>2128</v>
      </c>
      <c r="D158" s="204">
        <v>2046.5</v>
      </c>
      <c r="E158" s="204"/>
      <c r="F158" s="204"/>
      <c r="G158" s="204"/>
      <c r="H158" s="204">
        <v>165.17</v>
      </c>
      <c r="I158" s="204">
        <v>0.41238750000000002</v>
      </c>
      <c r="J158" s="204">
        <v>164.75761249999999</v>
      </c>
      <c r="K158" s="204">
        <v>1390.5279849781623</v>
      </c>
      <c r="L158" s="204">
        <v>67.946639871886745</v>
      </c>
      <c r="M158" s="204">
        <v>1373.0715599604496</v>
      </c>
      <c r="N158" s="204">
        <v>67.093650621082318</v>
      </c>
      <c r="O158" s="204">
        <v>128</v>
      </c>
      <c r="P158" s="204">
        <v>41.7</v>
      </c>
      <c r="Q158" s="204">
        <v>100</v>
      </c>
      <c r="R158" s="204">
        <v>3</v>
      </c>
      <c r="S158" s="204" t="s">
        <v>196</v>
      </c>
      <c r="T158" s="204" t="s">
        <v>196</v>
      </c>
      <c r="AA158" s="43"/>
      <c r="AC158" s="469">
        <v>2023</v>
      </c>
      <c r="AD158" s="470" t="s">
        <v>41</v>
      </c>
      <c r="AE158" s="470">
        <v>10</v>
      </c>
      <c r="AF158" s="470">
        <f>L289</f>
        <v>78.10890842739127</v>
      </c>
      <c r="AG158" s="473">
        <f>A289</f>
        <v>45904</v>
      </c>
      <c r="AH158" s="475">
        <f>((AF158-AF159)/AVERAGE(AF158:AF159))*100</f>
        <v>0.40391622347460271</v>
      </c>
      <c r="AI158" s="43" t="s">
        <v>353</v>
      </c>
    </row>
    <row r="159" spans="1:35">
      <c r="A159" s="285">
        <v>45896</v>
      </c>
      <c r="B159" s="284">
        <v>25</v>
      </c>
      <c r="C159" s="284" t="s">
        <v>2129</v>
      </c>
      <c r="D159" s="284">
        <v>2105.1999999999998</v>
      </c>
      <c r="E159" s="284"/>
      <c r="F159" s="284"/>
      <c r="G159" s="284"/>
      <c r="H159" s="284">
        <v>149.6797</v>
      </c>
      <c r="I159" s="284">
        <v>0.41238750000000002</v>
      </c>
      <c r="J159" s="284">
        <v>149.2673125</v>
      </c>
      <c r="K159" s="284">
        <v>1259.3800367017111</v>
      </c>
      <c r="L159" s="284">
        <v>59.822346413723693</v>
      </c>
      <c r="M159" s="284">
        <v>1243.977128070358</v>
      </c>
      <c r="N159" s="284">
        <v>59.090686303931129</v>
      </c>
      <c r="O159" s="284">
        <v>128</v>
      </c>
      <c r="P159" s="284">
        <v>41.7</v>
      </c>
      <c r="Q159" s="284">
        <v>100</v>
      </c>
      <c r="R159" s="284">
        <v>3</v>
      </c>
      <c r="S159" s="284" t="s">
        <v>196</v>
      </c>
      <c r="T159" s="284" t="s">
        <v>196</v>
      </c>
      <c r="AA159" s="43"/>
      <c r="AC159" s="436">
        <v>2023</v>
      </c>
      <c r="AD159" s="465" t="s">
        <v>41</v>
      </c>
      <c r="AE159" s="465">
        <v>10</v>
      </c>
      <c r="AF159" s="465">
        <f>L295</f>
        <v>77.794049756899682</v>
      </c>
      <c r="AG159" s="474">
        <f>A295</f>
        <v>45904</v>
      </c>
      <c r="AH159" s="481"/>
      <c r="AI159" s="43"/>
    </row>
    <row r="160" spans="1:35">
      <c r="A160" s="333">
        <v>45896</v>
      </c>
      <c r="B160" s="331">
        <v>26</v>
      </c>
      <c r="C160" s="331" t="s">
        <v>2130</v>
      </c>
      <c r="D160" s="331">
        <v>2848.5</v>
      </c>
      <c r="E160" s="331"/>
      <c r="F160" s="331"/>
      <c r="G160" s="331"/>
      <c r="H160" s="331">
        <v>207.86699999999999</v>
      </c>
      <c r="I160" s="331">
        <v>0.41238750000000002</v>
      </c>
      <c r="J160" s="331">
        <v>207.4546125</v>
      </c>
      <c r="K160" s="331">
        <v>1752.020270315415</v>
      </c>
      <c r="L160" s="331">
        <v>61.506767432522899</v>
      </c>
      <c r="M160" s="331">
        <v>1728.9035940986678</v>
      </c>
      <c r="N160" s="331">
        <v>60.695228860757162</v>
      </c>
      <c r="O160" s="331">
        <v>128</v>
      </c>
      <c r="P160" s="331">
        <v>41.7</v>
      </c>
      <c r="Q160" s="331">
        <v>100</v>
      </c>
      <c r="R160" s="331">
        <v>3</v>
      </c>
      <c r="S160" s="331" t="s">
        <v>196</v>
      </c>
      <c r="T160" s="331" t="s">
        <v>196</v>
      </c>
      <c r="AA160" s="43"/>
      <c r="AC160" s="469">
        <v>2023</v>
      </c>
      <c r="AD160" s="470" t="s">
        <v>41</v>
      </c>
      <c r="AE160" s="470">
        <v>11</v>
      </c>
      <c r="AF160" s="470">
        <f>L290</f>
        <v>77.005601622887283</v>
      </c>
      <c r="AG160" s="473">
        <f>A290</f>
        <v>45904</v>
      </c>
      <c r="AH160" s="475">
        <f>((AF160-AF161)/AVERAGE(AF160:AF161))*100</f>
        <v>0.50971157948108881</v>
      </c>
      <c r="AI160" s="43" t="s">
        <v>353</v>
      </c>
    </row>
    <row r="161" spans="1:41">
      <c r="A161" s="85">
        <v>45896</v>
      </c>
      <c r="B161">
        <v>27</v>
      </c>
      <c r="C161" t="s">
        <v>2051</v>
      </c>
      <c r="H161">
        <v>0</v>
      </c>
      <c r="I161">
        <v>0.41238750000000002</v>
      </c>
      <c r="J161">
        <v>-0.41238750000000002</v>
      </c>
      <c r="K161">
        <v>-7.8766047858497741</v>
      </c>
      <c r="L161" s="391" t="e">
        <v>#DIV/0!</v>
      </c>
      <c r="M161">
        <v>-3.436791413405496</v>
      </c>
      <c r="N161" t="e">
        <v>#DIV/0!</v>
      </c>
      <c r="O161">
        <v>128</v>
      </c>
      <c r="P161">
        <v>41.7</v>
      </c>
      <c r="Q161">
        <v>100</v>
      </c>
      <c r="R161">
        <v>3</v>
      </c>
      <c r="S161" t="s">
        <v>196</v>
      </c>
      <c r="T161" t="s">
        <v>196</v>
      </c>
      <c r="AA161" s="43"/>
      <c r="AC161" s="436">
        <v>2023</v>
      </c>
      <c r="AD161" s="465" t="s">
        <v>41</v>
      </c>
      <c r="AE161" s="465">
        <v>11</v>
      </c>
      <c r="AF161" s="465">
        <f>L296</f>
        <v>76.614092937119366</v>
      </c>
      <c r="AG161" s="474">
        <f>A296</f>
        <v>45904</v>
      </c>
      <c r="AH161" s="481"/>
      <c r="AI161" s="43"/>
    </row>
    <row r="162" spans="1:41">
      <c r="A162" s="85">
        <v>45896</v>
      </c>
      <c r="B162">
        <v>28</v>
      </c>
      <c r="C162" t="s">
        <v>2052</v>
      </c>
      <c r="H162">
        <v>0</v>
      </c>
      <c r="I162">
        <v>0.41238750000000002</v>
      </c>
      <c r="J162">
        <v>-0.41238750000000002</v>
      </c>
      <c r="K162">
        <v>-7.8766047858497741</v>
      </c>
      <c r="L162" s="391" t="e">
        <v>#DIV/0!</v>
      </c>
      <c r="M162">
        <v>-3.436791413405496</v>
      </c>
      <c r="N162" t="e">
        <v>#DIV/0!</v>
      </c>
      <c r="O162">
        <v>128</v>
      </c>
      <c r="P162">
        <v>41.7</v>
      </c>
      <c r="Q162">
        <v>100</v>
      </c>
      <c r="R162">
        <v>3</v>
      </c>
      <c r="S162" t="s">
        <v>196</v>
      </c>
      <c r="T162" t="s">
        <v>196</v>
      </c>
      <c r="AA162" s="43"/>
      <c r="AC162" s="469">
        <v>2023</v>
      </c>
      <c r="AD162" s="470" t="s">
        <v>41</v>
      </c>
      <c r="AE162" s="470">
        <v>12</v>
      </c>
      <c r="AF162" s="470">
        <f>L320</f>
        <v>72.534339312035399</v>
      </c>
      <c r="AG162" s="473">
        <f>A320</f>
        <v>45905</v>
      </c>
      <c r="AH162" s="475">
        <f>((AF162-AF163)/AVERAGE(AF162:AF163))*100</f>
        <v>-2.7058929653382182</v>
      </c>
      <c r="AI162" s="43" t="s">
        <v>353</v>
      </c>
    </row>
    <row r="163" spans="1:41">
      <c r="A163" s="85">
        <v>45896</v>
      </c>
      <c r="B163">
        <v>29</v>
      </c>
      <c r="C163" t="s">
        <v>2136</v>
      </c>
      <c r="D163">
        <v>2113.9</v>
      </c>
      <c r="G163">
        <v>2113.4772200000002</v>
      </c>
      <c r="H163">
        <v>250.8895</v>
      </c>
      <c r="I163">
        <v>0.41238750000000002</v>
      </c>
      <c r="J163">
        <v>250.4771125</v>
      </c>
      <c r="K163">
        <v>2116.2683871836248</v>
      </c>
      <c r="L163" s="391">
        <v>100.11203875224111</v>
      </c>
      <c r="M163">
        <v>2087.4483089196506</v>
      </c>
      <c r="N163">
        <v>98.768431907662119</v>
      </c>
      <c r="O163">
        <v>128</v>
      </c>
      <c r="P163">
        <v>41.7</v>
      </c>
      <c r="Q163">
        <v>100</v>
      </c>
      <c r="R163">
        <v>3</v>
      </c>
      <c r="S163" t="s">
        <v>196</v>
      </c>
      <c r="T163" t="s">
        <v>196</v>
      </c>
      <c r="AA163" s="43"/>
      <c r="AC163" s="436">
        <v>2023</v>
      </c>
      <c r="AD163" s="465" t="s">
        <v>41</v>
      </c>
      <c r="AE163" s="465">
        <v>12</v>
      </c>
      <c r="AF163" s="465">
        <f>L326</f>
        <v>74.523959391822274</v>
      </c>
      <c r="AG163" s="474">
        <f>A326</f>
        <v>45905</v>
      </c>
      <c r="AH163" s="481"/>
      <c r="AI163" s="43"/>
      <c r="AJ163" s="461"/>
    </row>
    <row r="164" spans="1:41">
      <c r="A164" s="85">
        <v>45896</v>
      </c>
      <c r="B164">
        <v>30</v>
      </c>
      <c r="C164" t="s">
        <v>2053</v>
      </c>
      <c r="H164">
        <v>0.41020000000000001</v>
      </c>
      <c r="I164">
        <v>0.41238750000000002</v>
      </c>
      <c r="J164">
        <v>-2.1875000000000089E-3</v>
      </c>
      <c r="K164">
        <v>-4.4036644049016731</v>
      </c>
      <c r="L164" s="391" t="e">
        <v>#DIV/0!</v>
      </c>
      <c r="M164">
        <v>-1.823038093255628E-2</v>
      </c>
      <c r="N164" t="e">
        <v>#DIV/0!</v>
      </c>
      <c r="O164">
        <v>128</v>
      </c>
      <c r="P164">
        <v>41.7</v>
      </c>
      <c r="Q164">
        <v>100</v>
      </c>
      <c r="R164">
        <v>3</v>
      </c>
      <c r="S164" t="s">
        <v>196</v>
      </c>
      <c r="T164" t="s">
        <v>196</v>
      </c>
      <c r="AA164" s="43"/>
      <c r="AC164" s="469">
        <v>2023</v>
      </c>
      <c r="AD164" s="470" t="s">
        <v>41</v>
      </c>
      <c r="AE164" s="470">
        <v>13</v>
      </c>
      <c r="AF164" s="470">
        <f>L321</f>
        <v>64.69210638549356</v>
      </c>
      <c r="AG164" s="473">
        <f>A321</f>
        <v>45905</v>
      </c>
      <c r="AH164" s="475">
        <f>((AF164-AF165)/AVERAGE(AF164:AF165))*100</f>
        <v>0.31377640795136491</v>
      </c>
      <c r="AI164" s="43" t="s">
        <v>353</v>
      </c>
      <c r="AJ164" s="461"/>
      <c r="AK164" s="461"/>
      <c r="AL164" s="461"/>
      <c r="AM164" s="461"/>
      <c r="AN164" s="461"/>
      <c r="AO164" s="461"/>
    </row>
    <row r="165" spans="1:41">
      <c r="H165"/>
      <c r="AA165" s="43"/>
      <c r="AC165" s="436">
        <v>2023</v>
      </c>
      <c r="AD165" s="465" t="s">
        <v>41</v>
      </c>
      <c r="AE165" s="465">
        <v>13</v>
      </c>
      <c r="AF165" s="465">
        <f>L327</f>
        <v>64.489435784115571</v>
      </c>
      <c r="AG165" s="474">
        <f>A327</f>
        <v>45905</v>
      </c>
      <c r="AH165" s="481"/>
      <c r="AI165" s="43"/>
      <c r="AJ165" s="461"/>
      <c r="AK165" s="461"/>
      <c r="AL165" s="461"/>
      <c r="AM165" s="461"/>
      <c r="AN165" s="461"/>
      <c r="AO165" s="461"/>
    </row>
    <row r="166" spans="1:41">
      <c r="A166" s="85" t="s">
        <v>2056</v>
      </c>
      <c r="H166"/>
      <c r="AA166" s="43"/>
      <c r="AC166" s="469">
        <v>2023</v>
      </c>
      <c r="AD166" s="470" t="s">
        <v>41</v>
      </c>
      <c r="AE166" s="470">
        <v>14</v>
      </c>
      <c r="AF166" s="470">
        <f>L322</f>
        <v>60.230998735271335</v>
      </c>
      <c r="AG166" s="473">
        <f>A322</f>
        <v>45905</v>
      </c>
      <c r="AH166" s="475">
        <f>((AF166-AF167)/AVERAGE(AF166:AF167))*100</f>
        <v>0.36226542788159466</v>
      </c>
      <c r="AI166" s="43" t="s">
        <v>353</v>
      </c>
      <c r="AJ166" s="461"/>
      <c r="AK166" s="461"/>
      <c r="AL166" s="461"/>
      <c r="AM166" s="461"/>
      <c r="AN166" s="461"/>
      <c r="AO166" s="461"/>
    </row>
    <row r="167" spans="1:41">
      <c r="A167" s="85" t="s">
        <v>2035</v>
      </c>
      <c r="H167"/>
      <c r="AA167" s="43"/>
      <c r="AC167" s="436">
        <v>2023</v>
      </c>
      <c r="AD167" s="465" t="s">
        <v>41</v>
      </c>
      <c r="AE167" s="465">
        <v>14</v>
      </c>
      <c r="AF167" s="465">
        <f>L328</f>
        <v>60.01319715989014</v>
      </c>
      <c r="AG167" s="474">
        <f>A328</f>
        <v>45905</v>
      </c>
      <c r="AH167" s="481"/>
      <c r="AI167" s="43"/>
      <c r="AK167" s="461"/>
      <c r="AL167" s="461"/>
      <c r="AM167" s="461"/>
      <c r="AN167" s="461"/>
      <c r="AO167" s="461"/>
    </row>
    <row r="168" spans="1:41">
      <c r="A168" s="85" t="s">
        <v>2137</v>
      </c>
      <c r="H168"/>
      <c r="AA168" s="43"/>
      <c r="AC168" s="469">
        <v>2023</v>
      </c>
      <c r="AD168" s="470" t="s">
        <v>41</v>
      </c>
      <c r="AE168" s="470">
        <v>15</v>
      </c>
      <c r="AF168" s="470">
        <f>L323</f>
        <v>59.861924766957877</v>
      </c>
      <c r="AG168" s="473">
        <f>A323</f>
        <v>45905</v>
      </c>
      <c r="AH168" s="475">
        <f>((AF168-AF169)/AVERAGE(AF168:AF169))*100</f>
        <v>-0.23303283809701217</v>
      </c>
      <c r="AI168" s="43" t="s">
        <v>353</v>
      </c>
      <c r="AK168" s="461"/>
      <c r="AL168" s="461"/>
      <c r="AM168" s="461"/>
      <c r="AN168" s="461"/>
      <c r="AO168" s="461"/>
    </row>
    <row r="169" spans="1:41">
      <c r="A169" s="85">
        <v>45897</v>
      </c>
      <c r="B169">
        <v>1</v>
      </c>
      <c r="C169" t="s">
        <v>2040</v>
      </c>
      <c r="H169">
        <v>0.26390000000000002</v>
      </c>
      <c r="AA169" s="43"/>
      <c r="AC169" s="436">
        <v>2023</v>
      </c>
      <c r="AD169" s="465" t="s">
        <v>41</v>
      </c>
      <c r="AE169" s="465">
        <v>15</v>
      </c>
      <c r="AF169" s="465">
        <f>L329</f>
        <v>60.001585436793128</v>
      </c>
      <c r="AG169" s="474">
        <f>A329</f>
        <v>45905</v>
      </c>
      <c r="AH169" s="481"/>
      <c r="AI169" s="43"/>
      <c r="AK169" s="461"/>
      <c r="AL169" s="461"/>
      <c r="AM169" s="461"/>
      <c r="AN169" s="461"/>
      <c r="AO169" s="461"/>
    </row>
    <row r="170" spans="1:41">
      <c r="A170" s="85">
        <v>45897</v>
      </c>
      <c r="B170">
        <v>2</v>
      </c>
      <c r="C170" t="s">
        <v>2041</v>
      </c>
      <c r="H170">
        <v>0.50839999999999996</v>
      </c>
      <c r="AA170" s="43"/>
      <c r="AC170" s="469">
        <v>2023</v>
      </c>
      <c r="AD170" s="470" t="s">
        <v>41</v>
      </c>
      <c r="AE170" s="470">
        <v>16</v>
      </c>
      <c r="AF170" s="470">
        <f>L324</f>
        <v>69.552590217035231</v>
      </c>
      <c r="AG170" s="473">
        <f>A324</f>
        <v>45905</v>
      </c>
      <c r="AH170" s="475">
        <f>((AF170-AF171)/AVERAGE(AF170:AF171))*100</f>
        <v>-0.23243575942035838</v>
      </c>
      <c r="AI170" s="43" t="s">
        <v>353</v>
      </c>
      <c r="AK170" s="462"/>
      <c r="AL170" s="461"/>
      <c r="AM170" s="461"/>
      <c r="AN170" s="461"/>
      <c r="AO170" s="461"/>
    </row>
    <row r="171" spans="1:41">
      <c r="A171" s="85">
        <v>45897</v>
      </c>
      <c r="B171">
        <v>3</v>
      </c>
      <c r="C171" t="s">
        <v>2042</v>
      </c>
      <c r="G171">
        <v>0</v>
      </c>
      <c r="H171">
        <v>0.44840000000000002</v>
      </c>
      <c r="I171">
        <v>0.35710999999999998</v>
      </c>
      <c r="J171">
        <v>0.35710999999999998</v>
      </c>
      <c r="X171" s="423">
        <f>A172</f>
        <v>45897</v>
      </c>
      <c r="Y171" s="43"/>
      <c r="Z171" s="43"/>
      <c r="AA171" s="43"/>
      <c r="AC171" s="436">
        <v>2023</v>
      </c>
      <c r="AD171" s="465" t="s">
        <v>41</v>
      </c>
      <c r="AE171" s="465">
        <v>16</v>
      </c>
      <c r="AF171" s="465">
        <f>L330</f>
        <v>69.714443410652592</v>
      </c>
      <c r="AG171" s="474">
        <f>A330</f>
        <v>45905</v>
      </c>
      <c r="AH171" s="481"/>
      <c r="AI171" s="43"/>
      <c r="AK171" s="462"/>
      <c r="AL171" s="461"/>
      <c r="AM171" s="461"/>
      <c r="AN171" s="461"/>
      <c r="AO171" s="461"/>
    </row>
    <row r="172" spans="1:41">
      <c r="A172" s="85">
        <v>45897</v>
      </c>
      <c r="B172">
        <v>4</v>
      </c>
      <c r="C172" t="s">
        <v>2054</v>
      </c>
      <c r="D172">
        <v>273.60000000000002</v>
      </c>
      <c r="G172">
        <v>273.54528000000005</v>
      </c>
      <c r="H172">
        <v>32.369100000000003</v>
      </c>
      <c r="I172">
        <v>0.35710999999999998</v>
      </c>
      <c r="J172">
        <v>32.011990000000004</v>
      </c>
      <c r="K172">
        <v>274.76178479251416</v>
      </c>
      <c r="L172" s="391">
        <v>100.44471788820999</v>
      </c>
      <c r="M172">
        <v>266.78435296419656</v>
      </c>
      <c r="N172">
        <v>97.528406618530028</v>
      </c>
      <c r="O172">
        <v>128</v>
      </c>
      <c r="P172">
        <v>41.7</v>
      </c>
      <c r="Q172">
        <v>100</v>
      </c>
      <c r="R172">
        <v>3</v>
      </c>
      <c r="S172" t="s">
        <v>196</v>
      </c>
      <c r="T172" t="s">
        <v>196</v>
      </c>
      <c r="U172" s="28" t="s">
        <v>2323</v>
      </c>
      <c r="X172" s="193">
        <f>((J171-INDEX(LINEST($H$171:$H$176,$G$171:$G$176),2))/INDEX(LINEST($H$171:$H$176,$G$171:$G$176),1)/100.09)*12.01</f>
        <v>0.8187265229008801</v>
      </c>
      <c r="Y172" s="193">
        <f>(J171-X172)^2</f>
        <v>0.21308981421509879</v>
      </c>
      <c r="Z172" s="43"/>
      <c r="AA172" s="43"/>
      <c r="AC172" s="469">
        <v>2023</v>
      </c>
      <c r="AD172" s="470" t="s">
        <v>41</v>
      </c>
      <c r="AE172" s="470">
        <v>17</v>
      </c>
      <c r="AF172" s="470">
        <f>L354</f>
        <v>71.513153584121369</v>
      </c>
      <c r="AG172" s="473">
        <f>A354</f>
        <v>45909</v>
      </c>
      <c r="AH172" s="475">
        <f>((AF172-AF173)/AVERAGE(AF172:AF173))*100</f>
        <v>1.423783502339526</v>
      </c>
      <c r="AI172" s="43" t="s">
        <v>353</v>
      </c>
      <c r="AK172" s="462"/>
      <c r="AL172" s="461"/>
      <c r="AM172" s="461"/>
      <c r="AN172" s="461"/>
      <c r="AO172" s="461"/>
    </row>
    <row r="173" spans="1:41">
      <c r="A173" s="85">
        <v>45897</v>
      </c>
      <c r="B173">
        <v>5</v>
      </c>
      <c r="C173" t="s">
        <v>2148</v>
      </c>
      <c r="D173">
        <v>1120.8</v>
      </c>
      <c r="G173">
        <v>1120.57584</v>
      </c>
      <c r="H173">
        <v>130.79220000000001</v>
      </c>
      <c r="I173">
        <v>0.35710999999999998</v>
      </c>
      <c r="J173">
        <v>130.43509</v>
      </c>
      <c r="K173">
        <v>1101.5316739762163</v>
      </c>
      <c r="L173" s="391">
        <v>98.300501818441518</v>
      </c>
      <c r="M173">
        <v>1087.031486935887</v>
      </c>
      <c r="N173">
        <v>97.006507559174835</v>
      </c>
      <c r="O173">
        <v>128</v>
      </c>
      <c r="P173">
        <v>41.7</v>
      </c>
      <c r="Q173">
        <v>100</v>
      </c>
      <c r="R173">
        <v>3</v>
      </c>
      <c r="S173" t="s">
        <v>196</v>
      </c>
      <c r="T173" t="s">
        <v>196</v>
      </c>
      <c r="X173" s="193">
        <f t="shared" ref="X173:X177" si="10">((J172-INDEX(LINEST($H$171:$H$176,$G$171:$G$176),2))/INDEX(LINEST($H$171:$H$176,$G$171:$G$176),1)/100.09)*12.01</f>
        <v>32.713570483791017</v>
      </c>
      <c r="Y173" s="193">
        <f t="shared" ref="Y173:Y177" si="11">(J172-X173)^2</f>
        <v>0.4922151752364311</v>
      </c>
      <c r="Z173" s="43"/>
      <c r="AA173" s="43"/>
      <c r="AC173" s="436">
        <v>2023</v>
      </c>
      <c r="AD173" s="465" t="s">
        <v>41</v>
      </c>
      <c r="AE173" s="465">
        <v>17</v>
      </c>
      <c r="AF173" s="465">
        <f>L360</f>
        <v>70.502158293466806</v>
      </c>
      <c r="AG173" s="474">
        <f>A360</f>
        <v>45909</v>
      </c>
      <c r="AH173" s="481"/>
      <c r="AI173" s="43"/>
      <c r="AK173" s="462"/>
      <c r="AL173" s="461"/>
      <c r="AM173" s="461"/>
      <c r="AN173" s="461"/>
      <c r="AO173" s="461"/>
    </row>
    <row r="174" spans="1:41">
      <c r="A174" s="85">
        <v>45897</v>
      </c>
      <c r="B174">
        <v>6</v>
      </c>
      <c r="C174" t="s">
        <v>2149</v>
      </c>
      <c r="D174">
        <v>2006.9</v>
      </c>
      <c r="G174">
        <v>2006.4986200000001</v>
      </c>
      <c r="H174">
        <v>238.52760000000001</v>
      </c>
      <c r="I174">
        <v>0.35710999999999998</v>
      </c>
      <c r="J174">
        <v>238.17049</v>
      </c>
      <c r="K174">
        <v>2006.526382730176</v>
      </c>
      <c r="L174" s="391">
        <v>100.00138364063145</v>
      </c>
      <c r="M174">
        <v>1984.8862900999168</v>
      </c>
      <c r="N174">
        <v>98.922883390765392</v>
      </c>
      <c r="O174">
        <v>128</v>
      </c>
      <c r="P174">
        <v>41.7</v>
      </c>
      <c r="Q174">
        <v>100</v>
      </c>
      <c r="R174">
        <v>3</v>
      </c>
      <c r="S174" t="s">
        <v>196</v>
      </c>
      <c r="T174" t="s">
        <v>196</v>
      </c>
      <c r="X174" s="193">
        <f t="shared" si="10"/>
        <v>131.88277967514114</v>
      </c>
      <c r="Y174" s="193">
        <f t="shared" si="11"/>
        <v>2.0958053955102436</v>
      </c>
      <c r="Z174" s="43"/>
      <c r="AA174" s="43"/>
      <c r="AC174" s="469">
        <v>2023</v>
      </c>
      <c r="AD174" s="470" t="s">
        <v>41</v>
      </c>
      <c r="AE174" s="470">
        <v>18</v>
      </c>
      <c r="AF174" s="470">
        <f>L355</f>
        <v>71.531077271335903</v>
      </c>
      <c r="AG174" s="473">
        <f>A355</f>
        <v>45909</v>
      </c>
      <c r="AH174" s="475">
        <f>((AF174-AF175)/AVERAGE(AF174:AF175))*100</f>
        <v>-4.4947102610815408</v>
      </c>
      <c r="AI174" s="43" t="s">
        <v>353</v>
      </c>
      <c r="AK174" s="462"/>
      <c r="AL174" s="461"/>
      <c r="AM174" s="461"/>
      <c r="AN174" s="461"/>
      <c r="AO174" s="461"/>
    </row>
    <row r="175" spans="1:41">
      <c r="A175" s="85">
        <v>45897</v>
      </c>
      <c r="B175">
        <v>7</v>
      </c>
      <c r="C175" t="s">
        <v>2150</v>
      </c>
      <c r="D175">
        <v>2827.4</v>
      </c>
      <c r="G175">
        <v>2826.8345200000003</v>
      </c>
      <c r="H175">
        <v>338.01639999999998</v>
      </c>
      <c r="I175">
        <v>0.35710999999999998</v>
      </c>
      <c r="J175">
        <v>337.65929</v>
      </c>
      <c r="K175">
        <v>2842.2483235247605</v>
      </c>
      <c r="L175" s="391">
        <v>100.54526727389619</v>
      </c>
      <c r="M175">
        <v>2814.0148489675271</v>
      </c>
      <c r="N175">
        <v>99.546500831874894</v>
      </c>
      <c r="O175">
        <v>128</v>
      </c>
      <c r="P175">
        <v>41.7</v>
      </c>
      <c r="Q175">
        <v>100</v>
      </c>
      <c r="R175">
        <v>3</v>
      </c>
      <c r="S175" t="s">
        <v>196</v>
      </c>
      <c r="T175" t="s">
        <v>196</v>
      </c>
      <c r="X175" s="193">
        <f t="shared" si="10"/>
        <v>240.43488197545258</v>
      </c>
      <c r="Y175" s="193">
        <f t="shared" si="11"/>
        <v>5.1274710184940488</v>
      </c>
      <c r="Z175" s="43"/>
      <c r="AA175" s="43"/>
      <c r="AC175" s="436">
        <v>2023</v>
      </c>
      <c r="AD175" s="465" t="s">
        <v>41</v>
      </c>
      <c r="AE175" s="465">
        <v>18</v>
      </c>
      <c r="AF175" s="465">
        <f>L361</f>
        <v>74.820108145406294</v>
      </c>
      <c r="AG175" s="474">
        <f>A361</f>
        <v>45909</v>
      </c>
      <c r="AH175" s="481"/>
      <c r="AI175" s="43"/>
      <c r="AK175" s="462"/>
      <c r="AL175" s="461"/>
      <c r="AM175" s="461"/>
      <c r="AN175" s="461"/>
      <c r="AO175" s="461"/>
    </row>
    <row r="176" spans="1:41" ht="15.75">
      <c r="A176" s="85">
        <v>45897</v>
      </c>
      <c r="B176">
        <v>8</v>
      </c>
      <c r="C176" t="s">
        <v>2151</v>
      </c>
      <c r="D176">
        <v>3497.1</v>
      </c>
      <c r="G176">
        <v>3496.40058</v>
      </c>
      <c r="H176">
        <v>415.12</v>
      </c>
      <c r="I176">
        <v>0.35710999999999998</v>
      </c>
      <c r="J176">
        <v>414.76289000000003</v>
      </c>
      <c r="K176">
        <v>3489.9309796051375</v>
      </c>
      <c r="L176" s="391">
        <v>99.814963982334575</v>
      </c>
      <c r="M176">
        <v>3456.5876486344719</v>
      </c>
      <c r="N176">
        <v>98.861316646803431</v>
      </c>
      <c r="O176">
        <v>128</v>
      </c>
      <c r="P176">
        <v>41.7</v>
      </c>
      <c r="Q176">
        <v>100</v>
      </c>
      <c r="R176">
        <v>3</v>
      </c>
      <c r="S176" t="s">
        <v>196</v>
      </c>
      <c r="T176" t="s">
        <v>196</v>
      </c>
      <c r="X176" s="193">
        <f t="shared" si="10"/>
        <v>340.6778698451335</v>
      </c>
      <c r="Y176" s="193">
        <f t="shared" si="11"/>
        <v>9.1118242814461947</v>
      </c>
      <c r="Z176" s="43"/>
      <c r="AA176" s="51" t="s">
        <v>2039</v>
      </c>
      <c r="AC176" s="469">
        <v>2023</v>
      </c>
      <c r="AD176" s="470" t="s">
        <v>41</v>
      </c>
      <c r="AE176" s="470">
        <v>19</v>
      </c>
      <c r="AF176" s="470">
        <f>L356</f>
        <v>80.579039588282484</v>
      </c>
      <c r="AG176" s="473">
        <f>A356</f>
        <v>45909</v>
      </c>
      <c r="AH176" s="475">
        <f>((AF176-AF177)/AVERAGE(AF176:AF177))*100</f>
        <v>2.8233606611944972E-2</v>
      </c>
      <c r="AI176" s="43" t="s">
        <v>353</v>
      </c>
      <c r="AK176" s="462"/>
      <c r="AL176" s="461"/>
      <c r="AM176" s="461"/>
      <c r="AN176" s="461"/>
      <c r="AO176" s="461"/>
    </row>
    <row r="177" spans="1:41" ht="15.75">
      <c r="A177" s="85">
        <v>45897</v>
      </c>
      <c r="B177">
        <v>9</v>
      </c>
      <c r="C177" t="s">
        <v>2045</v>
      </c>
      <c r="H177">
        <v>0.4637</v>
      </c>
      <c r="I177">
        <v>0.35710999999999998</v>
      </c>
      <c r="J177">
        <v>0.10659000000000002</v>
      </c>
      <c r="K177">
        <v>6.7512870296749767</v>
      </c>
      <c r="L177" s="391" t="e">
        <v>#DIV/0!</v>
      </c>
      <c r="M177">
        <v>0.88830916736053311</v>
      </c>
      <c r="N177" t="e">
        <v>#DIV/0!</v>
      </c>
      <c r="O177">
        <v>128</v>
      </c>
      <c r="P177">
        <v>41.7</v>
      </c>
      <c r="Q177">
        <v>100</v>
      </c>
      <c r="R177">
        <v>3</v>
      </c>
      <c r="S177" t="s">
        <v>196</v>
      </c>
      <c r="T177" t="s">
        <v>196</v>
      </c>
      <c r="X177" s="193">
        <f t="shared" si="10"/>
        <v>418.36596377639745</v>
      </c>
      <c r="Y177" s="193">
        <f t="shared" si="11"/>
        <v>12.982140638162788</v>
      </c>
      <c r="Z177" s="43"/>
      <c r="AA177" s="425">
        <f>(Y178/$AL$15)*100</f>
        <v>3.9216671039778772</v>
      </c>
      <c r="AC177" s="436">
        <v>2023</v>
      </c>
      <c r="AD177" s="465" t="s">
        <v>41</v>
      </c>
      <c r="AE177" s="465">
        <v>19</v>
      </c>
      <c r="AF177" s="465">
        <f>L362</f>
        <v>80.55629243040498</v>
      </c>
      <c r="AG177" s="474">
        <f>A362</f>
        <v>45909</v>
      </c>
      <c r="AH177" s="481"/>
      <c r="AI177" s="43"/>
      <c r="AK177" s="462"/>
      <c r="AL177" s="461"/>
      <c r="AM177" s="461"/>
      <c r="AN177" s="461"/>
      <c r="AO177" s="461"/>
    </row>
    <row r="178" spans="1:41" ht="15.75">
      <c r="A178" s="85">
        <v>45897</v>
      </c>
      <c r="B178">
        <v>10</v>
      </c>
      <c r="C178" t="s">
        <v>2047</v>
      </c>
      <c r="H178">
        <v>0.32</v>
      </c>
      <c r="I178">
        <v>0.35710999999999998</v>
      </c>
      <c r="J178">
        <v>-3.7109999999999976E-2</v>
      </c>
      <c r="K178">
        <v>5.5441838895005873</v>
      </c>
      <c r="L178" s="391" t="e">
        <v>#DIV/0!</v>
      </c>
      <c r="M178">
        <v>-0.30927059950041613</v>
      </c>
      <c r="N178" t="e">
        <v>#DIV/0!</v>
      </c>
      <c r="O178">
        <v>128</v>
      </c>
      <c r="P178">
        <v>41.7</v>
      </c>
      <c r="Q178">
        <v>100</v>
      </c>
      <c r="R178">
        <v>3</v>
      </c>
      <c r="S178" t="s">
        <v>196</v>
      </c>
      <c r="T178" t="s">
        <v>196</v>
      </c>
      <c r="X178" s="43"/>
      <c r="Y178" s="425">
        <f>SQRT(SUM(Y172:Y177)/(6-2))</f>
        <v>2.7396416883903272</v>
      </c>
      <c r="Z178" s="51" t="s">
        <v>2044</v>
      </c>
      <c r="AA178" s="43"/>
      <c r="AC178" s="469">
        <v>2023</v>
      </c>
      <c r="AD178" s="470" t="s">
        <v>41</v>
      </c>
      <c r="AE178" s="470">
        <v>20</v>
      </c>
      <c r="AF178" s="470">
        <f>L357</f>
        <v>83.254823853276946</v>
      </c>
      <c r="AG178" s="473">
        <f>A357</f>
        <v>45909</v>
      </c>
      <c r="AH178" s="475">
        <f>((AF178-AF179)/AVERAGE(AF178:AF179))*100</f>
        <v>0.32276398019260755</v>
      </c>
      <c r="AI178" s="43" t="s">
        <v>353</v>
      </c>
      <c r="AK178" s="462"/>
      <c r="AL178" s="461"/>
      <c r="AM178" s="461"/>
      <c r="AN178" s="461"/>
      <c r="AO178" s="461"/>
    </row>
    <row r="179" spans="1:41" ht="15.75">
      <c r="A179" s="85">
        <v>45897</v>
      </c>
      <c r="B179">
        <v>11</v>
      </c>
      <c r="C179" t="s">
        <v>2055</v>
      </c>
      <c r="D179">
        <v>926.8</v>
      </c>
      <c r="H179">
        <v>91.059899999999999</v>
      </c>
      <c r="I179">
        <v>0.35710999999999998</v>
      </c>
      <c r="J179">
        <v>90.702789999999993</v>
      </c>
      <c r="K179">
        <v>767.7739558387708</v>
      </c>
      <c r="L179" s="391">
        <v>82.841384963182009</v>
      </c>
      <c r="M179">
        <v>755.90693181515405</v>
      </c>
      <c r="N179">
        <v>81.560955094427513</v>
      </c>
      <c r="O179">
        <v>128</v>
      </c>
      <c r="P179">
        <v>41.7</v>
      </c>
      <c r="Q179">
        <v>100</v>
      </c>
      <c r="R179">
        <v>3</v>
      </c>
      <c r="S179" t="s">
        <v>196</v>
      </c>
      <c r="T179" t="s">
        <v>196</v>
      </c>
      <c r="X179" s="43"/>
      <c r="Y179" s="425">
        <f>(Y178/12.01)*100.09</f>
        <v>22.831868159116389</v>
      </c>
      <c r="Z179" s="51" t="s">
        <v>2046</v>
      </c>
      <c r="AA179" s="43"/>
      <c r="AC179" s="436">
        <v>2023</v>
      </c>
      <c r="AD179" s="465" t="s">
        <v>41</v>
      </c>
      <c r="AE179" s="465">
        <v>20</v>
      </c>
      <c r="AF179" s="465">
        <f>L363</f>
        <v>82.986540231553604</v>
      </c>
      <c r="AG179" s="474">
        <f>A363</f>
        <v>45909</v>
      </c>
      <c r="AH179" s="481"/>
      <c r="AI179" s="43"/>
      <c r="AK179" s="462"/>
      <c r="AL179" s="461"/>
      <c r="AM179" s="461"/>
      <c r="AN179" s="461"/>
      <c r="AO179" s="461"/>
    </row>
    <row r="180" spans="1:41" ht="15.75">
      <c r="A180" s="85">
        <v>45897</v>
      </c>
      <c r="B180">
        <v>12</v>
      </c>
      <c r="C180" t="s">
        <v>2055</v>
      </c>
      <c r="D180">
        <v>2024.2</v>
      </c>
      <c r="H180">
        <v>197.72929999999999</v>
      </c>
      <c r="I180">
        <v>0.35710999999999998</v>
      </c>
      <c r="J180">
        <v>197.37218999999999</v>
      </c>
      <c r="K180">
        <v>1663.8140929335384</v>
      </c>
      <c r="L180" s="391">
        <v>82.196131456058609</v>
      </c>
      <c r="M180">
        <v>1644.8778099167359</v>
      </c>
      <c r="N180">
        <v>81.260636790669693</v>
      </c>
      <c r="O180">
        <v>128</v>
      </c>
      <c r="P180">
        <v>41.7</v>
      </c>
      <c r="Q180">
        <v>100</v>
      </c>
      <c r="R180">
        <v>3</v>
      </c>
      <c r="S180" t="s">
        <v>196</v>
      </c>
      <c r="T180" t="s">
        <v>196</v>
      </c>
      <c r="X180" s="193"/>
      <c r="Y180" s="193"/>
      <c r="Z180" s="43"/>
      <c r="AA180" s="425"/>
      <c r="AC180" s="469">
        <v>2023</v>
      </c>
      <c r="AD180" s="470" t="s">
        <v>41</v>
      </c>
      <c r="AE180" s="470">
        <v>21</v>
      </c>
      <c r="AF180" s="470">
        <f>L358</f>
        <v>82.852672274266752</v>
      </c>
      <c r="AG180" s="473">
        <f>A358</f>
        <v>45909</v>
      </c>
      <c r="AH180" s="475">
        <f>((AF180-AF181)/AVERAGE(AF180:AF181))*100</f>
        <v>0.15571239763721956</v>
      </c>
      <c r="AI180" s="43" t="s">
        <v>353</v>
      </c>
      <c r="AK180" s="462"/>
      <c r="AL180" s="461"/>
      <c r="AM180" s="461"/>
      <c r="AN180" s="461"/>
      <c r="AO180" s="461"/>
    </row>
    <row r="181" spans="1:41" ht="15.75">
      <c r="A181" s="85">
        <v>45897</v>
      </c>
      <c r="B181">
        <v>13</v>
      </c>
      <c r="C181" t="s">
        <v>2048</v>
      </c>
      <c r="D181">
        <v>1277</v>
      </c>
      <c r="H181">
        <v>18.839700000000001</v>
      </c>
      <c r="I181">
        <v>0.35710999999999998</v>
      </c>
      <c r="J181">
        <v>18.482590000000002</v>
      </c>
      <c r="K181">
        <v>161.11264613784891</v>
      </c>
      <c r="L181" s="391">
        <v>12.616495390591146</v>
      </c>
      <c r="M181">
        <v>154.03184288925897</v>
      </c>
      <c r="N181">
        <v>12.062008057107201</v>
      </c>
      <c r="O181">
        <v>128</v>
      </c>
      <c r="P181">
        <v>41.7</v>
      </c>
      <c r="Q181">
        <v>100</v>
      </c>
      <c r="R181">
        <v>3</v>
      </c>
      <c r="S181" t="s">
        <v>196</v>
      </c>
      <c r="T181" t="s">
        <v>196</v>
      </c>
      <c r="X181" s="43"/>
      <c r="Y181" s="425"/>
      <c r="Z181" s="51"/>
      <c r="AA181" s="43"/>
      <c r="AC181" s="436">
        <v>2023</v>
      </c>
      <c r="AD181" s="465" t="s">
        <v>41</v>
      </c>
      <c r="AE181" s="465">
        <v>21</v>
      </c>
      <c r="AF181" s="465">
        <f>L364</f>
        <v>82.723760757368879</v>
      </c>
      <c r="AG181" s="474">
        <f>A364</f>
        <v>45909</v>
      </c>
      <c r="AH181" s="481"/>
      <c r="AI181" s="43"/>
      <c r="AK181" s="462"/>
      <c r="AL181" s="461"/>
      <c r="AM181" s="461"/>
      <c r="AN181" s="461"/>
      <c r="AO181" s="461"/>
    </row>
    <row r="182" spans="1:41" ht="15.75">
      <c r="A182" s="85">
        <v>45897</v>
      </c>
      <c r="B182">
        <v>14</v>
      </c>
      <c r="C182" t="s">
        <v>2048</v>
      </c>
      <c r="D182">
        <v>2233.1</v>
      </c>
      <c r="H182">
        <v>33.549900000000001</v>
      </c>
      <c r="I182">
        <v>0.35710999999999998</v>
      </c>
      <c r="J182">
        <v>33.192790000000002</v>
      </c>
      <c r="K182">
        <v>284.68069493808076</v>
      </c>
      <c r="L182" s="391">
        <v>12.748228692762561</v>
      </c>
      <c r="M182">
        <v>276.62500841798504</v>
      </c>
      <c r="N182">
        <v>12.387488622004614</v>
      </c>
      <c r="O182">
        <v>128</v>
      </c>
      <c r="P182">
        <v>41.7</v>
      </c>
      <c r="Q182">
        <v>100</v>
      </c>
      <c r="R182">
        <v>3</v>
      </c>
      <c r="S182" t="s">
        <v>196</v>
      </c>
      <c r="T182" t="s">
        <v>196</v>
      </c>
      <c r="X182" s="43"/>
      <c r="Y182" s="425"/>
      <c r="Z182" s="51"/>
      <c r="AA182" s="43"/>
      <c r="AC182" s="468"/>
      <c r="AD182" s="468"/>
      <c r="AE182" s="468"/>
      <c r="AF182" s="468"/>
      <c r="AG182" s="468"/>
      <c r="AK182" s="461"/>
      <c r="AL182" s="461"/>
      <c r="AM182" s="461"/>
      <c r="AN182" s="461"/>
      <c r="AO182" s="461"/>
    </row>
    <row r="183" spans="1:41">
      <c r="A183" s="85">
        <v>45897</v>
      </c>
      <c r="B183">
        <v>15</v>
      </c>
      <c r="C183" t="s">
        <v>2049</v>
      </c>
      <c r="H183">
        <v>0.32040000000000002</v>
      </c>
      <c r="I183">
        <v>0.35710999999999998</v>
      </c>
      <c r="J183">
        <v>-3.6709999999999965E-2</v>
      </c>
      <c r="K183">
        <v>5.5475439539130411</v>
      </c>
      <c r="L183" s="391" t="e">
        <v>#DIV/0!</v>
      </c>
      <c r="M183">
        <v>-0.30593704412989148</v>
      </c>
      <c r="N183" t="e">
        <v>#DIV/0!</v>
      </c>
      <c r="O183">
        <v>128</v>
      </c>
      <c r="P183">
        <v>41.7</v>
      </c>
      <c r="Q183">
        <v>100</v>
      </c>
      <c r="R183">
        <v>3</v>
      </c>
      <c r="S183" t="s">
        <v>196</v>
      </c>
      <c r="T183" t="s">
        <v>196</v>
      </c>
      <c r="AA183" s="43"/>
      <c r="AC183" s="468"/>
      <c r="AD183" s="468"/>
      <c r="AE183" s="468"/>
      <c r="AF183" s="468"/>
      <c r="AG183" s="468"/>
      <c r="AK183" s="461"/>
      <c r="AL183" s="461"/>
      <c r="AM183" s="461"/>
      <c r="AN183" s="461"/>
      <c r="AO183" s="461"/>
    </row>
    <row r="184" spans="1:41">
      <c r="A184" s="201">
        <v>45897</v>
      </c>
      <c r="B184" s="200">
        <v>16</v>
      </c>
      <c r="C184" s="200" t="s">
        <v>2138</v>
      </c>
      <c r="D184" s="200">
        <v>2468.5</v>
      </c>
      <c r="E184" s="200"/>
      <c r="F184" s="200"/>
      <c r="G184" s="200"/>
      <c r="H184" s="200">
        <v>200.0642</v>
      </c>
      <c r="I184" s="200">
        <v>0.35710999999999998</v>
      </c>
      <c r="J184" s="200">
        <v>199.70708999999999</v>
      </c>
      <c r="K184" s="200">
        <v>1683.4276289251402</v>
      </c>
      <c r="L184" s="200">
        <v>68.196379539199526</v>
      </c>
      <c r="M184" s="200">
        <v>1664.3366060033304</v>
      </c>
      <c r="N184" s="200">
        <v>67.422993964080632</v>
      </c>
      <c r="O184" s="200">
        <v>128</v>
      </c>
      <c r="P184" s="200">
        <v>41.7</v>
      </c>
      <c r="Q184" s="200">
        <v>100</v>
      </c>
      <c r="R184" s="200">
        <v>3</v>
      </c>
      <c r="S184" s="200" t="s">
        <v>196</v>
      </c>
      <c r="T184" s="200" t="s">
        <v>196</v>
      </c>
      <c r="AA184" s="43"/>
      <c r="AC184" s="468"/>
      <c r="AD184" s="468"/>
      <c r="AE184" s="468"/>
      <c r="AF184" s="468"/>
      <c r="AG184" s="468"/>
      <c r="AK184" s="461"/>
      <c r="AL184" s="461"/>
      <c r="AM184" s="461"/>
      <c r="AN184" s="461"/>
      <c r="AO184" s="461"/>
    </row>
    <row r="185" spans="1:41">
      <c r="A185" s="438">
        <v>45897</v>
      </c>
      <c r="B185" s="439">
        <v>17</v>
      </c>
      <c r="C185" s="439" t="s">
        <v>2139</v>
      </c>
      <c r="D185" s="439">
        <v>2229.6999999999998</v>
      </c>
      <c r="E185" s="439"/>
      <c r="F185" s="439"/>
      <c r="G185" s="439"/>
      <c r="H185" s="439">
        <v>170.40459999999999</v>
      </c>
      <c r="I185" s="439">
        <v>0.35710999999999998</v>
      </c>
      <c r="J185" s="439">
        <v>170.04748999999998</v>
      </c>
      <c r="K185" s="439">
        <v>1434.2822128060284</v>
      </c>
      <c r="L185" s="439">
        <v>64.326241772706126</v>
      </c>
      <c r="M185" s="439">
        <v>1417.1568088343047</v>
      </c>
      <c r="N185" s="439">
        <v>63.558183111373943</v>
      </c>
      <c r="O185" s="439">
        <v>128</v>
      </c>
      <c r="P185" s="439">
        <v>41.7</v>
      </c>
      <c r="Q185" s="439">
        <v>100</v>
      </c>
      <c r="R185" s="439">
        <v>3</v>
      </c>
      <c r="S185" s="439" t="s">
        <v>196</v>
      </c>
      <c r="T185" s="439" t="s">
        <v>196</v>
      </c>
      <c r="AA185" s="43"/>
      <c r="AC185" s="468"/>
      <c r="AD185" s="468"/>
      <c r="AE185" s="468"/>
      <c r="AF185" s="468"/>
      <c r="AG185" s="468"/>
      <c r="AK185" s="462"/>
      <c r="AL185" s="461"/>
      <c r="AM185" s="461"/>
      <c r="AN185" s="461"/>
      <c r="AO185" s="461"/>
    </row>
    <row r="186" spans="1:41">
      <c r="A186" s="205">
        <v>45897</v>
      </c>
      <c r="B186" s="204">
        <v>18</v>
      </c>
      <c r="C186" s="204" t="s">
        <v>2140</v>
      </c>
      <c r="D186" s="204">
        <v>2042.1</v>
      </c>
      <c r="E186" s="204"/>
      <c r="F186" s="204"/>
      <c r="G186" s="204"/>
      <c r="H186" s="204">
        <v>157.41059999999999</v>
      </c>
      <c r="I186" s="204">
        <v>0.35710999999999998</v>
      </c>
      <c r="J186" s="204">
        <v>157.05348999999998</v>
      </c>
      <c r="K186" s="204">
        <v>1325.130520367434</v>
      </c>
      <c r="L186" s="204">
        <v>64.890579323609714</v>
      </c>
      <c r="M186" s="204">
        <v>1308.8662626228142</v>
      </c>
      <c r="N186" s="204">
        <v>64.094131659703947</v>
      </c>
      <c r="O186" s="204">
        <v>128</v>
      </c>
      <c r="P186" s="204">
        <v>41.7</v>
      </c>
      <c r="Q186" s="204">
        <v>100</v>
      </c>
      <c r="R186" s="204">
        <v>3</v>
      </c>
      <c r="S186" s="204" t="s">
        <v>196</v>
      </c>
      <c r="T186" s="204" t="s">
        <v>196</v>
      </c>
      <c r="AA186" s="43"/>
      <c r="AC186" s="468"/>
      <c r="AD186" s="468"/>
      <c r="AE186" s="468"/>
      <c r="AF186" s="468"/>
      <c r="AG186" s="468"/>
      <c r="AK186" s="461"/>
      <c r="AL186" s="461"/>
      <c r="AM186" s="461"/>
      <c r="AN186" s="461"/>
      <c r="AO186" s="461"/>
    </row>
    <row r="187" spans="1:41">
      <c r="A187" s="285">
        <v>45897</v>
      </c>
      <c r="B187" s="284">
        <v>19</v>
      </c>
      <c r="C187" s="284" t="s">
        <v>2141</v>
      </c>
      <c r="D187" s="284">
        <v>2259.9</v>
      </c>
      <c r="E187" s="284"/>
      <c r="F187" s="284"/>
      <c r="G187" s="284"/>
      <c r="H187" s="284">
        <v>198.78049999999999</v>
      </c>
      <c r="I187" s="284">
        <v>0.35710999999999998</v>
      </c>
      <c r="J187" s="284">
        <v>198.42338999999998</v>
      </c>
      <c r="K187" s="284">
        <v>1672.6443422094694</v>
      </c>
      <c r="L187" s="284">
        <v>74.014086561771279</v>
      </c>
      <c r="M187" s="284">
        <v>1653.6383934304747</v>
      </c>
      <c r="N187" s="284">
        <v>73.173078164099053</v>
      </c>
      <c r="O187" s="284">
        <v>128</v>
      </c>
      <c r="P187" s="284">
        <v>41.7</v>
      </c>
      <c r="Q187" s="284">
        <v>100</v>
      </c>
      <c r="R187" s="284">
        <v>3</v>
      </c>
      <c r="S187" s="284" t="s">
        <v>196</v>
      </c>
      <c r="T187" s="284" t="s">
        <v>196</v>
      </c>
      <c r="AA187" s="43"/>
      <c r="AC187" s="468"/>
      <c r="AD187" s="468"/>
      <c r="AE187" s="468"/>
      <c r="AF187" s="468"/>
      <c r="AG187" s="468"/>
      <c r="AK187" s="461"/>
      <c r="AL187" s="461"/>
      <c r="AM187" s="461"/>
      <c r="AN187" s="461"/>
      <c r="AO187" s="461"/>
    </row>
    <row r="188" spans="1:41">
      <c r="A188" s="333">
        <v>45897</v>
      </c>
      <c r="B188" s="331">
        <v>20</v>
      </c>
      <c r="C188" s="331" t="s">
        <v>2142</v>
      </c>
      <c r="D188" s="331">
        <v>3150.8</v>
      </c>
      <c r="E188" s="331"/>
      <c r="F188" s="331"/>
      <c r="G188" s="331"/>
      <c r="H188" s="331">
        <v>291.71469999999999</v>
      </c>
      <c r="I188" s="331">
        <v>0.35710999999999998</v>
      </c>
      <c r="J188" s="331">
        <v>291.35759000000002</v>
      </c>
      <c r="K188" s="331">
        <v>2453.3065875093639</v>
      </c>
      <c r="L188" s="331">
        <v>77.862974086243611</v>
      </c>
      <c r="M188" s="331">
        <v>2428.1416472189844</v>
      </c>
      <c r="N188" s="331">
        <v>77.064289933318022</v>
      </c>
      <c r="O188" s="331">
        <v>128</v>
      </c>
      <c r="P188" s="331">
        <v>41.7</v>
      </c>
      <c r="Q188" s="331">
        <v>100</v>
      </c>
      <c r="R188" s="331">
        <v>3</v>
      </c>
      <c r="S188" s="331" t="s">
        <v>196</v>
      </c>
      <c r="T188" s="331" t="s">
        <v>196</v>
      </c>
      <c r="AA188" s="43"/>
      <c r="AC188" s="468"/>
      <c r="AD188" s="468"/>
      <c r="AE188" s="468"/>
      <c r="AF188" s="468"/>
      <c r="AG188" s="468"/>
      <c r="AK188" s="461"/>
      <c r="AL188" s="461"/>
      <c r="AM188" s="461"/>
      <c r="AN188" s="461"/>
      <c r="AO188" s="461"/>
    </row>
    <row r="189" spans="1:41">
      <c r="A189" s="85">
        <v>45897</v>
      </c>
      <c r="B189">
        <v>21</v>
      </c>
      <c r="C189" t="s">
        <v>2050</v>
      </c>
      <c r="H189">
        <v>0.18640000000000001</v>
      </c>
      <c r="I189">
        <v>0.35710999999999998</v>
      </c>
      <c r="J189">
        <v>-0.17070999999999997</v>
      </c>
      <c r="K189">
        <v>4.4219223757406816</v>
      </c>
      <c r="L189" s="391" t="e">
        <v>#DIV/0!</v>
      </c>
      <c r="M189">
        <v>-1.4226780932556202</v>
      </c>
      <c r="N189" t="e">
        <v>#DIV/0!</v>
      </c>
      <c r="O189">
        <v>128</v>
      </c>
      <c r="P189">
        <v>41.7</v>
      </c>
      <c r="Q189">
        <v>100</v>
      </c>
      <c r="R189">
        <v>3</v>
      </c>
      <c r="S189" t="s">
        <v>196</v>
      </c>
      <c r="T189" t="s">
        <v>196</v>
      </c>
      <c r="AA189" s="43"/>
      <c r="AC189" s="468"/>
      <c r="AD189" s="468"/>
      <c r="AE189" s="468"/>
      <c r="AF189" s="468"/>
      <c r="AG189" s="468"/>
      <c r="AK189" s="461"/>
      <c r="AL189" s="461"/>
      <c r="AM189" s="461"/>
      <c r="AN189" s="461"/>
      <c r="AO189" s="461"/>
    </row>
    <row r="190" spans="1:41">
      <c r="A190" s="201">
        <v>45897</v>
      </c>
      <c r="B190" s="200">
        <v>22</v>
      </c>
      <c r="C190" s="200" t="s">
        <v>2143</v>
      </c>
      <c r="D190" s="200">
        <v>3200.7</v>
      </c>
      <c r="E190" s="200"/>
      <c r="F190" s="200"/>
      <c r="G190" s="200"/>
      <c r="H190" s="200">
        <v>94.420500000000004</v>
      </c>
      <c r="I190" s="200">
        <v>0.35710999999999998</v>
      </c>
      <c r="J190" s="200">
        <v>94.063389999999998</v>
      </c>
      <c r="K190" s="200">
        <v>796.00353700000994</v>
      </c>
      <c r="L190" s="200">
        <v>24.869670290874183</v>
      </c>
      <c r="M190" s="200">
        <v>783.91379726061609</v>
      </c>
      <c r="N190" s="200">
        <v>24.4919485506488</v>
      </c>
      <c r="O190" s="200">
        <v>128</v>
      </c>
      <c r="P190" s="200">
        <v>41.7</v>
      </c>
      <c r="Q190" s="200">
        <v>100</v>
      </c>
      <c r="R190" s="200">
        <v>3</v>
      </c>
      <c r="S190" s="200" t="s">
        <v>196</v>
      </c>
      <c r="T190" s="200" t="s">
        <v>196</v>
      </c>
      <c r="AA190" s="43"/>
      <c r="AC190" s="468"/>
      <c r="AD190" s="468"/>
      <c r="AE190" s="468"/>
      <c r="AF190" s="468"/>
      <c r="AG190" s="468"/>
      <c r="AK190" s="462"/>
      <c r="AL190" s="461"/>
      <c r="AM190" s="461"/>
      <c r="AN190" s="461"/>
      <c r="AO190" s="461"/>
    </row>
    <row r="191" spans="1:41">
      <c r="A191" s="438">
        <v>45897</v>
      </c>
      <c r="B191" s="439">
        <v>23</v>
      </c>
      <c r="C191" s="439" t="s">
        <v>2144</v>
      </c>
      <c r="D191" s="439">
        <v>3169.1</v>
      </c>
      <c r="E191" s="439"/>
      <c r="F191" s="439"/>
      <c r="G191" s="439"/>
      <c r="H191" s="439">
        <v>242.93770000000001</v>
      </c>
      <c r="I191" s="439">
        <v>0.35710999999999998</v>
      </c>
      <c r="J191" s="439">
        <v>242.58059</v>
      </c>
      <c r="K191" s="439">
        <v>2043.5719328935934</v>
      </c>
      <c r="L191" s="439">
        <v>64.484299419191359</v>
      </c>
      <c r="M191" s="439">
        <v>2021.6395714487928</v>
      </c>
      <c r="N191" s="439">
        <v>63.792230331917352</v>
      </c>
      <c r="O191" s="439">
        <v>128</v>
      </c>
      <c r="P191" s="439">
        <v>41.7</v>
      </c>
      <c r="Q191" s="439">
        <v>100</v>
      </c>
      <c r="R191" s="439">
        <v>3</v>
      </c>
      <c r="S191" s="439" t="s">
        <v>196</v>
      </c>
      <c r="T191" s="439" t="s">
        <v>196</v>
      </c>
      <c r="AA191" s="43"/>
      <c r="AC191" s="468"/>
      <c r="AD191" s="468"/>
      <c r="AE191" s="468"/>
      <c r="AF191" s="468"/>
      <c r="AG191" s="468"/>
      <c r="AK191" s="462"/>
      <c r="AL191" s="461"/>
      <c r="AM191" s="461"/>
      <c r="AN191" s="461"/>
      <c r="AO191" s="461"/>
    </row>
    <row r="192" spans="1:41">
      <c r="A192" s="205">
        <v>45897</v>
      </c>
      <c r="B192" s="204">
        <v>24</v>
      </c>
      <c r="C192" s="204" t="s">
        <v>2145</v>
      </c>
      <c r="D192" s="204">
        <v>2415.6999999999998</v>
      </c>
      <c r="E192" s="204"/>
      <c r="F192" s="204"/>
      <c r="G192" s="204"/>
      <c r="H192" s="204">
        <v>187.77379999999999</v>
      </c>
      <c r="I192" s="204">
        <v>0.35710999999999998</v>
      </c>
      <c r="J192" s="204">
        <v>187.41668999999999</v>
      </c>
      <c r="K192" s="204">
        <v>1580.1862897880537</v>
      </c>
      <c r="L192" s="204">
        <v>65.413184161446111</v>
      </c>
      <c r="M192" s="204">
        <v>1561.9097836885928</v>
      </c>
      <c r="N192" s="204">
        <v>64.656612314798721</v>
      </c>
      <c r="O192" s="204">
        <v>128</v>
      </c>
      <c r="P192" s="204">
        <v>41.7</v>
      </c>
      <c r="Q192" s="204">
        <v>100</v>
      </c>
      <c r="R192" s="204">
        <v>3</v>
      </c>
      <c r="S192" s="204" t="s">
        <v>196</v>
      </c>
      <c r="T192" s="204" t="s">
        <v>196</v>
      </c>
      <c r="AA192" s="43"/>
      <c r="AC192" s="468"/>
      <c r="AD192" s="468"/>
      <c r="AE192" s="468"/>
      <c r="AF192" s="468"/>
      <c r="AG192" s="468"/>
      <c r="AK192" s="461"/>
      <c r="AL192" s="461"/>
      <c r="AM192" s="461"/>
      <c r="AN192" s="461"/>
      <c r="AO192" s="461"/>
    </row>
    <row r="193" spans="1:41">
      <c r="A193" s="285">
        <v>45897</v>
      </c>
      <c r="B193" s="284">
        <v>25</v>
      </c>
      <c r="C193" s="284" t="s">
        <v>2146</v>
      </c>
      <c r="D193" s="284">
        <v>2786</v>
      </c>
      <c r="E193" s="284"/>
      <c r="F193" s="284"/>
      <c r="G193" s="284"/>
      <c r="H193" s="284">
        <v>244.29179999999999</v>
      </c>
      <c r="I193" s="284">
        <v>0.35710999999999998</v>
      </c>
      <c r="J193" s="284">
        <v>243.93468999999999</v>
      </c>
      <c r="K193" s="284">
        <v>2054.9465909458559</v>
      </c>
      <c r="L193" s="284">
        <v>73.759748418731363</v>
      </c>
      <c r="M193" s="284">
        <v>2032.9244897668611</v>
      </c>
      <c r="N193" s="284">
        <v>72.969292525730836</v>
      </c>
      <c r="O193" s="284">
        <v>128</v>
      </c>
      <c r="P193" s="284">
        <v>41.7</v>
      </c>
      <c r="Q193" s="284">
        <v>100</v>
      </c>
      <c r="R193" s="284">
        <v>3</v>
      </c>
      <c r="S193" s="284" t="s">
        <v>196</v>
      </c>
      <c r="T193" s="284" t="s">
        <v>196</v>
      </c>
      <c r="AA193" s="43"/>
      <c r="AC193" s="468"/>
      <c r="AD193" s="468"/>
      <c r="AE193" s="468"/>
      <c r="AF193" s="468"/>
      <c r="AG193" s="468"/>
      <c r="AK193" s="461"/>
      <c r="AL193" s="461"/>
      <c r="AM193" s="461"/>
      <c r="AN193" s="461"/>
      <c r="AO193" s="461"/>
    </row>
    <row r="194" spans="1:41">
      <c r="A194" s="333">
        <v>45897</v>
      </c>
      <c r="B194" s="331">
        <v>26</v>
      </c>
      <c r="C194" s="331" t="s">
        <v>2147</v>
      </c>
      <c r="D194" s="331">
        <v>2199.3000000000002</v>
      </c>
      <c r="E194" s="331"/>
      <c r="F194" s="331"/>
      <c r="G194" s="331"/>
      <c r="H194" s="331">
        <v>205.44220000000001</v>
      </c>
      <c r="I194" s="331">
        <v>0.35710999999999998</v>
      </c>
      <c r="J194" s="331">
        <v>205.08509000000001</v>
      </c>
      <c r="K194" s="331">
        <v>1728.6036949505951</v>
      </c>
      <c r="L194" s="331">
        <v>78.597903648915334</v>
      </c>
      <c r="M194" s="331">
        <v>1709.1562579600336</v>
      </c>
      <c r="N194" s="331">
        <v>77.713647886147115</v>
      </c>
      <c r="O194" s="331">
        <v>128</v>
      </c>
      <c r="P194" s="331">
        <v>41.7</v>
      </c>
      <c r="Q194" s="331">
        <v>100</v>
      </c>
      <c r="R194" s="331">
        <v>3</v>
      </c>
      <c r="S194" s="331" t="s">
        <v>196</v>
      </c>
      <c r="T194" s="331" t="s">
        <v>196</v>
      </c>
      <c r="AA194" s="43"/>
      <c r="AC194" s="468"/>
      <c r="AD194" s="468"/>
      <c r="AE194" s="468"/>
      <c r="AF194" s="468"/>
      <c r="AG194" s="468"/>
      <c r="AK194" s="461"/>
      <c r="AL194" s="461"/>
      <c r="AM194" s="461"/>
      <c r="AN194" s="461"/>
      <c r="AO194" s="461"/>
    </row>
    <row r="195" spans="1:41">
      <c r="A195" s="85">
        <v>45897</v>
      </c>
      <c r="B195">
        <v>27</v>
      </c>
      <c r="C195" t="s">
        <v>2051</v>
      </c>
      <c r="G195" s="175"/>
      <c r="H195">
        <v>0.41420000000000001</v>
      </c>
      <c r="I195">
        <v>0.35710999999999998</v>
      </c>
      <c r="J195">
        <v>5.709000000000003E-2</v>
      </c>
      <c r="K195">
        <v>6.3354790586336946</v>
      </c>
      <c r="L195" s="391" t="e">
        <v>#DIV/0!</v>
      </c>
      <c r="M195">
        <v>0.47578169025811851</v>
      </c>
      <c r="N195" t="e">
        <v>#DIV/0!</v>
      </c>
      <c r="O195">
        <v>128</v>
      </c>
      <c r="P195">
        <v>41.7</v>
      </c>
      <c r="Q195">
        <v>100</v>
      </c>
      <c r="R195">
        <v>3</v>
      </c>
      <c r="S195" t="s">
        <v>196</v>
      </c>
      <c r="T195" t="s">
        <v>196</v>
      </c>
      <c r="AA195" s="43"/>
      <c r="AC195" s="468"/>
      <c r="AD195" s="468"/>
      <c r="AE195" s="468"/>
      <c r="AF195" s="468"/>
      <c r="AG195" s="468"/>
      <c r="AK195" s="461"/>
      <c r="AL195" s="461"/>
      <c r="AM195" s="461"/>
      <c r="AN195" s="461"/>
      <c r="AO195" s="461"/>
    </row>
    <row r="196" spans="1:41">
      <c r="A196" s="85">
        <v>45897</v>
      </c>
      <c r="B196">
        <v>28</v>
      </c>
      <c r="C196" t="s">
        <v>2052</v>
      </c>
      <c r="G196" s="175"/>
      <c r="H196">
        <v>0.22750000000000001</v>
      </c>
      <c r="I196">
        <v>0.35710999999999998</v>
      </c>
      <c r="J196">
        <v>-0.12960999999999998</v>
      </c>
      <c r="K196">
        <v>4.7671689941204125</v>
      </c>
      <c r="L196" s="391" t="e">
        <v>#DIV/0!</v>
      </c>
      <c r="M196">
        <v>-1.0801552789342213</v>
      </c>
      <c r="N196" t="e">
        <v>#DIV/0!</v>
      </c>
      <c r="O196">
        <v>128</v>
      </c>
      <c r="P196">
        <v>41.7</v>
      </c>
      <c r="Q196">
        <v>100</v>
      </c>
      <c r="R196">
        <v>3</v>
      </c>
      <c r="S196" t="s">
        <v>196</v>
      </c>
      <c r="T196" t="s">
        <v>196</v>
      </c>
      <c r="AA196" s="43"/>
      <c r="AC196" s="468"/>
      <c r="AD196" s="468"/>
      <c r="AE196" s="468"/>
      <c r="AF196" s="468"/>
      <c r="AG196" s="468"/>
      <c r="AK196" s="461"/>
      <c r="AL196" s="461"/>
      <c r="AM196" s="461"/>
      <c r="AN196" s="461"/>
      <c r="AO196" s="461"/>
    </row>
    <row r="197" spans="1:41">
      <c r="A197" s="85">
        <v>45897</v>
      </c>
      <c r="B197">
        <v>29</v>
      </c>
      <c r="C197" t="s">
        <v>2152</v>
      </c>
      <c r="D197">
        <v>2083.4</v>
      </c>
      <c r="G197" s="175">
        <v>2082.9833200000003</v>
      </c>
      <c r="H197">
        <v>246.44909999999999</v>
      </c>
      <c r="I197">
        <v>0.35710999999999998</v>
      </c>
      <c r="J197">
        <v>246.09198999999998</v>
      </c>
      <c r="K197">
        <v>2073.0682583383277</v>
      </c>
      <c r="L197" s="391">
        <v>99.523997068700837</v>
      </c>
      <c r="M197">
        <v>2050.9031872689425</v>
      </c>
      <c r="N197">
        <v>98.44020290241636</v>
      </c>
      <c r="O197">
        <v>128</v>
      </c>
      <c r="P197">
        <v>41.7</v>
      </c>
      <c r="Q197">
        <v>100</v>
      </c>
      <c r="R197">
        <v>3</v>
      </c>
      <c r="S197" t="s">
        <v>196</v>
      </c>
      <c r="T197" t="s">
        <v>196</v>
      </c>
      <c r="AA197" s="43"/>
      <c r="AC197" s="468"/>
      <c r="AD197" s="468"/>
      <c r="AE197" s="468"/>
      <c r="AF197" s="468"/>
      <c r="AG197" s="468"/>
      <c r="AK197" s="462"/>
      <c r="AL197" s="461"/>
      <c r="AM197" s="461"/>
      <c r="AN197" s="461"/>
      <c r="AO197" s="461"/>
    </row>
    <row r="198" spans="1:41">
      <c r="A198" s="85">
        <v>45897</v>
      </c>
      <c r="B198">
        <v>30</v>
      </c>
      <c r="C198" t="s">
        <v>2053</v>
      </c>
      <c r="G198" s="175"/>
      <c r="H198">
        <v>0.41820000000000002</v>
      </c>
      <c r="I198">
        <v>0.35710999999999998</v>
      </c>
      <c r="J198">
        <v>6.1090000000000033E-2</v>
      </c>
      <c r="K198">
        <v>6.3690797027582429</v>
      </c>
      <c r="L198" s="391" t="e">
        <v>#DIV/0!</v>
      </c>
      <c r="M198">
        <v>0.50911724396336411</v>
      </c>
      <c r="N198" t="e">
        <v>#DIV/0!</v>
      </c>
      <c r="O198">
        <v>128</v>
      </c>
      <c r="P198">
        <v>41.7</v>
      </c>
      <c r="Q198">
        <v>100</v>
      </c>
      <c r="R198">
        <v>3</v>
      </c>
      <c r="S198" t="s">
        <v>196</v>
      </c>
      <c r="T198" t="s">
        <v>196</v>
      </c>
      <c r="AA198" s="43"/>
      <c r="AC198" s="468"/>
      <c r="AD198" s="468"/>
      <c r="AE198" s="468"/>
      <c r="AF198" s="468"/>
      <c r="AG198" s="468"/>
      <c r="AK198" s="461"/>
      <c r="AL198" s="461"/>
      <c r="AM198" s="461"/>
      <c r="AN198" s="461"/>
      <c r="AO198" s="461"/>
    </row>
    <row r="199" spans="1:41">
      <c r="G199" s="175"/>
      <c r="H199"/>
      <c r="AA199" s="43"/>
      <c r="AC199" s="468"/>
      <c r="AD199" s="468"/>
      <c r="AE199" s="468"/>
      <c r="AF199" s="468"/>
      <c r="AG199" s="468"/>
      <c r="AK199" s="461"/>
      <c r="AL199" s="461"/>
      <c r="AM199" s="461"/>
      <c r="AN199" s="461"/>
      <c r="AO199" s="461"/>
    </row>
    <row r="200" spans="1:41">
      <c r="A200" s="85" t="s">
        <v>2153</v>
      </c>
      <c r="G200" s="175"/>
      <c r="H200"/>
      <c r="AA200" s="43"/>
      <c r="AC200" s="468"/>
      <c r="AD200" s="468"/>
      <c r="AE200" s="468"/>
      <c r="AF200" s="468"/>
      <c r="AG200" s="468"/>
      <c r="AK200" s="461"/>
      <c r="AL200" s="461"/>
      <c r="AM200" s="461"/>
      <c r="AN200" s="461"/>
      <c r="AO200" s="461"/>
    </row>
    <row r="201" spans="1:41">
      <c r="A201" s="85" t="s">
        <v>2035</v>
      </c>
      <c r="G201" s="175"/>
      <c r="H201"/>
      <c r="AA201" s="43"/>
      <c r="AC201" s="468"/>
      <c r="AD201" s="468"/>
      <c r="AE201" s="468"/>
      <c r="AF201" s="468"/>
      <c r="AG201" s="468"/>
      <c r="AK201" s="461"/>
      <c r="AL201" s="461"/>
      <c r="AM201" s="461"/>
      <c r="AN201" s="461"/>
      <c r="AO201" s="461"/>
    </row>
    <row r="202" spans="1:41">
      <c r="A202" s="85" t="s">
        <v>2154</v>
      </c>
      <c r="G202" s="175"/>
      <c r="H202"/>
      <c r="AA202" s="43"/>
      <c r="AC202" s="468"/>
      <c r="AD202" s="468"/>
      <c r="AE202" s="468"/>
      <c r="AF202" s="468"/>
      <c r="AG202" s="468"/>
      <c r="AK202" s="461"/>
      <c r="AL202" s="461"/>
      <c r="AM202" s="461"/>
      <c r="AN202" s="461"/>
      <c r="AO202" s="461"/>
    </row>
    <row r="203" spans="1:41">
      <c r="A203" s="85">
        <v>45898</v>
      </c>
      <c r="B203">
        <v>1</v>
      </c>
      <c r="C203" t="s">
        <v>2040</v>
      </c>
      <c r="G203" s="175"/>
      <c r="H203">
        <v>0.27589999999999998</v>
      </c>
      <c r="AA203" s="43"/>
      <c r="AC203" s="468"/>
      <c r="AD203" s="468"/>
      <c r="AE203" s="468"/>
      <c r="AF203" s="468"/>
      <c r="AG203" s="468"/>
      <c r="AK203" s="461"/>
      <c r="AL203" s="461"/>
      <c r="AM203" s="461"/>
      <c r="AN203" s="461"/>
      <c r="AO203" s="461"/>
    </row>
    <row r="204" spans="1:41">
      <c r="A204" s="85">
        <v>45898</v>
      </c>
      <c r="B204">
        <v>2</v>
      </c>
      <c r="C204" t="s">
        <v>2041</v>
      </c>
      <c r="G204" s="175"/>
      <c r="H204">
        <v>0.41349999999999998</v>
      </c>
      <c r="X204" s="423"/>
      <c r="Y204" s="43"/>
      <c r="Z204" s="43"/>
      <c r="AA204" s="43"/>
      <c r="AC204" s="468"/>
      <c r="AD204" s="468"/>
      <c r="AE204" s="468"/>
      <c r="AF204" s="468"/>
      <c r="AG204" s="468"/>
      <c r="AK204" s="461"/>
      <c r="AL204" s="461"/>
      <c r="AM204" s="461"/>
      <c r="AN204" s="461"/>
      <c r="AO204" s="461"/>
    </row>
    <row r="205" spans="1:41">
      <c r="A205" s="85">
        <v>45898</v>
      </c>
      <c r="B205">
        <v>3</v>
      </c>
      <c r="C205" t="s">
        <v>2042</v>
      </c>
      <c r="G205" s="175">
        <v>0</v>
      </c>
      <c r="H205">
        <v>0.27439999999999998</v>
      </c>
      <c r="I205">
        <v>0.30665999999999999</v>
      </c>
      <c r="J205">
        <v>0.30665999999999999</v>
      </c>
      <c r="X205" s="423">
        <f>A206</f>
        <v>45898</v>
      </c>
      <c r="Y205" s="43"/>
      <c r="Z205" s="43"/>
      <c r="AA205" s="43"/>
      <c r="AC205" s="468"/>
      <c r="AD205" s="468"/>
      <c r="AE205" s="468"/>
      <c r="AF205" s="468"/>
      <c r="AG205" s="468"/>
      <c r="AK205" s="461"/>
      <c r="AL205" s="461"/>
      <c r="AM205" s="461"/>
      <c r="AN205" s="461"/>
      <c r="AO205" s="461"/>
    </row>
    <row r="206" spans="1:41">
      <c r="A206" s="85">
        <v>45898</v>
      </c>
      <c r="B206">
        <v>4</v>
      </c>
      <c r="C206" t="s">
        <v>2163</v>
      </c>
      <c r="D206">
        <v>281.60000000000002</v>
      </c>
      <c r="G206" s="175">
        <v>281.54368000000005</v>
      </c>
      <c r="H206">
        <v>33.204099999999997</v>
      </c>
      <c r="I206">
        <v>0.30665999999999999</v>
      </c>
      <c r="J206">
        <v>32.897439999999996</v>
      </c>
      <c r="K206">
        <v>283.18969256458314</v>
      </c>
      <c r="L206" s="391">
        <v>100.58463843499635</v>
      </c>
      <c r="M206">
        <v>274.16359447127388</v>
      </c>
      <c r="N206">
        <v>97.378706732565917</v>
      </c>
      <c r="O206">
        <v>128</v>
      </c>
      <c r="P206">
        <v>41.7</v>
      </c>
      <c r="Q206">
        <v>100</v>
      </c>
      <c r="R206">
        <v>3</v>
      </c>
      <c r="S206" t="s">
        <v>196</v>
      </c>
      <c r="T206" t="s">
        <v>196</v>
      </c>
      <c r="X206" s="193">
        <f>((J205-INDEX(LINEST($H$205:$H$210,$G$205:$G$210),2))/INDEX(LINEST($H$205:$H$210,$G$205:$G$210),1)/100.09)*12.01</f>
        <v>0.857759444220765</v>
      </c>
      <c r="Y206" s="193">
        <f>(J205-X206)^2</f>
        <v>0.30371059742043616</v>
      </c>
      <c r="Z206" s="43"/>
      <c r="AA206" s="43"/>
      <c r="AC206" s="468"/>
      <c r="AD206" s="468"/>
      <c r="AE206" s="468"/>
      <c r="AF206" s="468"/>
      <c r="AG206" s="468"/>
      <c r="AK206" s="461"/>
      <c r="AL206" s="461"/>
      <c r="AM206" s="461"/>
      <c r="AN206" s="461"/>
      <c r="AO206" s="461"/>
    </row>
    <row r="207" spans="1:41">
      <c r="A207" s="85">
        <v>45898</v>
      </c>
      <c r="B207">
        <v>5</v>
      </c>
      <c r="C207" t="s">
        <v>2164</v>
      </c>
      <c r="D207">
        <v>1010.5</v>
      </c>
      <c r="G207" s="175">
        <v>1010.2979</v>
      </c>
      <c r="H207">
        <v>116.9624</v>
      </c>
      <c r="I207">
        <v>0.30665999999999999</v>
      </c>
      <c r="J207">
        <v>116.65574000000001</v>
      </c>
      <c r="K207">
        <v>989.09371142931127</v>
      </c>
      <c r="L207" s="391">
        <v>97.901194432781779</v>
      </c>
      <c r="M207">
        <v>972.19592144879277</v>
      </c>
      <c r="N207">
        <v>96.228639240841019</v>
      </c>
      <c r="O207">
        <v>128</v>
      </c>
      <c r="P207">
        <v>41.7</v>
      </c>
      <c r="Q207">
        <v>100</v>
      </c>
      <c r="R207">
        <v>3</v>
      </c>
      <c r="S207" t="s">
        <v>196</v>
      </c>
      <c r="T207" t="s">
        <v>196</v>
      </c>
      <c r="X207" s="193">
        <f t="shared" ref="X207:X211" si="12">((J206-INDEX(LINEST($H$205:$H$210,$G$205:$G$210),2))/INDEX(LINEST($H$205:$H$210,$G$205:$G$210),1)/100.09)*12.01</f>
        <v>33.801434143109276</v>
      </c>
      <c r="Y207" s="193">
        <f t="shared" ref="Y207:Y211" si="13">(J206-X207)^2</f>
        <v>0.81720541077588127</v>
      </c>
      <c r="Z207" s="43"/>
      <c r="AA207" s="43"/>
      <c r="AC207" s="468"/>
      <c r="AD207" s="468"/>
      <c r="AE207" s="468"/>
      <c r="AF207" s="468"/>
      <c r="AG207" s="468"/>
      <c r="AK207" s="461"/>
      <c r="AL207" s="461"/>
      <c r="AM207" s="461"/>
      <c r="AN207" s="461"/>
      <c r="AO207" s="461"/>
    </row>
    <row r="208" spans="1:41">
      <c r="A208" s="85">
        <v>45898</v>
      </c>
      <c r="B208">
        <v>6</v>
      </c>
      <c r="C208" t="s">
        <v>2165</v>
      </c>
      <c r="D208">
        <v>2178</v>
      </c>
      <c r="G208" s="175">
        <v>2177.5644000000002</v>
      </c>
      <c r="H208">
        <v>260.38850000000002</v>
      </c>
      <c r="I208">
        <v>0.30665999999999999</v>
      </c>
      <c r="J208">
        <v>260.08184</v>
      </c>
      <c r="K208">
        <v>2197.870159854057</v>
      </c>
      <c r="L208" s="391">
        <v>100.93249870607993</v>
      </c>
      <c r="M208">
        <v>2167.4930362697755</v>
      </c>
      <c r="N208">
        <v>99.537494104412033</v>
      </c>
      <c r="O208">
        <v>128</v>
      </c>
      <c r="P208">
        <v>41.7</v>
      </c>
      <c r="Q208">
        <v>100</v>
      </c>
      <c r="R208">
        <v>3</v>
      </c>
      <c r="S208" t="s">
        <v>196</v>
      </c>
      <c r="T208" t="s">
        <v>196</v>
      </c>
      <c r="X208" s="193">
        <f t="shared" si="12"/>
        <v>118.46667346944372</v>
      </c>
      <c r="Y208" s="193">
        <f t="shared" si="13"/>
        <v>3.279480030751436</v>
      </c>
      <c r="Z208" s="43"/>
      <c r="AA208" s="43"/>
      <c r="AC208" s="468"/>
      <c r="AD208" s="468"/>
      <c r="AE208" s="468"/>
      <c r="AF208" s="468"/>
      <c r="AG208" s="468"/>
      <c r="AK208" s="461"/>
      <c r="AL208" s="461"/>
      <c r="AM208" s="461"/>
      <c r="AN208" s="461"/>
      <c r="AO208" s="461"/>
    </row>
    <row r="209" spans="1:41">
      <c r="A209" s="85">
        <v>45898</v>
      </c>
      <c r="B209">
        <v>7</v>
      </c>
      <c r="C209" t="s">
        <v>2166</v>
      </c>
      <c r="D209">
        <v>2964.5</v>
      </c>
      <c r="G209" s="175">
        <v>2963.9070999999999</v>
      </c>
      <c r="H209">
        <v>349.37299999999999</v>
      </c>
      <c r="I209">
        <v>0.30665999999999999</v>
      </c>
      <c r="J209">
        <v>349.06633999999997</v>
      </c>
      <c r="K209">
        <v>2947.8199101076834</v>
      </c>
      <c r="L209" s="391">
        <v>99.457230292666182</v>
      </c>
      <c r="M209">
        <v>2909.0799309408826</v>
      </c>
      <c r="N209">
        <v>98.150172484855645</v>
      </c>
      <c r="O209">
        <v>128</v>
      </c>
      <c r="P209">
        <v>41.7</v>
      </c>
      <c r="Q209">
        <v>100</v>
      </c>
      <c r="R209">
        <v>3</v>
      </c>
      <c r="S209" t="s">
        <v>196</v>
      </c>
      <c r="T209" t="s">
        <v>196</v>
      </c>
      <c r="X209" s="193">
        <f t="shared" si="12"/>
        <v>263.44579890707524</v>
      </c>
      <c r="Y209" s="193">
        <f t="shared" si="13"/>
        <v>11.316219528490867</v>
      </c>
      <c r="Z209" s="43"/>
      <c r="AA209" s="43"/>
      <c r="AC209" s="468"/>
      <c r="AD209" s="468"/>
      <c r="AE209" s="468"/>
      <c r="AF209" s="468"/>
      <c r="AG209" s="468"/>
      <c r="AK209" s="461"/>
      <c r="AL209" s="461"/>
      <c r="AM209" s="461"/>
      <c r="AN209" s="461"/>
      <c r="AO209" s="461"/>
    </row>
    <row r="210" spans="1:41" ht="15.75">
      <c r="A210" s="85">
        <v>45898</v>
      </c>
      <c r="B210">
        <v>8</v>
      </c>
      <c r="C210" t="s">
        <v>2167</v>
      </c>
      <c r="D210">
        <v>3581.4</v>
      </c>
      <c r="G210" s="175">
        <v>3580.68372</v>
      </c>
      <c r="H210">
        <v>425.27409999999998</v>
      </c>
      <c r="I210">
        <v>0.30665999999999999</v>
      </c>
      <c r="J210">
        <v>424.96743999999995</v>
      </c>
      <c r="K210">
        <v>3587.5044730256704</v>
      </c>
      <c r="L210" s="391">
        <v>100.19048744762273</v>
      </c>
      <c r="M210">
        <v>3541.631229775187</v>
      </c>
      <c r="N210">
        <v>98.909356612350763</v>
      </c>
      <c r="O210">
        <v>128</v>
      </c>
      <c r="P210">
        <v>41.7</v>
      </c>
      <c r="Q210">
        <v>100</v>
      </c>
      <c r="R210">
        <v>3</v>
      </c>
      <c r="S210" t="s">
        <v>196</v>
      </c>
      <c r="T210" t="s">
        <v>196</v>
      </c>
      <c r="X210" s="193">
        <f t="shared" si="12"/>
        <v>353.39382780491826</v>
      </c>
      <c r="Y210" s="193">
        <f t="shared" si="13"/>
        <v>18.727150701716536</v>
      </c>
      <c r="Z210" s="43"/>
      <c r="AA210" s="51" t="s">
        <v>2039</v>
      </c>
      <c r="AC210" s="468"/>
      <c r="AD210" s="468"/>
      <c r="AE210" s="468"/>
      <c r="AF210" s="468"/>
      <c r="AG210" s="468"/>
    </row>
    <row r="211" spans="1:41" ht="15.75">
      <c r="A211" s="85">
        <v>45898</v>
      </c>
      <c r="B211">
        <v>9</v>
      </c>
      <c r="C211" t="s">
        <v>2045</v>
      </c>
      <c r="G211" s="175"/>
      <c r="H211">
        <v>0.45660000000000001</v>
      </c>
      <c r="I211">
        <v>0.30665999999999999</v>
      </c>
      <c r="J211">
        <v>0.14994000000000002</v>
      </c>
      <c r="K211">
        <v>7.1980373164145988</v>
      </c>
      <c r="L211" s="391" t="e">
        <v>#DIV/0!</v>
      </c>
      <c r="M211">
        <v>1.2495832306411327</v>
      </c>
      <c r="N211" t="e">
        <v>#DIV/0!</v>
      </c>
      <c r="O211">
        <v>128</v>
      </c>
      <c r="P211">
        <v>41.7</v>
      </c>
      <c r="Q211">
        <v>100</v>
      </c>
      <c r="R211">
        <v>3</v>
      </c>
      <c r="S211" t="s">
        <v>196</v>
      </c>
      <c r="T211" t="s">
        <v>196</v>
      </c>
      <c r="X211" s="193">
        <f t="shared" si="12"/>
        <v>430.11678895183798</v>
      </c>
      <c r="Y211" s="193">
        <f t="shared" si="13"/>
        <v>26.51579462779533</v>
      </c>
      <c r="Z211" s="43"/>
      <c r="AA211" s="425">
        <f>(Y212/$AL$15)*100</f>
        <v>5.5881477262594528</v>
      </c>
      <c r="AC211" s="468"/>
      <c r="AD211" s="468"/>
      <c r="AE211" s="468"/>
      <c r="AF211" s="468"/>
      <c r="AG211" s="468"/>
    </row>
    <row r="212" spans="1:41" ht="15.75">
      <c r="A212" s="85">
        <v>45898</v>
      </c>
      <c r="B212">
        <v>10</v>
      </c>
      <c r="C212" t="s">
        <v>2047</v>
      </c>
      <c r="G212" s="175"/>
      <c r="H212">
        <v>0.23180000000000001</v>
      </c>
      <c r="I212">
        <v>0.30665999999999999</v>
      </c>
      <c r="J212">
        <v>-7.4859999999999982E-2</v>
      </c>
      <c r="K212">
        <v>5.3034522610733283</v>
      </c>
      <c r="L212" s="391" t="e">
        <v>#DIV/0!</v>
      </c>
      <c r="M212">
        <v>-0.62387488759367182</v>
      </c>
      <c r="N212" t="e">
        <v>#DIV/0!</v>
      </c>
      <c r="O212">
        <v>128</v>
      </c>
      <c r="P212">
        <v>41.7</v>
      </c>
      <c r="Q212">
        <v>100</v>
      </c>
      <c r="R212">
        <v>3</v>
      </c>
      <c r="S212" t="s">
        <v>196</v>
      </c>
      <c r="T212" t="s">
        <v>196</v>
      </c>
      <c r="X212" s="43"/>
      <c r="Y212" s="425">
        <f>SQRT(SUM(Y206:Y211)/(6-2))</f>
        <v>3.9038301992066229</v>
      </c>
      <c r="Z212" s="51" t="s">
        <v>2044</v>
      </c>
      <c r="AA212" s="43"/>
      <c r="AC212" s="468"/>
      <c r="AD212" s="468"/>
      <c r="AE212" s="468"/>
      <c r="AF212" s="468"/>
      <c r="AG212" s="468"/>
    </row>
    <row r="213" spans="1:41" ht="15.75">
      <c r="A213" s="85">
        <v>45898</v>
      </c>
      <c r="B213">
        <v>11</v>
      </c>
      <c r="C213" t="s">
        <v>2055</v>
      </c>
      <c r="D213">
        <v>883.6</v>
      </c>
      <c r="G213" s="175"/>
      <c r="H213">
        <v>88.138099999999994</v>
      </c>
      <c r="I213">
        <v>0.30665999999999999</v>
      </c>
      <c r="J213">
        <v>87.831440000000001</v>
      </c>
      <c r="K213">
        <v>746.16627365941156</v>
      </c>
      <c r="L213" s="391">
        <v>84.446160441309587</v>
      </c>
      <c r="M213">
        <v>731.9774212822648</v>
      </c>
      <c r="N213">
        <v>82.840360036471793</v>
      </c>
      <c r="O213">
        <v>128</v>
      </c>
      <c r="P213">
        <v>41.7</v>
      </c>
      <c r="Q213">
        <v>100</v>
      </c>
      <c r="R213">
        <v>3</v>
      </c>
      <c r="S213" t="s">
        <v>196</v>
      </c>
      <c r="T213" t="s">
        <v>196</v>
      </c>
      <c r="X213" s="43"/>
      <c r="Y213" s="425">
        <f>(Y212/12.01)*100.09</f>
        <v>32.534085315453027</v>
      </c>
      <c r="Z213" s="51" t="s">
        <v>2046</v>
      </c>
      <c r="AA213" s="43"/>
      <c r="AC213" s="468"/>
      <c r="AD213" s="468"/>
      <c r="AE213" s="468"/>
      <c r="AF213" s="468"/>
      <c r="AG213" s="468"/>
    </row>
    <row r="214" spans="1:41">
      <c r="A214" s="85">
        <v>45898</v>
      </c>
      <c r="B214">
        <v>12</v>
      </c>
      <c r="C214" t="s">
        <v>2055</v>
      </c>
      <c r="D214">
        <v>2164.1999999999998</v>
      </c>
      <c r="G214" s="175"/>
      <c r="H214">
        <v>210.29750000000001</v>
      </c>
      <c r="I214">
        <v>0.30665999999999999</v>
      </c>
      <c r="J214">
        <v>209.99084000000002</v>
      </c>
      <c r="K214">
        <v>1775.7097505698057</v>
      </c>
      <c r="L214" s="391">
        <v>82.04924455086433</v>
      </c>
      <c r="M214">
        <v>1750.0402311074106</v>
      </c>
      <c r="N214">
        <v>80.863147172507652</v>
      </c>
      <c r="O214">
        <v>128</v>
      </c>
      <c r="P214">
        <v>41.7</v>
      </c>
      <c r="Q214">
        <v>100</v>
      </c>
      <c r="R214">
        <v>3</v>
      </c>
      <c r="S214" t="s">
        <v>196</v>
      </c>
      <c r="T214" t="s">
        <v>196</v>
      </c>
      <c r="AA214" s="43"/>
      <c r="AC214" s="468"/>
      <c r="AD214" s="468"/>
      <c r="AE214" s="468"/>
      <c r="AF214" s="468"/>
      <c r="AG214" s="468"/>
    </row>
    <row r="215" spans="1:41">
      <c r="A215" s="85">
        <v>45898</v>
      </c>
      <c r="B215">
        <v>13</v>
      </c>
      <c r="C215" t="s">
        <v>2048</v>
      </c>
      <c r="D215">
        <v>1098.5999999999999</v>
      </c>
      <c r="G215" s="175"/>
      <c r="H215">
        <v>16.937999999999999</v>
      </c>
      <c r="I215">
        <v>0.30665999999999999</v>
      </c>
      <c r="J215">
        <v>16.631339999999998</v>
      </c>
      <c r="K215">
        <v>146.10112508821902</v>
      </c>
      <c r="L215" s="391">
        <v>13.298846266905064</v>
      </c>
      <c r="M215">
        <v>138.60373194004995</v>
      </c>
      <c r="N215">
        <v>12.616396499185322</v>
      </c>
      <c r="O215">
        <v>128</v>
      </c>
      <c r="P215">
        <v>41.7</v>
      </c>
      <c r="Q215">
        <v>100</v>
      </c>
      <c r="R215">
        <v>3</v>
      </c>
      <c r="S215" t="s">
        <v>196</v>
      </c>
      <c r="T215" t="s">
        <v>196</v>
      </c>
      <c r="AA215" s="43"/>
      <c r="AC215" s="468"/>
      <c r="AD215" s="468"/>
      <c r="AE215" s="468"/>
      <c r="AF215" s="468"/>
      <c r="AG215" s="468"/>
    </row>
    <row r="216" spans="1:41">
      <c r="A216" s="85">
        <v>45898</v>
      </c>
      <c r="B216">
        <v>14</v>
      </c>
      <c r="C216" t="s">
        <v>2048</v>
      </c>
      <c r="D216">
        <v>2269.1999999999998</v>
      </c>
      <c r="G216" s="175"/>
      <c r="H216">
        <v>34.383499999999998</v>
      </c>
      <c r="I216">
        <v>0.30665999999999999</v>
      </c>
      <c r="J216">
        <v>34.076839999999997</v>
      </c>
      <c r="K216">
        <v>293.12952180955421</v>
      </c>
      <c r="L216" s="391">
        <v>12.917747303435318</v>
      </c>
      <c r="M216">
        <v>283.99258248126557</v>
      </c>
      <c r="N216">
        <v>12.515097059812515</v>
      </c>
      <c r="O216">
        <v>128</v>
      </c>
      <c r="P216">
        <v>41.7</v>
      </c>
      <c r="Q216">
        <v>100</v>
      </c>
      <c r="R216">
        <v>3</v>
      </c>
      <c r="S216" t="s">
        <v>196</v>
      </c>
      <c r="T216" t="s">
        <v>196</v>
      </c>
      <c r="AA216" s="43"/>
      <c r="AC216" s="468"/>
      <c r="AD216" s="468"/>
      <c r="AE216" s="468"/>
      <c r="AF216" s="468"/>
      <c r="AG216" s="468"/>
    </row>
    <row r="217" spans="1:41">
      <c r="A217" s="85">
        <v>45898</v>
      </c>
      <c r="B217">
        <v>15</v>
      </c>
      <c r="C217" t="s">
        <v>2049</v>
      </c>
      <c r="G217" s="175"/>
      <c r="H217">
        <v>0.3261</v>
      </c>
      <c r="I217">
        <v>0.30665999999999999</v>
      </c>
      <c r="J217">
        <v>1.9440000000000013E-2</v>
      </c>
      <c r="K217">
        <v>6.0982003514589236</v>
      </c>
      <c r="L217" s="391" t="e">
        <v>#DIV/0!</v>
      </c>
      <c r="M217">
        <v>0.16201079100749388</v>
      </c>
      <c r="N217" t="e">
        <v>#DIV/0!</v>
      </c>
      <c r="O217">
        <v>128</v>
      </c>
      <c r="P217">
        <v>41.7</v>
      </c>
      <c r="Q217">
        <v>100</v>
      </c>
      <c r="R217">
        <v>3</v>
      </c>
      <c r="S217" t="s">
        <v>196</v>
      </c>
      <c r="T217" t="s">
        <v>196</v>
      </c>
      <c r="AA217" s="43"/>
      <c r="AC217" s="468"/>
      <c r="AD217" s="468"/>
      <c r="AE217" s="468"/>
      <c r="AF217" s="468"/>
      <c r="AG217" s="468"/>
    </row>
    <row r="218" spans="1:41">
      <c r="A218" s="333">
        <v>45898</v>
      </c>
      <c r="B218" s="331">
        <v>16</v>
      </c>
      <c r="C218" s="331" t="s">
        <v>2138</v>
      </c>
      <c r="D218" s="331">
        <v>2672.8</v>
      </c>
      <c r="E218" s="331"/>
      <c r="F218" s="331"/>
      <c r="G218" s="331"/>
      <c r="H218" s="331">
        <v>212.5172</v>
      </c>
      <c r="I218" s="331">
        <v>0.30665999999999999</v>
      </c>
      <c r="J218" s="331">
        <v>212.21054000000001</v>
      </c>
      <c r="K218" s="331">
        <v>1794.417092417408</v>
      </c>
      <c r="L218" s="331">
        <v>67.136227642076022</v>
      </c>
      <c r="M218" s="331">
        <v>1768.5389632472939</v>
      </c>
      <c r="N218" s="331">
        <v>66.168024665043916</v>
      </c>
      <c r="O218">
        <v>128</v>
      </c>
      <c r="P218">
        <v>41.7</v>
      </c>
      <c r="Q218">
        <v>100</v>
      </c>
      <c r="R218">
        <v>3</v>
      </c>
      <c r="S218" t="s">
        <v>196</v>
      </c>
      <c r="T218" t="s">
        <v>196</v>
      </c>
      <c r="AA218" s="43"/>
      <c r="AC218" s="468"/>
      <c r="AD218" s="468"/>
      <c r="AE218" s="468"/>
      <c r="AF218" s="468"/>
      <c r="AG218" s="468"/>
    </row>
    <row r="219" spans="1:41">
      <c r="A219" s="285">
        <v>45898</v>
      </c>
      <c r="B219" s="284">
        <v>17</v>
      </c>
      <c r="C219" s="284" t="s">
        <v>2155</v>
      </c>
      <c r="D219" s="284">
        <v>3248</v>
      </c>
      <c r="E219" s="284"/>
      <c r="F219" s="284"/>
      <c r="G219" s="284"/>
      <c r="H219" s="284">
        <v>294.9982</v>
      </c>
      <c r="I219" s="284">
        <v>0.30665999999999999</v>
      </c>
      <c r="J219" s="284">
        <v>294.69153999999997</v>
      </c>
      <c r="K219" s="284">
        <v>2489.5561936167114</v>
      </c>
      <c r="L219" s="284">
        <v>76.648897586721404</v>
      </c>
      <c r="M219" s="284">
        <v>2455.9264145378847</v>
      </c>
      <c r="N219" s="284">
        <v>75.613497984540786</v>
      </c>
      <c r="O219">
        <v>128</v>
      </c>
      <c r="P219">
        <v>41.7</v>
      </c>
      <c r="Q219">
        <v>100</v>
      </c>
      <c r="R219">
        <v>3</v>
      </c>
      <c r="S219" t="s">
        <v>196</v>
      </c>
      <c r="T219" t="s">
        <v>196</v>
      </c>
      <c r="AA219" s="43"/>
      <c r="AC219" s="468"/>
      <c r="AD219" s="468"/>
      <c r="AE219" s="468"/>
      <c r="AF219" s="468"/>
      <c r="AG219" s="468"/>
    </row>
    <row r="220" spans="1:41">
      <c r="A220" s="201">
        <v>45898</v>
      </c>
      <c r="B220" s="200">
        <v>18</v>
      </c>
      <c r="C220" s="200" t="s">
        <v>2156</v>
      </c>
      <c r="D220" s="200">
        <v>2948.5</v>
      </c>
      <c r="E220" s="200"/>
      <c r="F220" s="200"/>
      <c r="G220" s="200"/>
      <c r="H220" s="200">
        <v>277.1943</v>
      </c>
      <c r="I220" s="200">
        <v>0.30665999999999999</v>
      </c>
      <c r="J220" s="200">
        <v>276.88763999999998</v>
      </c>
      <c r="K220" s="200">
        <v>2339.5072484797433</v>
      </c>
      <c r="L220" s="200">
        <v>79.345675715778981</v>
      </c>
      <c r="M220" s="200">
        <v>2307.5506983846794</v>
      </c>
      <c r="N220" s="200">
        <v>78.261851734260802</v>
      </c>
      <c r="O220">
        <v>128</v>
      </c>
      <c r="P220">
        <v>41.7</v>
      </c>
      <c r="Q220">
        <v>100</v>
      </c>
      <c r="R220">
        <v>3</v>
      </c>
      <c r="S220" t="s">
        <v>196</v>
      </c>
      <c r="T220" t="s">
        <v>196</v>
      </c>
      <c r="AA220" s="43"/>
      <c r="AC220" s="468"/>
      <c r="AD220" s="468"/>
      <c r="AE220" s="468"/>
      <c r="AF220" s="468"/>
      <c r="AG220" s="468"/>
    </row>
    <row r="221" spans="1:41">
      <c r="A221" s="205">
        <v>45898</v>
      </c>
      <c r="B221" s="204">
        <v>19</v>
      </c>
      <c r="C221" s="204" t="s">
        <v>2157</v>
      </c>
      <c r="D221" s="204">
        <v>2606.3000000000002</v>
      </c>
      <c r="E221" s="204"/>
      <c r="F221" s="204"/>
      <c r="G221" s="204"/>
      <c r="H221" s="204">
        <v>196.70240000000001</v>
      </c>
      <c r="I221" s="204">
        <v>0.30665999999999999</v>
      </c>
      <c r="J221" s="204">
        <v>196.39574000000002</v>
      </c>
      <c r="K221" s="204">
        <v>1661.132022429814</v>
      </c>
      <c r="L221" s="204">
        <v>63.73525773816575</v>
      </c>
      <c r="M221" s="204">
        <v>1636.7401845628644</v>
      </c>
      <c r="N221" s="204">
        <v>62.799377836890002</v>
      </c>
      <c r="O221">
        <v>128</v>
      </c>
      <c r="P221">
        <v>41.7</v>
      </c>
      <c r="Q221">
        <v>100</v>
      </c>
      <c r="R221">
        <v>3</v>
      </c>
      <c r="S221" t="s">
        <v>196</v>
      </c>
      <c r="T221" t="s">
        <v>196</v>
      </c>
      <c r="AA221" s="43"/>
      <c r="AC221" s="468"/>
      <c r="AD221" s="468"/>
      <c r="AE221" s="468"/>
      <c r="AF221" s="468"/>
      <c r="AG221" s="468"/>
    </row>
    <row r="222" spans="1:41">
      <c r="A222" s="438">
        <v>45898</v>
      </c>
      <c r="B222" s="439">
        <v>20</v>
      </c>
      <c r="C222" s="439" t="s">
        <v>2158</v>
      </c>
      <c r="D222" s="439">
        <v>3121.4</v>
      </c>
      <c r="E222" s="439"/>
      <c r="F222" s="439"/>
      <c r="G222" s="439"/>
      <c r="H222" s="439">
        <v>269.9341</v>
      </c>
      <c r="I222" s="439">
        <v>0.30665999999999999</v>
      </c>
      <c r="J222" s="439">
        <v>269.62743999999998</v>
      </c>
      <c r="K222" s="439">
        <v>2278.319230602569</v>
      </c>
      <c r="L222" s="439">
        <v>72.990300205118501</v>
      </c>
      <c r="M222" s="439">
        <v>2247.0450016319733</v>
      </c>
      <c r="N222" s="439">
        <v>71.988370655217949</v>
      </c>
      <c r="O222">
        <v>128</v>
      </c>
      <c r="P222">
        <v>41.7</v>
      </c>
      <c r="Q222">
        <v>100</v>
      </c>
      <c r="R222">
        <v>3</v>
      </c>
      <c r="S222" t="s">
        <v>196</v>
      </c>
      <c r="T222" t="s">
        <v>196</v>
      </c>
      <c r="AA222" s="43"/>
      <c r="AC222" s="468"/>
      <c r="AD222" s="468"/>
      <c r="AE222" s="468"/>
      <c r="AF222" s="468"/>
      <c r="AG222" s="468"/>
    </row>
    <row r="223" spans="1:41">
      <c r="A223" s="85">
        <v>45898</v>
      </c>
      <c r="B223">
        <v>21</v>
      </c>
      <c r="C223" t="s">
        <v>2050</v>
      </c>
      <c r="G223" s="175"/>
      <c r="H223">
        <v>0.4199</v>
      </c>
      <c r="I223">
        <v>0.30665999999999999</v>
      </c>
      <c r="J223">
        <v>0.11324000000000001</v>
      </c>
      <c r="K223">
        <v>6.888734507112888</v>
      </c>
      <c r="L223" s="391" t="e">
        <v>#DIV/0!</v>
      </c>
      <c r="M223">
        <v>0.94372952539550381</v>
      </c>
      <c r="N223" t="e">
        <v>#DIV/0!</v>
      </c>
      <c r="O223">
        <v>128</v>
      </c>
      <c r="P223">
        <v>41.7</v>
      </c>
      <c r="Q223">
        <v>100</v>
      </c>
      <c r="R223">
        <v>3</v>
      </c>
      <c r="S223" t="s">
        <v>196</v>
      </c>
      <c r="T223" t="s">
        <v>196</v>
      </c>
      <c r="AA223" s="43"/>
      <c r="AC223" s="468"/>
      <c r="AD223" s="468"/>
      <c r="AE223" s="468"/>
      <c r="AF223" s="468"/>
      <c r="AG223" s="468"/>
    </row>
    <row r="224" spans="1:41">
      <c r="A224" s="333">
        <v>45898</v>
      </c>
      <c r="B224" s="331">
        <v>22</v>
      </c>
      <c r="C224" s="331" t="s">
        <v>2143</v>
      </c>
      <c r="D224" s="331">
        <v>2785.6</v>
      </c>
      <c r="E224" s="331"/>
      <c r="F224" s="331"/>
      <c r="G224" s="331"/>
      <c r="H224" s="331">
        <v>226.54470000000001</v>
      </c>
      <c r="I224" s="331">
        <v>0.30665999999999999</v>
      </c>
      <c r="J224" s="331">
        <v>226.23804000000001</v>
      </c>
      <c r="K224" s="331">
        <v>1912.639031313314</v>
      </c>
      <c r="L224" s="331">
        <v>68.661653909869116</v>
      </c>
      <c r="M224" s="331">
        <v>1885.4425831473775</v>
      </c>
      <c r="N224" s="331">
        <v>67.685331100925396</v>
      </c>
      <c r="O224">
        <v>128</v>
      </c>
      <c r="P224">
        <v>41.7</v>
      </c>
      <c r="Q224">
        <v>100</v>
      </c>
      <c r="R224">
        <v>3</v>
      </c>
      <c r="S224" t="s">
        <v>196</v>
      </c>
      <c r="T224" t="s">
        <v>196</v>
      </c>
      <c r="AA224" s="43"/>
      <c r="AC224" s="468"/>
      <c r="AD224" s="468"/>
      <c r="AE224" s="468"/>
      <c r="AF224" s="468"/>
      <c r="AG224" s="468"/>
    </row>
    <row r="225" spans="1:33">
      <c r="A225" s="285">
        <v>45898</v>
      </c>
      <c r="B225" s="284">
        <v>23</v>
      </c>
      <c r="C225" s="284" t="s">
        <v>2159</v>
      </c>
      <c r="D225" s="284">
        <v>2504.5</v>
      </c>
      <c r="E225" s="284"/>
      <c r="F225" s="284"/>
      <c r="G225" s="284"/>
      <c r="H225" s="284">
        <v>223.5437</v>
      </c>
      <c r="I225" s="284">
        <v>0.30665999999999999</v>
      </c>
      <c r="J225" s="284">
        <v>223.23704000000001</v>
      </c>
      <c r="K225" s="284">
        <v>1887.3469950540652</v>
      </c>
      <c r="L225" s="284">
        <v>75.358234979200049</v>
      </c>
      <c r="M225" s="284">
        <v>1860.4325839800169</v>
      </c>
      <c r="N225" s="284">
        <v>74.283592891995085</v>
      </c>
      <c r="O225">
        <v>128</v>
      </c>
      <c r="P225">
        <v>41.7</v>
      </c>
      <c r="Q225">
        <v>100</v>
      </c>
      <c r="R225">
        <v>3</v>
      </c>
      <c r="S225" t="s">
        <v>196</v>
      </c>
      <c r="T225" t="s">
        <v>196</v>
      </c>
      <c r="AA225" s="43"/>
      <c r="AC225" s="468"/>
      <c r="AD225" s="468"/>
      <c r="AE225" s="468"/>
      <c r="AF225" s="468"/>
      <c r="AG225" s="468"/>
    </row>
    <row r="226" spans="1:33">
      <c r="A226" s="201">
        <v>45898</v>
      </c>
      <c r="B226" s="200">
        <v>24</v>
      </c>
      <c r="C226" s="200" t="s">
        <v>2160</v>
      </c>
      <c r="D226" s="200">
        <v>2784.8</v>
      </c>
      <c r="E226" s="200"/>
      <c r="F226" s="200"/>
      <c r="G226" s="200"/>
      <c r="H226" s="200">
        <v>267.2371</v>
      </c>
      <c r="I226" s="200">
        <v>0.30665999999999999</v>
      </c>
      <c r="J226" s="200">
        <v>266.93043999999998</v>
      </c>
      <c r="K226" s="200">
        <v>2255.5892666601517</v>
      </c>
      <c r="L226" s="200">
        <v>80.996454562631129</v>
      </c>
      <c r="M226" s="200">
        <v>2224.5685045462114</v>
      </c>
      <c r="N226" s="200">
        <v>79.882523145152661</v>
      </c>
      <c r="O226">
        <v>128</v>
      </c>
      <c r="P226">
        <v>41.7</v>
      </c>
      <c r="Q226">
        <v>100</v>
      </c>
      <c r="R226">
        <v>3</v>
      </c>
      <c r="S226" t="s">
        <v>196</v>
      </c>
      <c r="T226" t="s">
        <v>196</v>
      </c>
      <c r="AA226" s="43"/>
      <c r="AC226" s="468"/>
      <c r="AD226" s="468"/>
      <c r="AE226" s="468"/>
      <c r="AF226" s="468"/>
      <c r="AG226" s="468"/>
    </row>
    <row r="227" spans="1:33">
      <c r="A227" s="205">
        <v>45898</v>
      </c>
      <c r="B227" s="204">
        <v>25</v>
      </c>
      <c r="C227" s="204" t="s">
        <v>2161</v>
      </c>
      <c r="D227" s="204">
        <v>2799.7</v>
      </c>
      <c r="E227" s="204"/>
      <c r="F227" s="204"/>
      <c r="G227" s="204"/>
      <c r="H227" s="204">
        <v>213.82990000000001</v>
      </c>
      <c r="I227" s="204">
        <v>0.30665999999999999</v>
      </c>
      <c r="J227" s="204">
        <v>213.52324000000002</v>
      </c>
      <c r="K227" s="204">
        <v>1805.480356661832</v>
      </c>
      <c r="L227" s="204">
        <v>64.488350775505666</v>
      </c>
      <c r="M227" s="204">
        <v>1779.4788585845133</v>
      </c>
      <c r="N227" s="204">
        <v>63.559626337983126</v>
      </c>
      <c r="O227">
        <v>128</v>
      </c>
      <c r="P227">
        <v>41.7</v>
      </c>
      <c r="Q227">
        <v>100</v>
      </c>
      <c r="R227">
        <v>3</v>
      </c>
      <c r="S227" t="s">
        <v>196</v>
      </c>
      <c r="T227" t="s">
        <v>196</v>
      </c>
      <c r="AA227" s="43"/>
      <c r="AC227" s="468"/>
      <c r="AD227" s="468"/>
      <c r="AE227" s="468"/>
      <c r="AF227" s="468"/>
      <c r="AG227" s="468"/>
    </row>
    <row r="228" spans="1:33">
      <c r="A228" s="438">
        <v>45898</v>
      </c>
      <c r="B228" s="439">
        <v>26</v>
      </c>
      <c r="C228" s="439" t="s">
        <v>2162</v>
      </c>
      <c r="D228" s="439">
        <v>2012.4</v>
      </c>
      <c r="E228" s="439"/>
      <c r="F228" s="439"/>
      <c r="G228" s="439"/>
      <c r="H228" s="439">
        <v>174.11439999999999</v>
      </c>
      <c r="I228" s="439">
        <v>0.30665999999999999</v>
      </c>
      <c r="J228" s="439">
        <v>173.80774</v>
      </c>
      <c r="K228" s="439">
        <v>1470.7633069936544</v>
      </c>
      <c r="L228" s="439">
        <v>73.085038113379767</v>
      </c>
      <c r="M228" s="439">
        <v>1448.4943127893423</v>
      </c>
      <c r="N228" s="439">
        <v>71.978449254091743</v>
      </c>
      <c r="O228">
        <v>128</v>
      </c>
      <c r="P228">
        <v>41.7</v>
      </c>
      <c r="Q228">
        <v>100</v>
      </c>
      <c r="R228">
        <v>3</v>
      </c>
      <c r="S228" t="s">
        <v>196</v>
      </c>
      <c r="T228" t="s">
        <v>196</v>
      </c>
      <c r="AA228" s="43"/>
      <c r="AC228" s="468"/>
      <c r="AD228" s="468"/>
      <c r="AE228" s="468"/>
      <c r="AF228" s="468"/>
      <c r="AG228" s="468"/>
    </row>
    <row r="229" spans="1:33">
      <c r="A229" s="85">
        <v>45898</v>
      </c>
      <c r="B229">
        <v>27</v>
      </c>
      <c r="C229" t="s">
        <v>2051</v>
      </c>
      <c r="H229" s="175">
        <v>0.18029999999999999</v>
      </c>
      <c r="I229">
        <v>0.30665999999999999</v>
      </c>
      <c r="J229">
        <v>-0.12636</v>
      </c>
      <c r="K229">
        <v>4.8694169837153405</v>
      </c>
      <c r="L229" s="391" t="e">
        <v>#DIV/0!</v>
      </c>
      <c r="M229">
        <v>-1.0530701415487094</v>
      </c>
      <c r="N229" t="e">
        <v>#DIV/0!</v>
      </c>
      <c r="O229">
        <v>128</v>
      </c>
      <c r="P229">
        <v>41.7</v>
      </c>
      <c r="Q229">
        <v>100</v>
      </c>
      <c r="R229">
        <v>3</v>
      </c>
      <c r="S229" t="s">
        <v>196</v>
      </c>
      <c r="T229" t="s">
        <v>196</v>
      </c>
      <c r="AA229" s="43"/>
      <c r="AC229" s="468"/>
      <c r="AD229" s="468"/>
      <c r="AE229" s="468"/>
      <c r="AF229" s="468"/>
      <c r="AG229" s="468"/>
    </row>
    <row r="230" spans="1:33">
      <c r="A230" s="85">
        <v>45898</v>
      </c>
      <c r="B230">
        <v>28</v>
      </c>
      <c r="C230" t="s">
        <v>2052</v>
      </c>
      <c r="H230" s="175">
        <v>0.18609999999999999</v>
      </c>
      <c r="I230">
        <v>0.30665999999999999</v>
      </c>
      <c r="J230">
        <v>-0.12056</v>
      </c>
      <c r="K230">
        <v>4.918298626602259</v>
      </c>
      <c r="L230" s="391" t="e">
        <v>#DIV/0!</v>
      </c>
      <c r="M230">
        <v>-1.0047335886761033</v>
      </c>
      <c r="N230" t="e">
        <v>#DIV/0!</v>
      </c>
      <c r="O230">
        <v>128</v>
      </c>
      <c r="P230">
        <v>41.7</v>
      </c>
      <c r="Q230">
        <v>100</v>
      </c>
      <c r="R230">
        <v>3</v>
      </c>
      <c r="S230" t="s">
        <v>196</v>
      </c>
      <c r="T230" t="s">
        <v>196</v>
      </c>
      <c r="AA230" s="43"/>
      <c r="AC230" s="468"/>
      <c r="AD230" s="468"/>
      <c r="AE230" s="468"/>
      <c r="AF230" s="468"/>
      <c r="AG230" s="468"/>
    </row>
    <row r="231" spans="1:33">
      <c r="A231" s="85">
        <v>45898</v>
      </c>
      <c r="B231">
        <v>29</v>
      </c>
      <c r="C231" t="s">
        <v>2168</v>
      </c>
      <c r="D231">
        <v>1956.9</v>
      </c>
      <c r="G231">
        <v>1956.5086200000001</v>
      </c>
      <c r="H231" s="175">
        <v>234.3305</v>
      </c>
      <c r="I231">
        <v>0.30665999999999999</v>
      </c>
      <c r="J231">
        <v>234.02384000000001</v>
      </c>
      <c r="K231">
        <v>1978.2567373803786</v>
      </c>
      <c r="L231" s="391">
        <v>101.11157789738634</v>
      </c>
      <c r="M231">
        <v>1950.3285716569528</v>
      </c>
      <c r="N231">
        <v>99.664191918695522</v>
      </c>
      <c r="O231">
        <v>128</v>
      </c>
      <c r="P231">
        <v>41.7</v>
      </c>
      <c r="Q231">
        <v>100</v>
      </c>
      <c r="R231">
        <v>3</v>
      </c>
      <c r="S231" t="s">
        <v>196</v>
      </c>
      <c r="T231" t="s">
        <v>196</v>
      </c>
      <c r="AA231" s="43"/>
      <c r="AC231" s="468"/>
      <c r="AD231" s="468"/>
      <c r="AE231" s="468"/>
      <c r="AF231" s="468"/>
      <c r="AG231" s="468"/>
    </row>
    <row r="232" spans="1:33">
      <c r="A232" s="85">
        <v>45898</v>
      </c>
      <c r="B232">
        <v>30</v>
      </c>
      <c r="C232" t="s">
        <v>2053</v>
      </c>
      <c r="H232" s="175">
        <v>0.30199999999999999</v>
      </c>
      <c r="I232">
        <v>0.30665999999999999</v>
      </c>
      <c r="J232">
        <v>-4.6599999999999975E-3</v>
      </c>
      <c r="K232">
        <v>5.8950886973943115</v>
      </c>
      <c r="L232" s="391" t="e">
        <v>#DIV/0!</v>
      </c>
      <c r="M232">
        <v>-3.8835920066611136E-2</v>
      </c>
      <c r="N232" t="e">
        <v>#DIV/0!</v>
      </c>
      <c r="O232">
        <v>128</v>
      </c>
      <c r="P232">
        <v>41.7</v>
      </c>
      <c r="Q232">
        <v>100</v>
      </c>
      <c r="R232">
        <v>3</v>
      </c>
      <c r="S232" t="s">
        <v>196</v>
      </c>
      <c r="T232" t="s">
        <v>196</v>
      </c>
      <c r="AA232" s="43"/>
      <c r="AC232" s="468"/>
      <c r="AD232" s="468"/>
      <c r="AE232" s="468"/>
      <c r="AF232" s="468"/>
      <c r="AG232" s="468"/>
    </row>
    <row r="233" spans="1:33">
      <c r="AA233" s="43"/>
      <c r="AC233" s="468"/>
      <c r="AD233" s="468"/>
      <c r="AE233" s="468"/>
      <c r="AF233" s="468"/>
      <c r="AG233" s="468"/>
    </row>
    <row r="234" spans="1:33">
      <c r="A234" s="85" t="s">
        <v>2104</v>
      </c>
      <c r="AA234" s="43"/>
      <c r="AC234" s="468"/>
      <c r="AD234" s="468"/>
      <c r="AE234" s="468"/>
      <c r="AF234" s="468"/>
      <c r="AG234" s="468"/>
    </row>
    <row r="235" spans="1:33">
      <c r="A235" s="85" t="s">
        <v>2035</v>
      </c>
      <c r="AA235" s="43"/>
      <c r="AC235" s="468"/>
      <c r="AD235" s="468"/>
      <c r="AE235" s="468"/>
      <c r="AF235" s="468"/>
      <c r="AG235" s="468"/>
    </row>
    <row r="236" spans="1:33">
      <c r="A236" s="85" t="s">
        <v>2169</v>
      </c>
      <c r="X236" s="423"/>
      <c r="Y236" s="43"/>
      <c r="Z236" s="43"/>
      <c r="AA236" s="43"/>
      <c r="AC236" s="468"/>
      <c r="AD236" s="468"/>
      <c r="AE236" s="468"/>
      <c r="AF236" s="468"/>
      <c r="AG236" s="468"/>
    </row>
    <row r="237" spans="1:33">
      <c r="A237" s="85">
        <v>45903</v>
      </c>
      <c r="B237">
        <v>1</v>
      </c>
      <c r="C237" t="s">
        <v>2040</v>
      </c>
      <c r="H237" s="175">
        <v>0.23180000000000001</v>
      </c>
      <c r="X237" s="193"/>
      <c r="Y237" s="193"/>
      <c r="Z237" s="43"/>
      <c r="AA237" s="43"/>
      <c r="AC237" s="468"/>
      <c r="AD237" s="468"/>
      <c r="AE237" s="468"/>
      <c r="AF237" s="468"/>
      <c r="AG237" s="468"/>
    </row>
    <row r="238" spans="1:33">
      <c r="A238" s="85">
        <v>45903</v>
      </c>
      <c r="B238">
        <v>2</v>
      </c>
      <c r="C238" t="s">
        <v>2041</v>
      </c>
      <c r="H238" s="175">
        <v>0.27389999999999998</v>
      </c>
      <c r="X238" s="193"/>
      <c r="Y238" s="193"/>
      <c r="Z238" s="43"/>
      <c r="AA238" s="43"/>
      <c r="AC238" s="468"/>
      <c r="AD238" s="468"/>
      <c r="AE238" s="468"/>
      <c r="AF238" s="468"/>
      <c r="AG238" s="468"/>
    </row>
    <row r="239" spans="1:33">
      <c r="A239" s="85">
        <v>45903</v>
      </c>
      <c r="B239">
        <v>3</v>
      </c>
      <c r="C239" t="s">
        <v>2042</v>
      </c>
      <c r="G239">
        <v>0</v>
      </c>
      <c r="H239" s="175">
        <v>0.3145</v>
      </c>
      <c r="I239">
        <v>0.42893999999999999</v>
      </c>
      <c r="J239">
        <v>0.42893999999999999</v>
      </c>
      <c r="X239" s="423">
        <f>A240</f>
        <v>45903</v>
      </c>
      <c r="Y239" s="43"/>
      <c r="Z239" s="43"/>
      <c r="AA239" s="43"/>
      <c r="AC239" s="468"/>
      <c r="AD239" s="468"/>
      <c r="AE239" s="468"/>
      <c r="AF239" s="468"/>
      <c r="AG239" s="468"/>
    </row>
    <row r="240" spans="1:33">
      <c r="A240" s="85">
        <v>45903</v>
      </c>
      <c r="B240">
        <v>4</v>
      </c>
      <c r="C240" t="s">
        <v>2180</v>
      </c>
      <c r="D240">
        <v>305.10000000000002</v>
      </c>
      <c r="G240">
        <v>305.03898000000004</v>
      </c>
      <c r="H240" s="175">
        <v>35.075299999999999</v>
      </c>
      <c r="I240">
        <v>0.42893999999999999</v>
      </c>
      <c r="J240">
        <v>34.646360000000001</v>
      </c>
      <c r="K240">
        <v>300.53790934022817</v>
      </c>
      <c r="L240" s="391">
        <v>98.524427710920136</v>
      </c>
      <c r="M240">
        <v>288.73889861781851</v>
      </c>
      <c r="N240">
        <v>94.65639395260844</v>
      </c>
      <c r="O240">
        <v>128</v>
      </c>
      <c r="P240">
        <v>41.7</v>
      </c>
      <c r="Q240">
        <v>100</v>
      </c>
      <c r="R240">
        <v>3</v>
      </c>
      <c r="S240" t="s">
        <v>196</v>
      </c>
      <c r="T240" t="s">
        <v>196</v>
      </c>
      <c r="U240" s="28" t="s">
        <v>2220</v>
      </c>
      <c r="X240" s="193">
        <f>((J239-INDEX(LINEST($H$239:$H$244,$G$239:$G$244),2))/INDEX(LINEST($H$239:$H$244,$G$239:$G$244),1)/100.09)*12.01</f>
        <v>1.2831752509589793</v>
      </c>
      <c r="Y240" s="193">
        <f>(J239-X240)^2</f>
        <v>0.7297178639809504</v>
      </c>
      <c r="Z240" s="43"/>
      <c r="AA240" s="43"/>
      <c r="AC240" s="468"/>
      <c r="AD240" s="468"/>
      <c r="AE240" s="468"/>
      <c r="AF240" s="468"/>
      <c r="AG240" s="468"/>
    </row>
    <row r="241" spans="1:33">
      <c r="A241" s="85">
        <v>45903</v>
      </c>
      <c r="B241">
        <v>5</v>
      </c>
      <c r="C241" t="s">
        <v>2181</v>
      </c>
      <c r="D241">
        <v>1064.7</v>
      </c>
      <c r="G241">
        <v>1064.4870600000002</v>
      </c>
      <c r="H241" s="175">
        <v>125.5829</v>
      </c>
      <c r="I241">
        <v>0.42893999999999999</v>
      </c>
      <c r="J241">
        <v>125.15396</v>
      </c>
      <c r="K241">
        <v>1062.8353986683373</v>
      </c>
      <c r="L241" s="391">
        <v>99.844839698505794</v>
      </c>
      <c r="M241">
        <v>1043.0191387510408</v>
      </c>
      <c r="N241">
        <v>97.98326141710362</v>
      </c>
      <c r="O241">
        <v>128</v>
      </c>
      <c r="P241">
        <v>41.7</v>
      </c>
      <c r="Q241">
        <v>100</v>
      </c>
      <c r="R241">
        <v>3</v>
      </c>
      <c r="S241" t="s">
        <v>196</v>
      </c>
      <c r="T241" t="s">
        <v>196</v>
      </c>
      <c r="X241" s="193">
        <f t="shared" ref="X241:X245" si="14">((J240-INDEX(LINEST($H$239:$H$244,$G$239:$G$244),2))/INDEX(LINEST($H$239:$H$244,$G$239:$G$244),1)/100.09)*12.01</f>
        <v>35.838381800014048</v>
      </c>
      <c r="Y241" s="193">
        <f t="shared" ref="Y241:Y245" si="15">(J240-X241)^2</f>
        <v>1.4209159717087276</v>
      </c>
      <c r="Z241" s="43"/>
      <c r="AA241" s="43"/>
      <c r="AC241" s="468"/>
      <c r="AD241" s="468"/>
      <c r="AE241" s="468"/>
      <c r="AF241" s="468"/>
      <c r="AG241" s="468"/>
    </row>
    <row r="242" spans="1:33">
      <c r="A242" s="85">
        <v>45903</v>
      </c>
      <c r="B242">
        <v>6</v>
      </c>
      <c r="C242" t="s">
        <v>2182</v>
      </c>
      <c r="D242">
        <v>1943.8</v>
      </c>
      <c r="G242">
        <v>1943.4112399999999</v>
      </c>
      <c r="H242" s="175">
        <v>228.2287</v>
      </c>
      <c r="I242">
        <v>0.42893999999999999</v>
      </c>
      <c r="J242">
        <v>227.79975999999999</v>
      </c>
      <c r="K242">
        <v>1927.3665057806154</v>
      </c>
      <c r="L242" s="391">
        <v>99.174403549328844</v>
      </c>
      <c r="M242">
        <v>1898.457783380516</v>
      </c>
      <c r="N242">
        <v>97.686878839936938</v>
      </c>
      <c r="O242">
        <v>128</v>
      </c>
      <c r="P242">
        <v>41.7</v>
      </c>
      <c r="Q242">
        <v>100</v>
      </c>
      <c r="R242">
        <v>3</v>
      </c>
      <c r="S242" t="s">
        <v>196</v>
      </c>
      <c r="T242" t="s">
        <v>196</v>
      </c>
      <c r="X242" s="193">
        <f t="shared" si="14"/>
        <v>127.23945213960295</v>
      </c>
      <c r="Y242" s="193">
        <f t="shared" si="15"/>
        <v>4.3492774643456826</v>
      </c>
      <c r="Z242" s="43"/>
      <c r="AA242" s="43"/>
      <c r="AC242" s="468"/>
      <c r="AD242" s="468"/>
      <c r="AE242" s="468"/>
      <c r="AF242" s="468"/>
      <c r="AG242" s="468"/>
    </row>
    <row r="243" spans="1:33">
      <c r="A243" s="85">
        <v>45903</v>
      </c>
      <c r="B243">
        <v>7</v>
      </c>
      <c r="C243" t="s">
        <v>2183</v>
      </c>
      <c r="D243">
        <v>2863.6</v>
      </c>
      <c r="G243">
        <v>2863.0272799999998</v>
      </c>
      <c r="H243" s="175">
        <v>339.35109999999997</v>
      </c>
      <c r="I243">
        <v>0.42893999999999999</v>
      </c>
      <c r="J243">
        <v>338.92215999999996</v>
      </c>
      <c r="K243">
        <v>2863.2915168085715</v>
      </c>
      <c r="L243" s="391">
        <v>100.00922928015453</v>
      </c>
      <c r="M243">
        <v>2824.5394666444627</v>
      </c>
      <c r="N243">
        <v>98.655695192833193</v>
      </c>
      <c r="O243">
        <v>128</v>
      </c>
      <c r="P243">
        <v>41.7</v>
      </c>
      <c r="Q243">
        <v>100</v>
      </c>
      <c r="R243">
        <v>3</v>
      </c>
      <c r="S243" t="s">
        <v>196</v>
      </c>
      <c r="T243" t="s">
        <v>196</v>
      </c>
      <c r="X243" s="193">
        <f t="shared" si="14"/>
        <v>230.89854801512467</v>
      </c>
      <c r="Y243" s="193">
        <f t="shared" si="15"/>
        <v>9.6024871626803705</v>
      </c>
      <c r="Z243" s="43"/>
      <c r="AA243" s="43"/>
      <c r="AC243" s="468"/>
      <c r="AD243" s="468"/>
      <c r="AE243" s="468"/>
      <c r="AF243" s="468"/>
      <c r="AG243" s="468"/>
    </row>
    <row r="244" spans="1:33" ht="15.75">
      <c r="A244" s="85">
        <v>45903</v>
      </c>
      <c r="B244">
        <v>8</v>
      </c>
      <c r="C244" t="s">
        <v>2184</v>
      </c>
      <c r="D244">
        <v>3499.6</v>
      </c>
      <c r="G244">
        <v>3498.9000799999999</v>
      </c>
      <c r="H244" s="175">
        <v>415.9556</v>
      </c>
      <c r="I244">
        <v>0.42893999999999999</v>
      </c>
      <c r="J244">
        <v>415.52665999999999</v>
      </c>
      <c r="K244">
        <v>3508.4905721501686</v>
      </c>
      <c r="L244" s="391">
        <v>100.2741002009457</v>
      </c>
      <c r="M244">
        <v>3462.9528225978352</v>
      </c>
      <c r="N244">
        <v>98.972612633105982</v>
      </c>
      <c r="O244">
        <v>128</v>
      </c>
      <c r="P244">
        <v>41.7</v>
      </c>
      <c r="Q244">
        <v>100</v>
      </c>
      <c r="R244">
        <v>3</v>
      </c>
      <c r="S244" t="s">
        <v>196</v>
      </c>
      <c r="T244" t="s">
        <v>196</v>
      </c>
      <c r="X244" s="193">
        <f t="shared" si="14"/>
        <v>343.11792294832293</v>
      </c>
      <c r="Y244" s="193">
        <f t="shared" si="15"/>
        <v>17.604426718519822</v>
      </c>
      <c r="Z244" s="43"/>
      <c r="AA244" s="51" t="s">
        <v>2039</v>
      </c>
      <c r="AC244" s="468"/>
      <c r="AD244" s="468"/>
      <c r="AE244" s="468"/>
      <c r="AF244" s="468"/>
      <c r="AG244" s="468"/>
    </row>
    <row r="245" spans="1:33" ht="15.75">
      <c r="A245" s="85">
        <v>45903</v>
      </c>
      <c r="B245">
        <v>9</v>
      </c>
      <c r="C245" t="s">
        <v>2045</v>
      </c>
      <c r="H245" s="175">
        <v>0.55710000000000004</v>
      </c>
      <c r="I245">
        <v>0.42893999999999999</v>
      </c>
      <c r="J245">
        <v>0.12816000000000005</v>
      </c>
      <c r="K245">
        <v>9.8094269130558711</v>
      </c>
      <c r="L245" s="391" t="e">
        <v>#DIV/0!</v>
      </c>
      <c r="M245">
        <v>1.0680711407160706</v>
      </c>
      <c r="N245" t="e">
        <v>#DIV/0!</v>
      </c>
      <c r="O245">
        <v>128</v>
      </c>
      <c r="P245">
        <v>41.7</v>
      </c>
      <c r="Q245">
        <v>100</v>
      </c>
      <c r="R245">
        <v>3</v>
      </c>
      <c r="S245" t="s">
        <v>196</v>
      </c>
      <c r="T245" t="s">
        <v>196</v>
      </c>
      <c r="X245" s="193">
        <f t="shared" si="14"/>
        <v>420.47864506258776</v>
      </c>
      <c r="Y245" s="193">
        <f t="shared" si="15"/>
        <v>24.522156060092367</v>
      </c>
      <c r="Z245" s="43"/>
      <c r="AA245" s="425">
        <f>(Y246/$AL$15)*100</f>
        <v>5.4615581167202354</v>
      </c>
      <c r="AC245" s="468"/>
      <c r="AD245" s="468"/>
      <c r="AE245" s="468"/>
      <c r="AF245" s="468"/>
      <c r="AG245" s="468"/>
    </row>
    <row r="246" spans="1:33" ht="15.75">
      <c r="A246" s="85">
        <v>45903</v>
      </c>
      <c r="B246">
        <v>10</v>
      </c>
      <c r="C246" t="s">
        <v>2047</v>
      </c>
      <c r="H246" s="175">
        <v>0.45590000000000003</v>
      </c>
      <c r="I246">
        <v>0.42893999999999999</v>
      </c>
      <c r="J246">
        <v>2.6960000000000039E-2</v>
      </c>
      <c r="K246">
        <v>8.9570730121679372</v>
      </c>
      <c r="L246" s="391" t="e">
        <v>#DIV/0!</v>
      </c>
      <c r="M246">
        <v>0.22468163197335589</v>
      </c>
      <c r="N246" t="e">
        <v>#DIV/0!</v>
      </c>
      <c r="O246">
        <v>128</v>
      </c>
      <c r="P246">
        <v>41.7</v>
      </c>
      <c r="Q246">
        <v>100</v>
      </c>
      <c r="R246">
        <v>3</v>
      </c>
      <c r="S246" t="s">
        <v>196</v>
      </c>
      <c r="T246" t="s">
        <v>196</v>
      </c>
      <c r="X246" s="43"/>
      <c r="Y246" s="425">
        <f>SQRT(SUM(Y240:Y245)/(6-2))</f>
        <v>3.8153958261669239</v>
      </c>
      <c r="Z246" s="51" t="s">
        <v>2044</v>
      </c>
      <c r="AA246" s="43"/>
      <c r="AC246" s="468"/>
      <c r="AD246" s="468"/>
      <c r="AE246" s="468"/>
      <c r="AF246" s="468"/>
      <c r="AG246" s="468"/>
    </row>
    <row r="247" spans="1:33" ht="15.75">
      <c r="A247" s="85">
        <v>45903</v>
      </c>
      <c r="B247">
        <v>11</v>
      </c>
      <c r="C247" t="s">
        <v>2055</v>
      </c>
      <c r="D247">
        <v>915.9</v>
      </c>
      <c r="H247" s="175">
        <v>91.311199999999999</v>
      </c>
      <c r="I247">
        <v>0.42893999999999999</v>
      </c>
      <c r="J247">
        <v>90.882260000000002</v>
      </c>
      <c r="K247">
        <v>774.1830549424385</v>
      </c>
      <c r="L247" s="391">
        <v>84.527028599458305</v>
      </c>
      <c r="M247">
        <v>757.40261477102422</v>
      </c>
      <c r="N247">
        <v>82.694902802819556</v>
      </c>
      <c r="O247">
        <v>128</v>
      </c>
      <c r="P247">
        <v>41.7</v>
      </c>
      <c r="Q247">
        <v>100</v>
      </c>
      <c r="R247">
        <v>3</v>
      </c>
      <c r="S247" t="s">
        <v>196</v>
      </c>
      <c r="T247" t="s">
        <v>196</v>
      </c>
      <c r="X247" s="43"/>
      <c r="Y247" s="425">
        <f>(Y246/12.01)*100.09</f>
        <v>31.797083117489379</v>
      </c>
      <c r="Z247" s="51" t="s">
        <v>2046</v>
      </c>
      <c r="AA247" s="43"/>
      <c r="AC247" s="468"/>
      <c r="AD247" s="468"/>
      <c r="AE247" s="468"/>
      <c r="AF247" s="468"/>
      <c r="AG247" s="468"/>
    </row>
    <row r="248" spans="1:33">
      <c r="A248" s="85">
        <v>45903</v>
      </c>
      <c r="B248">
        <v>12</v>
      </c>
      <c r="C248" t="s">
        <v>2055</v>
      </c>
      <c r="D248">
        <v>2179</v>
      </c>
      <c r="H248" s="175">
        <v>216.45150000000001</v>
      </c>
      <c r="I248">
        <v>0.42893999999999999</v>
      </c>
      <c r="J248">
        <v>216.02256</v>
      </c>
      <c r="K248">
        <v>1828.1733994413134</v>
      </c>
      <c r="L248" s="391">
        <v>83.899651190514618</v>
      </c>
      <c r="M248">
        <v>1800.3079126061614</v>
      </c>
      <c r="N248">
        <v>82.620831234793997</v>
      </c>
      <c r="O248">
        <v>128</v>
      </c>
      <c r="P248">
        <v>41.7</v>
      </c>
      <c r="Q248">
        <v>100</v>
      </c>
      <c r="R248">
        <v>3</v>
      </c>
      <c r="S248" t="s">
        <v>196</v>
      </c>
      <c r="T248" t="s">
        <v>196</v>
      </c>
      <c r="AA248" s="43"/>
      <c r="AC248" s="468"/>
      <c r="AD248" s="468"/>
      <c r="AE248" s="468"/>
      <c r="AF248" s="468"/>
      <c r="AG248" s="468"/>
    </row>
    <row r="249" spans="1:33">
      <c r="A249" s="85">
        <v>45903</v>
      </c>
      <c r="B249">
        <v>13</v>
      </c>
      <c r="C249" t="s">
        <v>2048</v>
      </c>
      <c r="D249">
        <v>1201.8</v>
      </c>
      <c r="H249" s="175">
        <v>18.392399999999999</v>
      </c>
      <c r="I249">
        <v>0.42893999999999999</v>
      </c>
      <c r="J249">
        <v>17.963459999999998</v>
      </c>
      <c r="K249">
        <v>160.02669498130234</v>
      </c>
      <c r="L249" s="391">
        <v>13.315584538301078</v>
      </c>
      <c r="M249">
        <v>149.70547139050788</v>
      </c>
      <c r="N249">
        <v>12.456770793019462</v>
      </c>
      <c r="O249">
        <v>128</v>
      </c>
      <c r="P249">
        <v>41.7</v>
      </c>
      <c r="Q249">
        <v>100</v>
      </c>
      <c r="R249">
        <v>3</v>
      </c>
      <c r="S249" t="s">
        <v>196</v>
      </c>
      <c r="T249" t="s">
        <v>196</v>
      </c>
      <c r="AA249" s="43"/>
      <c r="AC249" s="468"/>
      <c r="AD249" s="468"/>
      <c r="AE249" s="468"/>
      <c r="AF249" s="468"/>
      <c r="AG249" s="468"/>
    </row>
    <row r="250" spans="1:33">
      <c r="A250" s="85">
        <v>45903</v>
      </c>
      <c r="B250">
        <v>14</v>
      </c>
      <c r="C250" t="s">
        <v>2048</v>
      </c>
      <c r="D250">
        <v>1957.7</v>
      </c>
      <c r="H250" s="175">
        <v>29.515499999999999</v>
      </c>
      <c r="I250">
        <v>0.42893999999999999</v>
      </c>
      <c r="J250">
        <v>29.086559999999999</v>
      </c>
      <c r="K250">
        <v>253.71066410152528</v>
      </c>
      <c r="L250" s="391">
        <v>12.959629366170775</v>
      </c>
      <c r="M250">
        <v>242.40414574521233</v>
      </c>
      <c r="N250">
        <v>12.3820884581505</v>
      </c>
      <c r="O250">
        <v>128</v>
      </c>
      <c r="P250">
        <v>41.7</v>
      </c>
      <c r="Q250">
        <v>100</v>
      </c>
      <c r="R250">
        <v>3</v>
      </c>
      <c r="S250" t="s">
        <v>196</v>
      </c>
      <c r="T250" t="s">
        <v>196</v>
      </c>
      <c r="AA250" s="43"/>
      <c r="AC250" s="468"/>
      <c r="AD250" s="468"/>
      <c r="AE250" s="468"/>
      <c r="AF250" s="468"/>
      <c r="AG250" s="468"/>
    </row>
    <row r="251" spans="1:33">
      <c r="A251" s="85">
        <v>45903</v>
      </c>
      <c r="B251">
        <v>15</v>
      </c>
      <c r="C251" t="s">
        <v>2049</v>
      </c>
      <c r="H251" s="175">
        <v>0.24399999999999999</v>
      </c>
      <c r="I251">
        <v>0.42893999999999999</v>
      </c>
      <c r="J251">
        <v>-0.18493999999999999</v>
      </c>
      <c r="K251">
        <v>7.1723517513166239</v>
      </c>
      <c r="L251" s="391" t="e">
        <v>#DIV/0!</v>
      </c>
      <c r="M251">
        <v>-1.5412693255620316</v>
      </c>
      <c r="N251" t="e">
        <v>#DIV/0!</v>
      </c>
      <c r="O251">
        <v>128</v>
      </c>
      <c r="P251">
        <v>41.7</v>
      </c>
      <c r="Q251">
        <v>100</v>
      </c>
      <c r="R251">
        <v>3</v>
      </c>
      <c r="S251" t="s">
        <v>196</v>
      </c>
      <c r="T251" t="s">
        <v>196</v>
      </c>
      <c r="AA251" s="43"/>
      <c r="AC251" s="468"/>
      <c r="AD251" s="468"/>
      <c r="AE251" s="468"/>
      <c r="AF251" s="468"/>
      <c r="AG251" s="468"/>
    </row>
    <row r="252" spans="1:33">
      <c r="A252" s="438">
        <v>45903</v>
      </c>
      <c r="B252" s="439">
        <v>16</v>
      </c>
      <c r="C252" s="439" t="s">
        <v>2170</v>
      </c>
      <c r="D252" s="439">
        <v>2826.6</v>
      </c>
      <c r="E252" s="439"/>
      <c r="F252" s="439"/>
      <c r="G252" s="439"/>
      <c r="H252" s="439">
        <v>241.45609999999999</v>
      </c>
      <c r="I252" s="439">
        <v>0.42893999999999999</v>
      </c>
      <c r="J252" s="439">
        <v>241.02715999999998</v>
      </c>
      <c r="K252" s="439">
        <v>2038.7738772095188</v>
      </c>
      <c r="L252" s="439">
        <v>72.128135470512944</v>
      </c>
      <c r="M252" s="439">
        <v>2008.6934591507077</v>
      </c>
      <c r="N252" s="439">
        <v>71.063944638459901</v>
      </c>
      <c r="O252">
        <v>128</v>
      </c>
      <c r="P252">
        <v>41.7</v>
      </c>
      <c r="Q252">
        <v>100</v>
      </c>
      <c r="R252">
        <v>3</v>
      </c>
      <c r="S252" t="s">
        <v>196</v>
      </c>
      <c r="T252" t="s">
        <v>196</v>
      </c>
      <c r="AA252" s="43"/>
      <c r="AC252" s="468"/>
      <c r="AD252" s="468"/>
      <c r="AE252" s="468"/>
      <c r="AF252" s="468"/>
      <c r="AG252" s="468"/>
    </row>
    <row r="253" spans="1:33">
      <c r="A253" s="205">
        <v>45903</v>
      </c>
      <c r="B253" s="204">
        <v>17</v>
      </c>
      <c r="C253" s="204" t="s">
        <v>2171</v>
      </c>
      <c r="D253" s="204">
        <v>2586.9</v>
      </c>
      <c r="E253" s="204"/>
      <c r="F253" s="204"/>
      <c r="G253" s="204"/>
      <c r="H253" s="204">
        <v>236.4579</v>
      </c>
      <c r="I253" s="204">
        <v>0.42893999999999999</v>
      </c>
      <c r="J253" s="204">
        <v>236.02895999999998</v>
      </c>
      <c r="K253" s="204">
        <v>1996.6766907725814</v>
      </c>
      <c r="L253" s="204">
        <v>77.184146691893048</v>
      </c>
      <c r="M253" s="204">
        <v>1967.0390180183181</v>
      </c>
      <c r="N253" s="204">
        <v>76.038463721764202</v>
      </c>
      <c r="O253">
        <v>128</v>
      </c>
      <c r="P253">
        <v>41.7</v>
      </c>
      <c r="Q253">
        <v>100</v>
      </c>
      <c r="R253">
        <v>3</v>
      </c>
      <c r="S253" t="s">
        <v>196</v>
      </c>
      <c r="T253" t="s">
        <v>196</v>
      </c>
      <c r="AA253" s="43"/>
      <c r="AC253" s="468"/>
      <c r="AD253" s="468"/>
      <c r="AE253" s="468"/>
      <c r="AF253" s="468"/>
      <c r="AG253" s="468"/>
    </row>
    <row r="254" spans="1:33">
      <c r="A254" s="201">
        <v>45903</v>
      </c>
      <c r="B254" s="200">
        <v>18</v>
      </c>
      <c r="C254" s="200" t="s">
        <v>2172</v>
      </c>
      <c r="D254" s="200">
        <v>2704.1</v>
      </c>
      <c r="E254" s="200"/>
      <c r="F254" s="200"/>
      <c r="G254" s="200"/>
      <c r="H254" s="200">
        <v>232.6747</v>
      </c>
      <c r="I254" s="200">
        <v>0.42893999999999999</v>
      </c>
      <c r="J254" s="200">
        <v>232.24575999999999</v>
      </c>
      <c r="K254" s="200">
        <v>1964.8128046279251</v>
      </c>
      <c r="L254" s="200">
        <v>72.660508288448099</v>
      </c>
      <c r="M254" s="200">
        <v>1935.5102513238967</v>
      </c>
      <c r="N254" s="200">
        <v>71.576874055097704</v>
      </c>
      <c r="O254">
        <v>128</v>
      </c>
      <c r="P254">
        <v>41.7</v>
      </c>
      <c r="Q254">
        <v>100</v>
      </c>
      <c r="R254">
        <v>3</v>
      </c>
      <c r="S254" t="s">
        <v>196</v>
      </c>
      <c r="T254" t="s">
        <v>196</v>
      </c>
      <c r="AA254" s="43"/>
      <c r="AC254" s="468"/>
      <c r="AD254" s="468"/>
      <c r="AE254" s="468"/>
      <c r="AF254" s="468"/>
      <c r="AG254" s="468"/>
    </row>
    <row r="255" spans="1:33">
      <c r="A255" s="333">
        <v>45903</v>
      </c>
      <c r="B255" s="331">
        <v>19</v>
      </c>
      <c r="C255" s="331" t="s">
        <v>2173</v>
      </c>
      <c r="D255" s="331">
        <v>2925.2</v>
      </c>
      <c r="E255" s="331"/>
      <c r="F255" s="331"/>
      <c r="G255" s="331"/>
      <c r="H255" s="331">
        <v>259.41289999999998</v>
      </c>
      <c r="I255" s="331">
        <v>0.42893999999999999</v>
      </c>
      <c r="J255" s="331">
        <v>258.98395999999997</v>
      </c>
      <c r="K255" s="331">
        <v>2190.0144753069935</v>
      </c>
      <c r="L255" s="331">
        <v>74.867170631307047</v>
      </c>
      <c r="M255" s="331">
        <v>2158.3434268442961</v>
      </c>
      <c r="N255" s="331">
        <v>73.784473774247786</v>
      </c>
      <c r="O255">
        <v>128</v>
      </c>
      <c r="P255">
        <v>41.7</v>
      </c>
      <c r="Q255">
        <v>100</v>
      </c>
      <c r="R255">
        <v>3</v>
      </c>
      <c r="S255" t="s">
        <v>196</v>
      </c>
      <c r="T255" t="s">
        <v>196</v>
      </c>
      <c r="AA255" s="43"/>
      <c r="AC255" s="468"/>
      <c r="AD255" s="468"/>
      <c r="AE255" s="468"/>
      <c r="AF255" s="468"/>
      <c r="AG255" s="468"/>
    </row>
    <row r="256" spans="1:33">
      <c r="A256" s="285">
        <v>45903</v>
      </c>
      <c r="B256" s="284">
        <v>20</v>
      </c>
      <c r="C256" s="284" t="s">
        <v>2174</v>
      </c>
      <c r="D256" s="284">
        <v>2516.1</v>
      </c>
      <c r="E256" s="284"/>
      <c r="F256" s="284"/>
      <c r="G256" s="284"/>
      <c r="H256" s="284">
        <v>208.4692</v>
      </c>
      <c r="I256" s="284">
        <v>0.42893999999999999</v>
      </c>
      <c r="J256" s="284">
        <v>208.04025999999999</v>
      </c>
      <c r="K256" s="284">
        <v>1760.9427221383712</v>
      </c>
      <c r="L256" s="284">
        <v>69.986992652850489</v>
      </c>
      <c r="M256" s="284">
        <v>1733.7843150208159</v>
      </c>
      <c r="N256" s="284">
        <v>68.907607607838159</v>
      </c>
      <c r="O256">
        <v>128</v>
      </c>
      <c r="P256">
        <v>41.7</v>
      </c>
      <c r="Q256">
        <v>100</v>
      </c>
      <c r="R256">
        <v>3</v>
      </c>
      <c r="S256" t="s">
        <v>196</v>
      </c>
      <c r="T256" t="s">
        <v>196</v>
      </c>
      <c r="AA256" s="43"/>
      <c r="AC256" s="468"/>
      <c r="AD256" s="468"/>
      <c r="AE256" s="468"/>
      <c r="AF256" s="468"/>
      <c r="AG256" s="468"/>
    </row>
    <row r="257" spans="1:33">
      <c r="A257" s="85">
        <v>45903</v>
      </c>
      <c r="B257">
        <v>21</v>
      </c>
      <c r="C257" t="s">
        <v>2050</v>
      </c>
      <c r="H257" s="175">
        <v>0.73540000000000005</v>
      </c>
      <c r="I257">
        <v>0.42893999999999999</v>
      </c>
      <c r="J257">
        <v>0.30646000000000007</v>
      </c>
      <c r="K257">
        <v>11.311153202861387</v>
      </c>
      <c r="L257" s="391" t="e">
        <v>#DIV/0!</v>
      </c>
      <c r="M257">
        <v>2.5540034471273945</v>
      </c>
      <c r="N257" t="e">
        <v>#DIV/0!</v>
      </c>
      <c r="O257">
        <v>128</v>
      </c>
      <c r="P257">
        <v>41.7</v>
      </c>
      <c r="Q257">
        <v>100</v>
      </c>
      <c r="R257">
        <v>3</v>
      </c>
      <c r="S257" t="s">
        <v>196</v>
      </c>
      <c r="T257" t="s">
        <v>196</v>
      </c>
      <c r="AA257" s="43"/>
      <c r="AC257" s="468"/>
      <c r="AD257" s="468"/>
      <c r="AE257" s="468"/>
      <c r="AF257" s="468"/>
      <c r="AG257" s="468"/>
    </row>
    <row r="258" spans="1:33">
      <c r="A258" s="438">
        <v>45903</v>
      </c>
      <c r="B258" s="439">
        <v>22</v>
      </c>
      <c r="C258" s="439" t="s">
        <v>2175</v>
      </c>
      <c r="D258" s="439">
        <v>2894.4</v>
      </c>
      <c r="E258" s="439"/>
      <c r="F258" s="439"/>
      <c r="G258" s="439"/>
      <c r="H258" s="439">
        <v>249.43770000000001</v>
      </c>
      <c r="I258" s="439">
        <v>0.42893999999999999</v>
      </c>
      <c r="J258" s="439">
        <v>249.00876</v>
      </c>
      <c r="K258" s="439">
        <v>2105.9986587838976</v>
      </c>
      <c r="L258" s="439">
        <v>72.761147691538753</v>
      </c>
      <c r="M258" s="439">
        <v>2075.2112230141552</v>
      </c>
      <c r="N258" s="439">
        <v>71.697457953778155</v>
      </c>
      <c r="O258">
        <v>128</v>
      </c>
      <c r="P258">
        <v>41.7</v>
      </c>
      <c r="Q258">
        <v>100</v>
      </c>
      <c r="R258">
        <v>3</v>
      </c>
      <c r="S258" t="s">
        <v>196</v>
      </c>
      <c r="T258" t="s">
        <v>196</v>
      </c>
      <c r="AA258" s="43"/>
      <c r="AC258" s="468"/>
      <c r="AD258" s="468"/>
      <c r="AE258" s="468"/>
      <c r="AF258" s="468"/>
      <c r="AG258" s="468"/>
    </row>
    <row r="259" spans="1:33">
      <c r="A259" s="205">
        <v>45903</v>
      </c>
      <c r="B259" s="204">
        <v>23</v>
      </c>
      <c r="C259" s="204" t="s">
        <v>2176</v>
      </c>
      <c r="D259" s="204">
        <v>2456.6</v>
      </c>
      <c r="E259" s="204"/>
      <c r="F259" s="204"/>
      <c r="G259" s="204"/>
      <c r="H259" s="204">
        <v>224.17850000000001</v>
      </c>
      <c r="I259" s="204">
        <v>0.42893999999999999</v>
      </c>
      <c r="J259" s="204">
        <v>223.74956</v>
      </c>
      <c r="K259" s="204">
        <v>1893.2538203124702</v>
      </c>
      <c r="L259" s="204">
        <v>77.068054234001067</v>
      </c>
      <c r="M259" s="204">
        <v>1864.7038684762697</v>
      </c>
      <c r="N259" s="204">
        <v>75.905880830264181</v>
      </c>
      <c r="O259">
        <v>128</v>
      </c>
      <c r="P259">
        <v>41.7</v>
      </c>
      <c r="Q259">
        <v>100</v>
      </c>
      <c r="R259">
        <v>3</v>
      </c>
      <c r="S259" t="s">
        <v>196</v>
      </c>
      <c r="T259" t="s">
        <v>196</v>
      </c>
      <c r="AA259" s="43"/>
      <c r="AC259" s="468"/>
      <c r="AD259" s="468"/>
      <c r="AE259" s="468"/>
      <c r="AF259" s="468"/>
      <c r="AG259" s="468"/>
    </row>
    <row r="260" spans="1:33">
      <c r="A260" s="201">
        <v>45903</v>
      </c>
      <c r="B260" s="200">
        <v>24</v>
      </c>
      <c r="C260" s="200" t="s">
        <v>2177</v>
      </c>
      <c r="D260" s="200">
        <v>3282.8</v>
      </c>
      <c r="E260" s="200"/>
      <c r="F260" s="200"/>
      <c r="G260" s="200"/>
      <c r="H260" s="200">
        <v>296.23790000000002</v>
      </c>
      <c r="I260" s="200">
        <v>0.42893999999999999</v>
      </c>
      <c r="J260" s="200">
        <v>295.80896000000001</v>
      </c>
      <c r="K260" s="200">
        <v>2500.1719100915602</v>
      </c>
      <c r="L260" s="200">
        <v>76.159738945155354</v>
      </c>
      <c r="M260" s="200">
        <v>2465.2388681432144</v>
      </c>
      <c r="N260" s="200">
        <v>75.095615576435193</v>
      </c>
      <c r="O260">
        <v>128</v>
      </c>
      <c r="P260">
        <v>41.7</v>
      </c>
      <c r="Q260">
        <v>100</v>
      </c>
      <c r="R260">
        <v>3</v>
      </c>
      <c r="S260" t="s">
        <v>196</v>
      </c>
      <c r="T260" t="s">
        <v>196</v>
      </c>
      <c r="AA260" s="43"/>
      <c r="AC260" s="468"/>
      <c r="AD260" s="468"/>
      <c r="AE260" s="468"/>
      <c r="AF260" s="468"/>
      <c r="AG260" s="468"/>
    </row>
    <row r="261" spans="1:33">
      <c r="A261" s="333">
        <v>45903</v>
      </c>
      <c r="B261" s="331">
        <v>25</v>
      </c>
      <c r="C261" s="331" t="s">
        <v>2178</v>
      </c>
      <c r="D261" s="331">
        <v>3016.8</v>
      </c>
      <c r="E261" s="331"/>
      <c r="F261" s="331"/>
      <c r="G261" s="331"/>
      <c r="H261" s="331">
        <v>266.73039999999997</v>
      </c>
      <c r="I261" s="331">
        <v>0.42893999999999999</v>
      </c>
      <c r="J261" s="331">
        <v>266.30145999999996</v>
      </c>
      <c r="K261" s="331">
        <v>2251.6458949685298</v>
      </c>
      <c r="L261" s="331">
        <v>74.63689654496585</v>
      </c>
      <c r="M261" s="331">
        <v>2219.32665540383</v>
      </c>
      <c r="N261" s="331">
        <v>73.565587887955118</v>
      </c>
      <c r="O261">
        <v>128</v>
      </c>
      <c r="P261">
        <v>41.7</v>
      </c>
      <c r="Q261">
        <v>100</v>
      </c>
      <c r="R261">
        <v>3</v>
      </c>
      <c r="S261" t="s">
        <v>196</v>
      </c>
      <c r="T261" t="s">
        <v>196</v>
      </c>
      <c r="AA261" s="43"/>
      <c r="AC261" s="468"/>
      <c r="AD261" s="468"/>
      <c r="AE261" s="468"/>
      <c r="AF261" s="468"/>
      <c r="AG261" s="468"/>
    </row>
    <row r="262" spans="1:33">
      <c r="A262" s="285">
        <v>45903</v>
      </c>
      <c r="B262" s="284">
        <v>26</v>
      </c>
      <c r="C262" s="284" t="s">
        <v>2179</v>
      </c>
      <c r="D262" s="284">
        <v>2872.6</v>
      </c>
      <c r="E262" s="284"/>
      <c r="F262" s="284"/>
      <c r="G262" s="284"/>
      <c r="H262" s="284">
        <v>255.97450000000001</v>
      </c>
      <c r="I262" s="284">
        <v>0.42893999999999999</v>
      </c>
      <c r="J262" s="284">
        <v>255.54555999999999</v>
      </c>
      <c r="K262" s="284">
        <v>2161.0546566033072</v>
      </c>
      <c r="L262" s="284">
        <v>75.229919118683668</v>
      </c>
      <c r="M262" s="284">
        <v>2129.6881848792673</v>
      </c>
      <c r="N262" s="284">
        <v>74.137999891362085</v>
      </c>
      <c r="O262">
        <v>128</v>
      </c>
      <c r="P262">
        <v>41.7</v>
      </c>
      <c r="Q262">
        <v>100</v>
      </c>
      <c r="R262">
        <v>3</v>
      </c>
      <c r="S262" t="s">
        <v>196</v>
      </c>
      <c r="T262" t="s">
        <v>196</v>
      </c>
      <c r="AA262" s="43"/>
      <c r="AC262" s="468"/>
      <c r="AD262" s="468"/>
      <c r="AE262" s="468"/>
      <c r="AF262" s="468"/>
      <c r="AG262" s="468"/>
    </row>
    <row r="263" spans="1:33">
      <c r="A263" s="85">
        <v>45903</v>
      </c>
      <c r="B263">
        <v>27</v>
      </c>
      <c r="C263" t="s">
        <v>2051</v>
      </c>
      <c r="H263" s="175">
        <v>0.5504</v>
      </c>
      <c r="I263">
        <v>0.42893999999999999</v>
      </c>
      <c r="J263">
        <v>0.12146000000000001</v>
      </c>
      <c r="K263">
        <v>9.7529963682342373</v>
      </c>
      <c r="L263" s="391" t="e">
        <v>#DIV/0!</v>
      </c>
      <c r="M263">
        <v>1.0122340882597836</v>
      </c>
      <c r="N263" t="e">
        <v>#DIV/0!</v>
      </c>
      <c r="O263">
        <v>128</v>
      </c>
      <c r="P263">
        <v>41.7</v>
      </c>
      <c r="Q263">
        <v>100</v>
      </c>
      <c r="R263">
        <v>3</v>
      </c>
      <c r="S263" t="s">
        <v>196</v>
      </c>
      <c r="T263" t="s">
        <v>196</v>
      </c>
      <c r="AA263" s="43"/>
      <c r="AC263" s="468"/>
      <c r="AD263" s="468"/>
      <c r="AE263" s="468"/>
      <c r="AF263" s="468"/>
      <c r="AG263" s="468"/>
    </row>
    <row r="264" spans="1:33">
      <c r="A264" s="85">
        <v>45903</v>
      </c>
      <c r="B264">
        <v>28</v>
      </c>
      <c r="C264" t="s">
        <v>2052</v>
      </c>
      <c r="H264" s="175">
        <v>0.51429999999999998</v>
      </c>
      <c r="I264">
        <v>0.42893999999999999</v>
      </c>
      <c r="J264">
        <v>8.5359999999999991E-2</v>
      </c>
      <c r="K264">
        <v>9.4489452237475362</v>
      </c>
      <c r="L264" s="391" t="e">
        <v>#DIV/0!</v>
      </c>
      <c r="M264">
        <v>0.71138071606994169</v>
      </c>
      <c r="N264" t="e">
        <v>#DIV/0!</v>
      </c>
      <c r="O264">
        <v>128</v>
      </c>
      <c r="P264">
        <v>41.7</v>
      </c>
      <c r="Q264">
        <v>100</v>
      </c>
      <c r="R264">
        <v>3</v>
      </c>
      <c r="S264" t="s">
        <v>196</v>
      </c>
      <c r="T264" t="s">
        <v>196</v>
      </c>
      <c r="AA264" s="43"/>
      <c r="AC264" s="468"/>
      <c r="AD264" s="468"/>
      <c r="AE264" s="468"/>
      <c r="AF264" s="468"/>
      <c r="AG264" s="468"/>
    </row>
    <row r="265" spans="1:33">
      <c r="A265" s="85">
        <v>45903</v>
      </c>
      <c r="B265">
        <v>29</v>
      </c>
      <c r="C265" t="s">
        <v>2185</v>
      </c>
      <c r="D265">
        <v>2195.4</v>
      </c>
      <c r="G265">
        <v>2194.96092</v>
      </c>
      <c r="H265" s="175">
        <v>259.99079999999998</v>
      </c>
      <c r="I265">
        <v>0.42893999999999999</v>
      </c>
      <c r="J265">
        <v>259.56185999999997</v>
      </c>
      <c r="K265">
        <v>2194.8818203595938</v>
      </c>
      <c r="L265" s="391">
        <v>99.996396307574969</v>
      </c>
      <c r="M265">
        <v>2163.1595809658616</v>
      </c>
      <c r="N265">
        <v>98.531455815152668</v>
      </c>
      <c r="O265">
        <v>128</v>
      </c>
      <c r="P265">
        <v>41.7</v>
      </c>
      <c r="Q265">
        <v>100</v>
      </c>
      <c r="R265">
        <v>3</v>
      </c>
      <c r="S265" t="s">
        <v>196</v>
      </c>
      <c r="T265" t="s">
        <v>196</v>
      </c>
      <c r="AA265" s="43"/>
      <c r="AC265" s="468"/>
      <c r="AD265" s="468"/>
      <c r="AE265" s="468"/>
      <c r="AF265" s="468"/>
      <c r="AG265" s="468"/>
    </row>
    <row r="266" spans="1:33">
      <c r="A266" s="85">
        <v>45903</v>
      </c>
      <c r="B266">
        <v>30</v>
      </c>
      <c r="C266" t="s">
        <v>2053</v>
      </c>
      <c r="H266" s="175">
        <v>0.41210000000000002</v>
      </c>
      <c r="I266">
        <v>0.42893999999999999</v>
      </c>
      <c r="J266">
        <v>-1.6839999999999966E-2</v>
      </c>
      <c r="K266">
        <v>8.5881688534832392</v>
      </c>
      <c r="L266" s="391" t="e">
        <v>#DIV/0!</v>
      </c>
      <c r="M266">
        <v>-0.14034268109908382</v>
      </c>
      <c r="N266" t="e">
        <v>#DIV/0!</v>
      </c>
      <c r="O266">
        <v>128</v>
      </c>
      <c r="P266">
        <v>41.7</v>
      </c>
      <c r="Q266">
        <v>100</v>
      </c>
      <c r="R266">
        <v>3</v>
      </c>
      <c r="S266" t="s">
        <v>196</v>
      </c>
      <c r="T266" t="s">
        <v>196</v>
      </c>
      <c r="X266" s="423"/>
      <c r="Y266" s="43"/>
      <c r="Z266" s="43"/>
      <c r="AA266" s="43"/>
      <c r="AC266" s="468"/>
      <c r="AD266" s="468"/>
      <c r="AE266" s="468"/>
      <c r="AF266" s="468"/>
      <c r="AG266" s="468"/>
    </row>
    <row r="267" spans="1:33">
      <c r="X267" s="193"/>
      <c r="Y267" s="193"/>
      <c r="Z267" s="43"/>
      <c r="AA267" s="43"/>
      <c r="AC267" s="468"/>
      <c r="AD267" s="468"/>
      <c r="AE267" s="468"/>
      <c r="AF267" s="468"/>
      <c r="AG267" s="468"/>
    </row>
    <row r="268" spans="1:33">
      <c r="A268" s="85" t="s">
        <v>2104</v>
      </c>
      <c r="X268" s="193"/>
      <c r="Y268" s="193"/>
      <c r="Z268" s="43"/>
      <c r="AA268" s="43"/>
      <c r="AC268" s="468"/>
      <c r="AD268" s="468"/>
      <c r="AE268" s="468"/>
      <c r="AF268" s="468"/>
      <c r="AG268" s="468"/>
    </row>
    <row r="269" spans="1:33">
      <c r="A269" s="85" t="s">
        <v>2035</v>
      </c>
      <c r="X269" s="193"/>
      <c r="Y269" s="193"/>
      <c r="Z269" s="43"/>
      <c r="AA269" s="43"/>
      <c r="AC269" s="468"/>
      <c r="AD269" s="468"/>
      <c r="AE269" s="468"/>
      <c r="AF269" s="468"/>
      <c r="AG269" s="468"/>
    </row>
    <row r="270" spans="1:33">
      <c r="A270" s="85" t="s">
        <v>2186</v>
      </c>
      <c r="X270" s="193"/>
      <c r="Y270" s="193"/>
      <c r="Z270" s="43"/>
      <c r="AA270" s="43"/>
      <c r="AC270" s="468"/>
      <c r="AD270" s="468"/>
      <c r="AE270" s="468"/>
      <c r="AF270" s="468"/>
      <c r="AG270" s="468"/>
    </row>
    <row r="271" spans="1:33" ht="15.75">
      <c r="A271" s="85">
        <v>45904</v>
      </c>
      <c r="B271">
        <v>1</v>
      </c>
      <c r="C271" t="s">
        <v>2040</v>
      </c>
      <c r="H271" s="175">
        <v>0.1862</v>
      </c>
      <c r="X271" s="193"/>
      <c r="Y271" s="193"/>
      <c r="Z271" s="43"/>
      <c r="AA271" s="51"/>
      <c r="AC271" s="468"/>
      <c r="AD271" s="468"/>
      <c r="AE271" s="468"/>
      <c r="AF271" s="468"/>
      <c r="AG271" s="468"/>
    </row>
    <row r="272" spans="1:33" ht="15.75">
      <c r="A272" s="85">
        <v>45904</v>
      </c>
      <c r="B272">
        <v>2</v>
      </c>
      <c r="C272" t="s">
        <v>2041</v>
      </c>
      <c r="H272" s="175">
        <v>0.37440000000000001</v>
      </c>
      <c r="X272" s="193"/>
      <c r="Y272" s="193"/>
      <c r="Z272" s="43"/>
      <c r="AA272" s="425"/>
      <c r="AC272" s="468"/>
      <c r="AD272" s="468"/>
      <c r="AE272" s="468"/>
      <c r="AF272" s="468"/>
      <c r="AG272" s="468"/>
    </row>
    <row r="273" spans="1:33">
      <c r="A273" s="85">
        <v>45904</v>
      </c>
      <c r="B273">
        <v>3</v>
      </c>
      <c r="C273" t="s">
        <v>2042</v>
      </c>
      <c r="G273">
        <v>0</v>
      </c>
      <c r="H273" s="175">
        <v>0.41949999999999998</v>
      </c>
      <c r="I273">
        <v>0.37872</v>
      </c>
      <c r="J273">
        <v>0.37872</v>
      </c>
      <c r="X273" s="423">
        <f>A274</f>
        <v>45904</v>
      </c>
      <c r="Y273" s="43"/>
      <c r="Z273" s="43"/>
      <c r="AA273" s="43"/>
      <c r="AC273" s="468"/>
      <c r="AD273" s="468"/>
      <c r="AE273" s="468"/>
      <c r="AF273" s="468"/>
      <c r="AG273" s="468"/>
    </row>
    <row r="274" spans="1:33">
      <c r="A274" s="85">
        <v>45904</v>
      </c>
      <c r="B274">
        <v>4</v>
      </c>
      <c r="C274" t="s">
        <v>2196</v>
      </c>
      <c r="D274">
        <v>247.8</v>
      </c>
      <c r="G274">
        <v>247.75044000000003</v>
      </c>
      <c r="H274" s="175">
        <v>29.770399999999999</v>
      </c>
      <c r="I274">
        <v>0.37872</v>
      </c>
      <c r="J274">
        <v>29.391679999999997</v>
      </c>
      <c r="K274">
        <v>240.69946755500143</v>
      </c>
      <c r="L274" s="391">
        <v>97.154002049401569</v>
      </c>
      <c r="M274">
        <v>244.94698178184845</v>
      </c>
      <c r="N274">
        <v>98.868434615836975</v>
      </c>
      <c r="O274">
        <v>128</v>
      </c>
      <c r="P274">
        <v>41.7</v>
      </c>
      <c r="Q274">
        <v>100</v>
      </c>
      <c r="R274">
        <v>3</v>
      </c>
      <c r="S274" t="s">
        <v>196</v>
      </c>
      <c r="T274" t="s">
        <v>196</v>
      </c>
      <c r="U274" s="28" t="s">
        <v>2221</v>
      </c>
      <c r="X274" s="193">
        <f>((J273-INDEX(LINEST($H$273:$H$278,$G$273:$G$278),2))/INDEX(LINEST($H$273:$H$278,$G$273:$G$278),1)/100.09)*12.01</f>
        <v>-0.75289240437254534</v>
      </c>
      <c r="Y274" s="193">
        <f>(J273-X274)^2</f>
        <v>1.280546633729813</v>
      </c>
      <c r="Z274" s="43"/>
      <c r="AA274" s="43"/>
      <c r="AC274" s="468"/>
      <c r="AD274" s="468"/>
      <c r="AE274" s="468"/>
      <c r="AF274" s="468"/>
      <c r="AG274" s="468"/>
    </row>
    <row r="275" spans="1:33">
      <c r="A275" s="85">
        <v>45904</v>
      </c>
      <c r="B275">
        <v>5</v>
      </c>
      <c r="C275" t="s">
        <v>2197</v>
      </c>
      <c r="D275">
        <v>1025.0999999999999</v>
      </c>
      <c r="G275">
        <v>1024.89498</v>
      </c>
      <c r="H275" s="175">
        <v>124.0378</v>
      </c>
      <c r="I275">
        <v>0.37872</v>
      </c>
      <c r="J275">
        <v>123.65908</v>
      </c>
      <c r="K275">
        <v>1036.7534272029327</v>
      </c>
      <c r="L275" s="391">
        <v>101.15704022698333</v>
      </c>
      <c r="M275">
        <v>1030.5609756203164</v>
      </c>
      <c r="N275">
        <v>100.55283670335827</v>
      </c>
      <c r="O275">
        <v>128</v>
      </c>
      <c r="P275">
        <v>41.7</v>
      </c>
      <c r="Q275">
        <v>100</v>
      </c>
      <c r="R275">
        <v>3</v>
      </c>
      <c r="S275" t="s">
        <v>196</v>
      </c>
      <c r="T275" t="s">
        <v>196</v>
      </c>
      <c r="X275" s="193">
        <f t="shared" ref="X275:X279" si="16">((J274-INDEX(LINEST($H$273:$H$278,$G$273:$G$278),2))/INDEX(LINEST($H$273:$H$278,$G$273:$G$278),1)/100.09)*12.01</f>
        <v>28.631821560361754</v>
      </c>
      <c r="Y275" s="193">
        <f t="shared" ref="Y275:Y279" si="17">(J274-X275)^2</f>
        <v>0.57738484828946612</v>
      </c>
      <c r="Z275" s="43"/>
      <c r="AA275" s="43"/>
      <c r="AC275" s="468"/>
      <c r="AD275" s="468"/>
      <c r="AE275" s="468"/>
      <c r="AF275" s="468"/>
      <c r="AG275" s="468"/>
    </row>
    <row r="276" spans="1:33">
      <c r="A276" s="85">
        <v>45904</v>
      </c>
      <c r="B276">
        <v>6</v>
      </c>
      <c r="C276" t="s">
        <v>2198</v>
      </c>
      <c r="D276">
        <v>2033.4</v>
      </c>
      <c r="G276">
        <v>2032.99332</v>
      </c>
      <c r="H276" s="175">
        <v>242.7757</v>
      </c>
      <c r="I276">
        <v>0.37872</v>
      </c>
      <c r="J276">
        <v>242.39698000000001</v>
      </c>
      <c r="K276">
        <v>2039.451872850952</v>
      </c>
      <c r="L276" s="391">
        <v>100.31768687026241</v>
      </c>
      <c r="M276">
        <v>2020.109386194838</v>
      </c>
      <c r="N276">
        <v>99.366257937081556</v>
      </c>
      <c r="O276">
        <v>128</v>
      </c>
      <c r="P276">
        <v>41.7</v>
      </c>
      <c r="Q276">
        <v>100</v>
      </c>
      <c r="R276">
        <v>3</v>
      </c>
      <c r="S276" t="s">
        <v>196</v>
      </c>
      <c r="T276" t="s">
        <v>196</v>
      </c>
      <c r="X276" s="193">
        <f t="shared" si="16"/>
        <v>124.10710519909405</v>
      </c>
      <c r="Y276" s="193">
        <f t="shared" si="17"/>
        <v>0.20072657902326077</v>
      </c>
      <c r="Z276" s="43"/>
      <c r="AA276" s="43"/>
      <c r="AC276" s="468"/>
      <c r="AD276" s="468"/>
      <c r="AE276" s="468"/>
      <c r="AF276" s="468"/>
      <c r="AG276" s="468"/>
    </row>
    <row r="277" spans="1:33">
      <c r="A277" s="85">
        <v>45904</v>
      </c>
      <c r="B277">
        <v>7</v>
      </c>
      <c r="C277" t="s">
        <v>2199</v>
      </c>
      <c r="D277">
        <v>2940.6</v>
      </c>
      <c r="G277">
        <v>2940.01188</v>
      </c>
      <c r="H277" s="175">
        <v>349.52170000000001</v>
      </c>
      <c r="I277">
        <v>0.37872</v>
      </c>
      <c r="J277">
        <v>349.14298000000002</v>
      </c>
      <c r="K277">
        <v>2940.8830778759984</v>
      </c>
      <c r="L277" s="391">
        <v>100.02963246107694</v>
      </c>
      <c r="M277">
        <v>2909.7186401498757</v>
      </c>
      <c r="N277">
        <v>98.969621855741465</v>
      </c>
      <c r="O277">
        <v>128</v>
      </c>
      <c r="P277">
        <v>41.7</v>
      </c>
      <c r="Q277">
        <v>100</v>
      </c>
      <c r="R277">
        <v>3</v>
      </c>
      <c r="S277" t="s">
        <v>196</v>
      </c>
      <c r="T277" t="s">
        <v>196</v>
      </c>
      <c r="X277" s="193">
        <f t="shared" si="16"/>
        <v>244.36643855471254</v>
      </c>
      <c r="Y277" s="193">
        <f t="shared" si="17"/>
        <v>3.8787669987303732</v>
      </c>
      <c r="Z277" s="43"/>
      <c r="AA277" s="43"/>
      <c r="AC277" s="468"/>
      <c r="AD277" s="468"/>
      <c r="AE277" s="468"/>
      <c r="AF277" s="468"/>
      <c r="AG277" s="468"/>
    </row>
    <row r="278" spans="1:33" ht="15.75">
      <c r="A278" s="85">
        <v>45904</v>
      </c>
      <c r="B278">
        <v>8</v>
      </c>
      <c r="C278" t="s">
        <v>2200</v>
      </c>
      <c r="D278">
        <v>3332.6</v>
      </c>
      <c r="G278">
        <v>3331.9334800000001</v>
      </c>
      <c r="H278" s="175">
        <v>394.90170000000001</v>
      </c>
      <c r="I278">
        <v>0.37872</v>
      </c>
      <c r="J278">
        <v>394.52298000000002</v>
      </c>
      <c r="K278">
        <v>3324.1006980588304</v>
      </c>
      <c r="L278" s="391">
        <v>99.764917817591908</v>
      </c>
      <c r="M278">
        <v>3287.9104969358873</v>
      </c>
      <c r="N278">
        <v>98.678755643581681</v>
      </c>
      <c r="O278">
        <v>128</v>
      </c>
      <c r="P278">
        <v>41.7</v>
      </c>
      <c r="Q278">
        <v>100</v>
      </c>
      <c r="R278">
        <v>3</v>
      </c>
      <c r="S278" t="s">
        <v>196</v>
      </c>
      <c r="T278" t="s">
        <v>196</v>
      </c>
      <c r="X278" s="193">
        <f t="shared" si="16"/>
        <v>352.48021518693236</v>
      </c>
      <c r="Y278" s="193">
        <f t="shared" si="17"/>
        <v>11.137138692899279</v>
      </c>
      <c r="Z278" s="43"/>
      <c r="AA278" s="51" t="s">
        <v>2039</v>
      </c>
      <c r="AC278" s="468"/>
      <c r="AD278" s="468"/>
      <c r="AE278" s="468"/>
      <c r="AF278" s="468"/>
      <c r="AG278" s="468"/>
    </row>
    <row r="279" spans="1:33" ht="15.75">
      <c r="A279" s="85">
        <v>45904</v>
      </c>
      <c r="B279">
        <v>9</v>
      </c>
      <c r="C279" t="s">
        <v>2045</v>
      </c>
      <c r="H279" s="175">
        <v>0.50609999999999999</v>
      </c>
      <c r="I279">
        <v>0.37872</v>
      </c>
      <c r="J279">
        <v>0.12737999999999999</v>
      </c>
      <c r="K279">
        <v>-6.426918569204279</v>
      </c>
      <c r="L279" s="391" t="e">
        <v>#DIV/0!</v>
      </c>
      <c r="M279">
        <v>1.061570707743547</v>
      </c>
      <c r="N279" t="e">
        <v>#DIV/0!</v>
      </c>
      <c r="O279">
        <v>128</v>
      </c>
      <c r="P279">
        <v>41.7</v>
      </c>
      <c r="Q279">
        <v>100</v>
      </c>
      <c r="R279">
        <v>3</v>
      </c>
      <c r="S279" t="s">
        <v>196</v>
      </c>
      <c r="T279" t="s">
        <v>196</v>
      </c>
      <c r="X279" s="193">
        <f t="shared" si="16"/>
        <v>398.4416861888447</v>
      </c>
      <c r="Y279" s="193">
        <f t="shared" si="17"/>
        <v>15.356258194489602</v>
      </c>
      <c r="Z279" s="43"/>
      <c r="AA279" s="425">
        <f>(Y280/$AL$15)*100</f>
        <v>4.0759227220100964</v>
      </c>
      <c r="AC279" s="468"/>
      <c r="AD279" s="468"/>
      <c r="AE279" s="468"/>
      <c r="AF279" s="468"/>
      <c r="AG279" s="468"/>
    </row>
    <row r="280" spans="1:33" ht="15.75">
      <c r="A280" s="85">
        <v>45904</v>
      </c>
      <c r="B280">
        <v>10</v>
      </c>
      <c r="C280" t="s">
        <v>2047</v>
      </c>
      <c r="H280" s="175">
        <v>0.46279999999999999</v>
      </c>
      <c r="I280">
        <v>0.37872</v>
      </c>
      <c r="J280">
        <v>8.4079999999999988E-2</v>
      </c>
      <c r="K280">
        <v>-6.7925713447423286</v>
      </c>
      <c r="L280" s="391" t="e">
        <v>#DIV/0!</v>
      </c>
      <c r="M280">
        <v>0.70071333888426313</v>
      </c>
      <c r="N280" t="e">
        <v>#DIV/0!</v>
      </c>
      <c r="O280">
        <v>128</v>
      </c>
      <c r="P280">
        <v>41.7</v>
      </c>
      <c r="Q280">
        <v>100</v>
      </c>
      <c r="R280">
        <v>3</v>
      </c>
      <c r="S280" t="s">
        <v>196</v>
      </c>
      <c r="T280" t="s">
        <v>196</v>
      </c>
      <c r="X280" s="43"/>
      <c r="Y280" s="425">
        <f>SQRT(SUM(Y274:Y279)/(6-2))</f>
        <v>2.8474032883998794</v>
      </c>
      <c r="Z280" s="51" t="s">
        <v>2044</v>
      </c>
      <c r="AA280" s="43"/>
      <c r="AC280" s="468"/>
      <c r="AD280" s="468"/>
      <c r="AE280" s="468"/>
      <c r="AF280" s="468"/>
      <c r="AG280" s="468"/>
    </row>
    <row r="281" spans="1:33" ht="15.75">
      <c r="A281" s="85">
        <v>45904</v>
      </c>
      <c r="B281">
        <v>11</v>
      </c>
      <c r="C281" t="s">
        <v>2055</v>
      </c>
      <c r="D281">
        <v>1142.2</v>
      </c>
      <c r="H281" s="175">
        <v>112.57680000000001</v>
      </c>
      <c r="I281">
        <v>0.37872</v>
      </c>
      <c r="J281">
        <v>112.19808</v>
      </c>
      <c r="K281">
        <v>939.96944428280392</v>
      </c>
      <c r="L281" s="391">
        <v>82.294645796078086</v>
      </c>
      <c r="M281">
        <v>935.04628036636143</v>
      </c>
      <c r="N281">
        <v>81.863621114197286</v>
      </c>
      <c r="O281">
        <v>128</v>
      </c>
      <c r="P281">
        <v>41.7</v>
      </c>
      <c r="Q281">
        <v>100</v>
      </c>
      <c r="R281">
        <v>3</v>
      </c>
      <c r="S281" t="s">
        <v>196</v>
      </c>
      <c r="T281" t="s">
        <v>196</v>
      </c>
      <c r="X281" s="43"/>
      <c r="Y281" s="425">
        <f>(Y280/12.01)*100.09</f>
        <v>23.729941310236796</v>
      </c>
      <c r="Z281" s="51" t="s">
        <v>2046</v>
      </c>
      <c r="AA281" s="43"/>
      <c r="AC281" s="468"/>
      <c r="AD281" s="468"/>
      <c r="AE281" s="468"/>
      <c r="AF281" s="468"/>
      <c r="AG281" s="468"/>
    </row>
    <row r="282" spans="1:33">
      <c r="A282" s="85">
        <v>45904</v>
      </c>
      <c r="B282">
        <v>12</v>
      </c>
      <c r="C282" t="s">
        <v>2055</v>
      </c>
      <c r="D282">
        <v>2026.3</v>
      </c>
      <c r="H282" s="175">
        <v>199.64259999999999</v>
      </c>
      <c r="I282">
        <v>0.37872</v>
      </c>
      <c r="J282">
        <v>199.26388</v>
      </c>
      <c r="K282">
        <v>1675.2085072029104</v>
      </c>
      <c r="L282" s="391">
        <v>82.673271835508572</v>
      </c>
      <c r="M282">
        <v>1660.6429433139051</v>
      </c>
      <c r="N282">
        <v>81.954446198189061</v>
      </c>
      <c r="O282">
        <v>128</v>
      </c>
      <c r="P282">
        <v>41.7</v>
      </c>
      <c r="Q282">
        <v>100</v>
      </c>
      <c r="R282">
        <v>3</v>
      </c>
      <c r="S282" t="s">
        <v>196</v>
      </c>
      <c r="T282" t="s">
        <v>196</v>
      </c>
      <c r="AA282" s="43"/>
      <c r="AC282" s="468"/>
      <c r="AD282" s="468"/>
      <c r="AE282" s="468"/>
      <c r="AF282" s="468"/>
      <c r="AG282" s="468"/>
    </row>
    <row r="283" spans="1:33">
      <c r="A283" s="85">
        <v>45904</v>
      </c>
      <c r="B283">
        <v>13</v>
      </c>
      <c r="C283" t="s">
        <v>2048</v>
      </c>
      <c r="D283">
        <v>918.5</v>
      </c>
      <c r="H283" s="175">
        <v>13.482200000000001</v>
      </c>
      <c r="I283">
        <v>0.37872</v>
      </c>
      <c r="J283">
        <v>13.103480000000001</v>
      </c>
      <c r="K283">
        <v>103.15153364001672</v>
      </c>
      <c r="L283" s="391">
        <v>11.230433711487938</v>
      </c>
      <c r="M283">
        <v>109.20294031640302</v>
      </c>
      <c r="N283">
        <v>11.889269495525642</v>
      </c>
      <c r="O283">
        <v>128</v>
      </c>
      <c r="P283">
        <v>41.7</v>
      </c>
      <c r="Q283">
        <v>100</v>
      </c>
      <c r="R283">
        <v>3</v>
      </c>
      <c r="S283" t="s">
        <v>196</v>
      </c>
      <c r="T283" t="s">
        <v>196</v>
      </c>
      <c r="AA283" s="43"/>
      <c r="AC283" s="468"/>
      <c r="AD283" s="468"/>
      <c r="AE283" s="468"/>
      <c r="AF283" s="468"/>
      <c r="AG283" s="468"/>
    </row>
    <row r="284" spans="1:33">
      <c r="A284" s="85">
        <v>45904</v>
      </c>
      <c r="B284">
        <v>14</v>
      </c>
      <c r="C284" t="s">
        <v>2048</v>
      </c>
      <c r="D284">
        <v>1899</v>
      </c>
      <c r="H284" s="175">
        <v>28.628</v>
      </c>
      <c r="I284">
        <v>0.37872</v>
      </c>
      <c r="J284">
        <v>28.249279999999999</v>
      </c>
      <c r="K284">
        <v>231.05231441932787</v>
      </c>
      <c r="L284" s="391">
        <v>12.167051838827165</v>
      </c>
      <c r="M284">
        <v>235.42634764363029</v>
      </c>
      <c r="N284">
        <v>12.397385341949988</v>
      </c>
      <c r="O284">
        <v>128</v>
      </c>
      <c r="P284">
        <v>41.7</v>
      </c>
      <c r="Q284">
        <v>100</v>
      </c>
      <c r="R284">
        <v>3</v>
      </c>
      <c r="S284" t="s">
        <v>196</v>
      </c>
      <c r="T284" t="s">
        <v>196</v>
      </c>
      <c r="AA284" s="43"/>
      <c r="AC284" s="468"/>
      <c r="AD284" s="468"/>
      <c r="AE284" s="468"/>
      <c r="AF284" s="468"/>
      <c r="AG284" s="468"/>
    </row>
    <row r="285" spans="1:33">
      <c r="A285" s="85">
        <v>45904</v>
      </c>
      <c r="B285">
        <v>15</v>
      </c>
      <c r="C285" t="s">
        <v>2049</v>
      </c>
      <c r="H285" s="175">
        <v>0.32</v>
      </c>
      <c r="I285">
        <v>0.37872</v>
      </c>
      <c r="J285">
        <v>-5.8719999999999994E-2</v>
      </c>
      <c r="K285">
        <v>-7.9984654867015266</v>
      </c>
      <c r="L285" s="391" t="e">
        <v>#DIV/0!</v>
      </c>
      <c r="M285">
        <v>-0.48936592839300586</v>
      </c>
      <c r="N285" t="e">
        <v>#DIV/0!</v>
      </c>
      <c r="O285">
        <v>128</v>
      </c>
      <c r="P285">
        <v>41.7</v>
      </c>
      <c r="Q285">
        <v>100</v>
      </c>
      <c r="R285">
        <v>3</v>
      </c>
      <c r="S285" t="s">
        <v>196</v>
      </c>
      <c r="T285" t="s">
        <v>196</v>
      </c>
      <c r="AA285" s="43"/>
      <c r="AC285" s="468"/>
      <c r="AD285" s="468"/>
      <c r="AE285" s="468"/>
      <c r="AF285" s="468"/>
      <c r="AG285" s="468"/>
    </row>
    <row r="286" spans="1:33">
      <c r="A286" s="285">
        <v>45904</v>
      </c>
      <c r="B286" s="284">
        <v>16</v>
      </c>
      <c r="C286" s="284" t="s">
        <v>2174</v>
      </c>
      <c r="D286" s="284">
        <v>2497.8000000000002</v>
      </c>
      <c r="E286" s="284"/>
      <c r="F286" s="284"/>
      <c r="G286" s="284"/>
      <c r="H286" s="284">
        <v>223.38669999999999</v>
      </c>
      <c r="I286" s="284">
        <v>0.37872</v>
      </c>
      <c r="J286" s="284">
        <v>223.00798</v>
      </c>
      <c r="K286" s="284">
        <v>1875.7188089962817</v>
      </c>
      <c r="L286" s="284">
        <v>75.094835815368782</v>
      </c>
      <c r="M286" s="284">
        <v>1858.5236234970857</v>
      </c>
      <c r="N286" s="284">
        <v>74.406422591764169</v>
      </c>
      <c r="O286">
        <v>128</v>
      </c>
      <c r="P286">
        <v>41.7</v>
      </c>
      <c r="Q286">
        <v>100</v>
      </c>
      <c r="R286">
        <v>3</v>
      </c>
      <c r="S286" t="s">
        <v>196</v>
      </c>
      <c r="T286" t="s">
        <v>196</v>
      </c>
      <c r="AA286" s="43"/>
      <c r="AC286" s="468"/>
      <c r="AD286" s="468"/>
      <c r="AE286" s="468"/>
      <c r="AF286" s="468"/>
      <c r="AG286" s="468"/>
    </row>
    <row r="287" spans="1:33">
      <c r="A287" s="333">
        <v>45904</v>
      </c>
      <c r="B287" s="331">
        <v>17</v>
      </c>
      <c r="C287" s="331" t="s">
        <v>2187</v>
      </c>
      <c r="D287" s="331">
        <v>2312.8000000000002</v>
      </c>
      <c r="E287" s="331"/>
      <c r="F287" s="331"/>
      <c r="G287" s="331"/>
      <c r="H287" s="331">
        <v>203.9796</v>
      </c>
      <c r="I287" s="331">
        <v>0.37872</v>
      </c>
      <c r="J287" s="331">
        <v>203.60088000000002</v>
      </c>
      <c r="K287" s="331">
        <v>1711.8328972146546</v>
      </c>
      <c r="L287" s="331">
        <v>74.015604341692082</v>
      </c>
      <c r="M287" s="331">
        <v>1696.7870174188179</v>
      </c>
      <c r="N287" s="331">
        <v>73.365056097320036</v>
      </c>
      <c r="O287">
        <v>128</v>
      </c>
      <c r="P287">
        <v>41.7</v>
      </c>
      <c r="Q287">
        <v>100</v>
      </c>
      <c r="R287">
        <v>3</v>
      </c>
      <c r="S287" t="s">
        <v>196</v>
      </c>
      <c r="T287" t="s">
        <v>196</v>
      </c>
      <c r="AA287" s="43"/>
      <c r="AC287" s="468"/>
      <c r="AD287" s="468"/>
      <c r="AE287" s="468"/>
      <c r="AF287" s="468"/>
      <c r="AG287" s="468"/>
    </row>
    <row r="288" spans="1:33">
      <c r="A288" s="201">
        <v>45904</v>
      </c>
      <c r="B288" s="200">
        <v>18</v>
      </c>
      <c r="C288" s="200" t="s">
        <v>2188</v>
      </c>
      <c r="D288" s="200">
        <v>2308.1999999999998</v>
      </c>
      <c r="E288" s="200"/>
      <c r="F288" s="200"/>
      <c r="G288" s="200"/>
      <c r="H288" s="200">
        <v>211.47309999999999</v>
      </c>
      <c r="I288" s="200">
        <v>0.37872</v>
      </c>
      <c r="J288" s="200">
        <v>211.09438</v>
      </c>
      <c r="K288" s="200">
        <v>1775.1127834385427</v>
      </c>
      <c r="L288" s="200">
        <v>76.904634929319073</v>
      </c>
      <c r="M288" s="200">
        <v>1759.2370103413821</v>
      </c>
      <c r="N288" s="200">
        <v>76.216836077522842</v>
      </c>
      <c r="O288">
        <v>128</v>
      </c>
      <c r="P288">
        <v>41.7</v>
      </c>
      <c r="Q288">
        <v>100</v>
      </c>
      <c r="R288">
        <v>3</v>
      </c>
      <c r="S288" t="s">
        <v>196</v>
      </c>
      <c r="T288" t="s">
        <v>196</v>
      </c>
      <c r="AA288" s="43"/>
      <c r="AC288" s="468"/>
      <c r="AD288" s="468"/>
      <c r="AE288" s="468"/>
      <c r="AF288" s="468"/>
      <c r="AG288" s="468"/>
    </row>
    <row r="289" spans="1:33">
      <c r="A289" s="205">
        <v>45904</v>
      </c>
      <c r="B289" s="204">
        <v>19</v>
      </c>
      <c r="C289" s="204" t="s">
        <v>2189</v>
      </c>
      <c r="D289" s="204">
        <v>3077.9</v>
      </c>
      <c r="E289" s="204"/>
      <c r="F289" s="204"/>
      <c r="G289" s="204"/>
      <c r="H289" s="204">
        <v>285.95839999999998</v>
      </c>
      <c r="I289" s="204">
        <v>0.37872</v>
      </c>
      <c r="J289" s="204">
        <v>285.57968</v>
      </c>
      <c r="K289" s="204">
        <v>2404.1140924866763</v>
      </c>
      <c r="L289" s="204">
        <v>78.10890842739127</v>
      </c>
      <c r="M289" s="204">
        <v>2379.9891899417153</v>
      </c>
      <c r="N289" s="204">
        <v>77.325097954505182</v>
      </c>
      <c r="O289">
        <v>128</v>
      </c>
      <c r="P289">
        <v>41.7</v>
      </c>
      <c r="Q289">
        <v>100</v>
      </c>
      <c r="R289">
        <v>3</v>
      </c>
      <c r="S289" t="s">
        <v>196</v>
      </c>
      <c r="T289" t="s">
        <v>196</v>
      </c>
      <c r="AA289" s="43"/>
      <c r="AC289" s="468"/>
      <c r="AD289" s="468"/>
      <c r="AE289" s="468"/>
      <c r="AF289" s="468"/>
      <c r="AG289" s="468"/>
    </row>
    <row r="290" spans="1:33">
      <c r="A290" s="438">
        <v>45904</v>
      </c>
      <c r="B290" s="439">
        <v>20</v>
      </c>
      <c r="C290" s="439" t="s">
        <v>2190</v>
      </c>
      <c r="D290" s="439">
        <v>2589.1</v>
      </c>
      <c r="E290" s="439"/>
      <c r="F290" s="439"/>
      <c r="G290" s="439"/>
      <c r="H290" s="439">
        <v>237.364</v>
      </c>
      <c r="I290" s="439">
        <v>0.37872</v>
      </c>
      <c r="J290" s="439">
        <v>236.98528000000002</v>
      </c>
      <c r="K290" s="439">
        <v>1993.7520316181747</v>
      </c>
      <c r="L290" s="439">
        <v>77.005601622887283</v>
      </c>
      <c r="M290" s="439">
        <v>1975.0088821981685</v>
      </c>
      <c r="N290" s="439">
        <v>76.281676343060084</v>
      </c>
      <c r="O290">
        <v>128</v>
      </c>
      <c r="P290">
        <v>41.7</v>
      </c>
      <c r="Q290">
        <v>100</v>
      </c>
      <c r="R290">
        <v>3</v>
      </c>
      <c r="S290" t="s">
        <v>196</v>
      </c>
      <c r="T290" t="s">
        <v>196</v>
      </c>
      <c r="AA290" s="43"/>
      <c r="AC290" s="468"/>
      <c r="AD290" s="468"/>
      <c r="AE290" s="468"/>
      <c r="AF290" s="468"/>
      <c r="AG290" s="468"/>
    </row>
    <row r="291" spans="1:33">
      <c r="A291" s="85">
        <v>45904</v>
      </c>
      <c r="B291">
        <v>21</v>
      </c>
      <c r="C291" t="s">
        <v>2050</v>
      </c>
      <c r="H291" s="175">
        <v>0.50639999999999996</v>
      </c>
      <c r="I291">
        <v>0.37872</v>
      </c>
      <c r="J291">
        <v>0.12767999999999996</v>
      </c>
      <c r="K291">
        <v>-6.424385178149743</v>
      </c>
      <c r="L291" s="391" t="e">
        <v>#DIV/0!</v>
      </c>
      <c r="M291">
        <v>1.0640708742714402</v>
      </c>
      <c r="N291" t="e">
        <v>#DIV/0!</v>
      </c>
      <c r="O291">
        <v>128</v>
      </c>
      <c r="P291">
        <v>41.7</v>
      </c>
      <c r="Q291">
        <v>100</v>
      </c>
      <c r="R291">
        <v>3</v>
      </c>
      <c r="S291" t="s">
        <v>196</v>
      </c>
      <c r="T291" t="s">
        <v>196</v>
      </c>
      <c r="AA291" s="43"/>
      <c r="AC291" s="468"/>
      <c r="AD291" s="468"/>
      <c r="AE291" s="468"/>
      <c r="AF291" s="468"/>
      <c r="AG291" s="468"/>
    </row>
    <row r="292" spans="1:33">
      <c r="A292" s="285">
        <v>45904</v>
      </c>
      <c r="B292" s="284">
        <v>22</v>
      </c>
      <c r="C292" s="284" t="s">
        <v>2179</v>
      </c>
      <c r="D292" s="284">
        <v>2494</v>
      </c>
      <c r="E292" s="284"/>
      <c r="F292" s="284"/>
      <c r="G292" s="284"/>
      <c r="H292" s="284">
        <v>221.20099999999999</v>
      </c>
      <c r="I292" s="284">
        <v>0.37872</v>
      </c>
      <c r="J292" s="284">
        <v>220.82228000000001</v>
      </c>
      <c r="K292" s="284">
        <v>1857.2613662366164</v>
      </c>
      <c r="L292" s="284">
        <v>74.469180683104113</v>
      </c>
      <c r="M292" s="284">
        <v>1840.308243563697</v>
      </c>
      <c r="N292" s="284">
        <v>73.789424361014312</v>
      </c>
      <c r="O292">
        <v>128</v>
      </c>
      <c r="P292">
        <v>41.7</v>
      </c>
      <c r="Q292">
        <v>100</v>
      </c>
      <c r="R292">
        <v>3</v>
      </c>
      <c r="S292" t="s">
        <v>196</v>
      </c>
      <c r="T292" t="s">
        <v>196</v>
      </c>
      <c r="AA292" s="43"/>
      <c r="AC292" s="468"/>
      <c r="AD292" s="468"/>
      <c r="AE292" s="468"/>
      <c r="AF292" s="468"/>
      <c r="AG292" s="468"/>
    </row>
    <row r="293" spans="1:33">
      <c r="A293" s="333">
        <v>45904</v>
      </c>
      <c r="B293" s="331">
        <v>23</v>
      </c>
      <c r="C293" s="331" t="s">
        <v>2191</v>
      </c>
      <c r="D293" s="331">
        <v>2535.9</v>
      </c>
      <c r="E293" s="331"/>
      <c r="F293" s="331"/>
      <c r="G293" s="331"/>
      <c r="H293" s="331">
        <v>225.13650000000001</v>
      </c>
      <c r="I293" s="331">
        <v>0.37872</v>
      </c>
      <c r="J293" s="331">
        <v>224.75778000000003</v>
      </c>
      <c r="K293" s="331">
        <v>1890.4952345537063</v>
      </c>
      <c r="L293" s="331">
        <v>74.549281696979619</v>
      </c>
      <c r="M293" s="331">
        <v>1873.1062614654459</v>
      </c>
      <c r="N293" s="331">
        <v>73.863569599173701</v>
      </c>
      <c r="O293">
        <v>128</v>
      </c>
      <c r="P293">
        <v>41.7</v>
      </c>
      <c r="Q293">
        <v>100</v>
      </c>
      <c r="R293">
        <v>3</v>
      </c>
      <c r="S293" t="s">
        <v>196</v>
      </c>
      <c r="T293" t="s">
        <v>196</v>
      </c>
      <c r="AA293" s="43"/>
      <c r="AC293" s="468"/>
      <c r="AD293" s="468"/>
      <c r="AE293" s="468"/>
      <c r="AF293" s="468"/>
      <c r="AG293" s="468"/>
    </row>
    <row r="294" spans="1:33">
      <c r="A294" s="201">
        <v>45904</v>
      </c>
      <c r="B294" s="200">
        <v>24</v>
      </c>
      <c r="C294" s="200" t="s">
        <v>2192</v>
      </c>
      <c r="D294" s="200">
        <v>2186.8000000000002</v>
      </c>
      <c r="E294" s="200"/>
      <c r="F294" s="200"/>
      <c r="G294" s="200"/>
      <c r="H294" s="200">
        <v>200.87350000000001</v>
      </c>
      <c r="I294" s="200">
        <v>0.37872</v>
      </c>
      <c r="J294" s="200">
        <v>200.49478000000002</v>
      </c>
      <c r="K294" s="200">
        <v>1685.6030106996723</v>
      </c>
      <c r="L294" s="200">
        <v>77.080803489101527</v>
      </c>
      <c r="M294" s="200">
        <v>1670.9011265778522</v>
      </c>
      <c r="N294" s="200">
        <v>76.408502221412661</v>
      </c>
      <c r="O294">
        <v>128</v>
      </c>
      <c r="P294">
        <v>41.7</v>
      </c>
      <c r="Q294">
        <v>100</v>
      </c>
      <c r="R294">
        <v>3</v>
      </c>
      <c r="S294" t="s">
        <v>196</v>
      </c>
      <c r="T294" t="s">
        <v>196</v>
      </c>
      <c r="AA294" s="43"/>
      <c r="AC294" s="468"/>
      <c r="AD294" s="468"/>
      <c r="AE294" s="468"/>
      <c r="AF294" s="468"/>
      <c r="AG294" s="468"/>
    </row>
    <row r="295" spans="1:33">
      <c r="A295" s="205">
        <v>45904</v>
      </c>
      <c r="B295" s="204">
        <v>25</v>
      </c>
      <c r="C295" s="204" t="s">
        <v>2193</v>
      </c>
      <c r="D295" s="204">
        <v>3045.2</v>
      </c>
      <c r="E295" s="204"/>
      <c r="F295" s="204"/>
      <c r="G295" s="204"/>
      <c r="H295" s="204">
        <v>281.79840000000002</v>
      </c>
      <c r="I295" s="204">
        <v>0.37872</v>
      </c>
      <c r="J295" s="204">
        <v>281.41968000000003</v>
      </c>
      <c r="K295" s="204">
        <v>2368.9844031971093</v>
      </c>
      <c r="L295" s="204">
        <v>77.794049756899682</v>
      </c>
      <c r="M295" s="204">
        <v>2345.3202140882599</v>
      </c>
      <c r="N295" s="204">
        <v>77.016951730206884</v>
      </c>
      <c r="O295">
        <v>128</v>
      </c>
      <c r="P295">
        <v>41.7</v>
      </c>
      <c r="Q295">
        <v>100</v>
      </c>
      <c r="R295">
        <v>3</v>
      </c>
      <c r="S295" t="s">
        <v>196</v>
      </c>
      <c r="T295" t="s">
        <v>196</v>
      </c>
      <c r="X295" s="423"/>
      <c r="Y295" s="43"/>
      <c r="Z295" s="43"/>
      <c r="AA295" s="43"/>
      <c r="AC295" s="468"/>
      <c r="AD295" s="468"/>
      <c r="AE295" s="468"/>
      <c r="AF295" s="468"/>
      <c r="AG295" s="468"/>
    </row>
    <row r="296" spans="1:33">
      <c r="A296" s="438">
        <v>45904</v>
      </c>
      <c r="B296" s="439">
        <v>26</v>
      </c>
      <c r="C296" s="439" t="s">
        <v>2194</v>
      </c>
      <c r="D296" s="439">
        <v>2260</v>
      </c>
      <c r="E296" s="439"/>
      <c r="F296" s="439"/>
      <c r="G296" s="439"/>
      <c r="H296" s="439">
        <v>206.30600000000001</v>
      </c>
      <c r="I296" s="439">
        <v>0.37872</v>
      </c>
      <c r="J296" s="439">
        <v>205.92728000000002</v>
      </c>
      <c r="K296" s="439">
        <v>1731.4785003788975</v>
      </c>
      <c r="L296" s="439">
        <v>76.614092937119366</v>
      </c>
      <c r="M296" s="439">
        <v>1716.1749754537886</v>
      </c>
      <c r="N296" s="439">
        <v>75.936945816539321</v>
      </c>
      <c r="O296">
        <v>128</v>
      </c>
      <c r="P296">
        <v>41.7</v>
      </c>
      <c r="Q296">
        <v>100</v>
      </c>
      <c r="R296">
        <v>3</v>
      </c>
      <c r="S296" t="s">
        <v>196</v>
      </c>
      <c r="T296" t="s">
        <v>196</v>
      </c>
      <c r="X296" s="193"/>
      <c r="Y296" s="193"/>
      <c r="Z296" s="43"/>
      <c r="AA296" s="43"/>
      <c r="AC296" s="468"/>
      <c r="AD296" s="468"/>
      <c r="AE296" s="468"/>
      <c r="AF296" s="468"/>
      <c r="AG296" s="468"/>
    </row>
    <row r="297" spans="1:33">
      <c r="A297" s="85">
        <v>45904</v>
      </c>
      <c r="B297">
        <v>27</v>
      </c>
      <c r="C297" t="s">
        <v>2051</v>
      </c>
      <c r="E297" t="s">
        <v>2195</v>
      </c>
      <c r="H297" s="175">
        <v>0.37659999999999999</v>
      </c>
      <c r="I297">
        <v>0.37872</v>
      </c>
      <c r="J297">
        <v>-2.1200000000000108E-3</v>
      </c>
      <c r="K297">
        <v>-7.5204990410790433</v>
      </c>
      <c r="L297" s="391" t="e">
        <v>#DIV/0!</v>
      </c>
      <c r="M297">
        <v>-1.7667843463780274E-2</v>
      </c>
      <c r="N297" t="e">
        <v>#DIV/0!</v>
      </c>
      <c r="O297">
        <v>128</v>
      </c>
      <c r="P297">
        <v>41.7</v>
      </c>
      <c r="Q297">
        <v>100</v>
      </c>
      <c r="R297">
        <v>3</v>
      </c>
      <c r="S297" t="s">
        <v>196</v>
      </c>
      <c r="T297" t="s">
        <v>196</v>
      </c>
      <c r="X297" s="193"/>
      <c r="Y297" s="193"/>
      <c r="Z297" s="43"/>
      <c r="AA297" s="43"/>
      <c r="AC297" s="468"/>
      <c r="AD297" s="468"/>
      <c r="AE297" s="468"/>
      <c r="AF297" s="468"/>
      <c r="AG297" s="468"/>
    </row>
    <row r="298" spans="1:33">
      <c r="A298" s="85">
        <v>45904</v>
      </c>
      <c r="B298">
        <v>28</v>
      </c>
      <c r="C298" t="s">
        <v>2052</v>
      </c>
      <c r="H298" s="175">
        <v>0.27189999999999998</v>
      </c>
      <c r="I298">
        <v>0.37872</v>
      </c>
      <c r="J298">
        <v>-0.10682000000000003</v>
      </c>
      <c r="K298">
        <v>-8.4046525191121528</v>
      </c>
      <c r="L298" s="391" t="e">
        <v>#DIV/0!</v>
      </c>
      <c r="M298">
        <v>-0.8902259616985847</v>
      </c>
      <c r="N298" t="e">
        <v>#DIV/0!</v>
      </c>
      <c r="O298">
        <v>128</v>
      </c>
      <c r="P298">
        <v>41.7</v>
      </c>
      <c r="Q298">
        <v>100</v>
      </c>
      <c r="R298">
        <v>3</v>
      </c>
      <c r="S298" t="s">
        <v>196</v>
      </c>
      <c r="T298" t="s">
        <v>196</v>
      </c>
      <c r="X298" s="193"/>
      <c r="Y298" s="193"/>
      <c r="Z298" s="43"/>
      <c r="AA298" s="43"/>
      <c r="AC298" s="468"/>
      <c r="AD298" s="468"/>
      <c r="AE298" s="468"/>
      <c r="AF298" s="468"/>
      <c r="AG298" s="468"/>
    </row>
    <row r="299" spans="1:33">
      <c r="A299" s="85">
        <v>45904</v>
      </c>
      <c r="B299">
        <v>29</v>
      </c>
      <c r="C299" t="s">
        <v>2201</v>
      </c>
      <c r="D299">
        <v>1961.7</v>
      </c>
      <c r="G299">
        <v>1961.3076600000002</v>
      </c>
      <c r="H299" s="175">
        <v>231.78360000000001</v>
      </c>
      <c r="I299">
        <v>0.37872</v>
      </c>
      <c r="J299">
        <v>231.40488000000002</v>
      </c>
      <c r="K299">
        <v>1946.6275801490633</v>
      </c>
      <c r="L299" s="391">
        <v>99.251515703001076</v>
      </c>
      <c r="M299">
        <v>1928.5024512239804</v>
      </c>
      <c r="N299">
        <v>98.307715309373521</v>
      </c>
      <c r="O299">
        <v>128</v>
      </c>
      <c r="P299">
        <v>41.7</v>
      </c>
      <c r="Q299">
        <v>100</v>
      </c>
      <c r="R299">
        <v>3</v>
      </c>
      <c r="S299" t="s">
        <v>196</v>
      </c>
      <c r="T299" t="s">
        <v>196</v>
      </c>
      <c r="X299" s="193"/>
      <c r="Y299" s="193"/>
      <c r="Z299" s="43"/>
      <c r="AA299" s="43"/>
      <c r="AC299" s="468"/>
      <c r="AD299" s="468"/>
      <c r="AE299" s="468"/>
      <c r="AF299" s="468"/>
      <c r="AG299" s="468"/>
    </row>
    <row r="300" spans="1:33" ht="15.75">
      <c r="A300" s="85">
        <v>45904</v>
      </c>
      <c r="B300">
        <v>30</v>
      </c>
      <c r="C300" t="s">
        <v>2053</v>
      </c>
      <c r="H300" s="175">
        <v>0.36330000000000001</v>
      </c>
      <c r="I300">
        <v>0.37872</v>
      </c>
      <c r="J300">
        <v>-1.5419999999999989E-2</v>
      </c>
      <c r="K300">
        <v>-7.6328127111634778</v>
      </c>
      <c r="L300" s="391" t="e">
        <v>#DIV/0!</v>
      </c>
      <c r="M300">
        <v>-0.12850855953372181</v>
      </c>
      <c r="N300" t="e">
        <v>#DIV/0!</v>
      </c>
      <c r="O300">
        <v>128</v>
      </c>
      <c r="P300">
        <v>41.7</v>
      </c>
      <c r="Q300">
        <v>100</v>
      </c>
      <c r="R300">
        <v>3</v>
      </c>
      <c r="S300" t="s">
        <v>196</v>
      </c>
      <c r="T300" t="s">
        <v>196</v>
      </c>
      <c r="X300" s="193"/>
      <c r="Y300" s="193"/>
      <c r="Z300" s="43"/>
      <c r="AA300" s="51"/>
      <c r="AC300" s="468"/>
      <c r="AD300" s="468"/>
      <c r="AE300" s="468"/>
      <c r="AF300" s="468"/>
      <c r="AG300" s="468"/>
    </row>
    <row r="301" spans="1:33" ht="15.75">
      <c r="X301" s="193"/>
      <c r="Y301" s="193"/>
      <c r="Z301" s="43"/>
      <c r="AA301" s="425"/>
      <c r="AC301" s="468"/>
      <c r="AD301" s="468"/>
      <c r="AE301" s="468"/>
      <c r="AF301" s="468"/>
      <c r="AG301" s="468"/>
    </row>
    <row r="302" spans="1:33" ht="15.75">
      <c r="A302" s="85" t="s">
        <v>2202</v>
      </c>
      <c r="X302" s="43"/>
      <c r="Y302" s="425"/>
      <c r="Z302" s="51"/>
      <c r="AA302" s="43"/>
      <c r="AC302" s="468"/>
      <c r="AD302" s="468"/>
      <c r="AE302" s="468"/>
      <c r="AF302" s="468"/>
      <c r="AG302" s="468"/>
    </row>
    <row r="303" spans="1:33" ht="15.75">
      <c r="A303" s="85" t="s">
        <v>2035</v>
      </c>
      <c r="X303" s="43"/>
      <c r="Y303" s="425"/>
      <c r="Z303" s="51"/>
      <c r="AA303" s="43"/>
      <c r="AC303" s="468"/>
      <c r="AD303" s="468"/>
      <c r="AE303" s="468"/>
      <c r="AF303" s="468"/>
      <c r="AG303" s="468"/>
    </row>
    <row r="304" spans="1:33">
      <c r="A304" s="85" t="s">
        <v>2203</v>
      </c>
      <c r="AA304" s="43"/>
      <c r="AC304" s="468"/>
      <c r="AD304" s="468"/>
      <c r="AE304" s="468"/>
      <c r="AF304" s="468"/>
      <c r="AG304" s="468"/>
    </row>
    <row r="305" spans="1:33">
      <c r="A305" s="85">
        <v>45905</v>
      </c>
      <c r="B305">
        <v>1</v>
      </c>
      <c r="C305" t="s">
        <v>2040</v>
      </c>
      <c r="H305" s="175">
        <v>0</v>
      </c>
      <c r="AA305" s="43"/>
      <c r="AC305" s="468"/>
      <c r="AD305" s="468"/>
      <c r="AE305" s="468"/>
      <c r="AF305" s="468"/>
      <c r="AG305" s="468"/>
    </row>
    <row r="306" spans="1:33">
      <c r="A306" s="85">
        <v>45905</v>
      </c>
      <c r="B306">
        <v>2</v>
      </c>
      <c r="C306" t="s">
        <v>2041</v>
      </c>
      <c r="H306" s="175">
        <v>0.40649999999999997</v>
      </c>
      <c r="AA306" s="43"/>
      <c r="AC306" s="468"/>
      <c r="AD306" s="468"/>
      <c r="AE306" s="468"/>
      <c r="AF306" s="468"/>
      <c r="AG306" s="468"/>
    </row>
    <row r="307" spans="1:33">
      <c r="A307" s="85">
        <v>45905</v>
      </c>
      <c r="B307">
        <v>3</v>
      </c>
      <c r="C307" t="s">
        <v>2042</v>
      </c>
      <c r="G307">
        <v>0</v>
      </c>
      <c r="H307" s="175">
        <v>0.35899999999999999</v>
      </c>
      <c r="I307">
        <v>0.43867777777777778</v>
      </c>
      <c r="J307">
        <v>0.43867777777777778</v>
      </c>
      <c r="AA307" s="43"/>
      <c r="AC307" s="468"/>
      <c r="AD307" s="468"/>
      <c r="AE307" s="468"/>
      <c r="AF307" s="468"/>
      <c r="AG307" s="468"/>
    </row>
    <row r="308" spans="1:33">
      <c r="A308" s="85">
        <v>45905</v>
      </c>
      <c r="B308">
        <v>4</v>
      </c>
      <c r="C308" t="s">
        <v>2214</v>
      </c>
      <c r="D308">
        <v>436.6</v>
      </c>
      <c r="G308">
        <v>436.51268000000005</v>
      </c>
      <c r="H308" s="175">
        <v>50.6738</v>
      </c>
      <c r="I308">
        <v>0.43867777777777778</v>
      </c>
      <c r="J308">
        <v>50.235122222222223</v>
      </c>
      <c r="K308">
        <v>425.15107591600292</v>
      </c>
      <c r="L308" s="391">
        <v>97.397188076186666</v>
      </c>
      <c r="M308">
        <v>418.65390368211678</v>
      </c>
      <c r="N308">
        <v>95.908761157205504</v>
      </c>
      <c r="O308">
        <v>128</v>
      </c>
      <c r="P308">
        <v>41.7</v>
      </c>
      <c r="Q308">
        <v>100</v>
      </c>
      <c r="R308">
        <v>3</v>
      </c>
      <c r="S308" t="s">
        <v>196</v>
      </c>
      <c r="T308" t="s">
        <v>196</v>
      </c>
      <c r="X308" s="423">
        <f>A309</f>
        <v>45905</v>
      </c>
      <c r="Y308" s="43"/>
      <c r="Z308" s="43"/>
      <c r="AA308" s="43"/>
      <c r="AC308" s="468"/>
      <c r="AD308" s="468"/>
      <c r="AE308" s="468"/>
      <c r="AF308" s="468"/>
      <c r="AG308" s="468"/>
    </row>
    <row r="309" spans="1:33">
      <c r="A309" s="85">
        <v>45905</v>
      </c>
      <c r="B309">
        <v>5</v>
      </c>
      <c r="C309" t="s">
        <v>2215</v>
      </c>
      <c r="D309">
        <v>964</v>
      </c>
      <c r="G309">
        <v>963.80719999999997</v>
      </c>
      <c r="H309" s="175">
        <v>113.0341</v>
      </c>
      <c r="I309">
        <v>0.43867777777777778</v>
      </c>
      <c r="J309">
        <v>112.59542222222221</v>
      </c>
      <c r="K309">
        <v>959.66189421365107</v>
      </c>
      <c r="L309" s="391">
        <v>99.569903006913734</v>
      </c>
      <c r="M309">
        <v>938.35768611342394</v>
      </c>
      <c r="N309">
        <v>97.359480829093627</v>
      </c>
      <c r="O309">
        <v>128</v>
      </c>
      <c r="P309">
        <v>41.7</v>
      </c>
      <c r="Q309">
        <v>100</v>
      </c>
      <c r="R309">
        <v>3</v>
      </c>
      <c r="S309" t="s">
        <v>196</v>
      </c>
      <c r="T309" t="s">
        <v>196</v>
      </c>
      <c r="X309" s="193">
        <f>((J307-INDEX(LINEST($H$307:$H$312,$G$307:$G$312),2))/INDEX(LINEST($H$307:$H$312,$G$307:$G$312),1)/100.09)*12.01</f>
        <v>-0.41494768302353269</v>
      </c>
      <c r="Y309" s="193">
        <f>(J307-X309)^2</f>
        <v>0.72867642732824978</v>
      </c>
      <c r="Z309" s="43"/>
      <c r="AA309" s="43"/>
      <c r="AC309" s="468"/>
      <c r="AD309" s="468"/>
      <c r="AE309" s="468"/>
      <c r="AF309" s="468"/>
      <c r="AG309" s="468"/>
    </row>
    <row r="310" spans="1:33">
      <c r="A310" s="85">
        <v>45905</v>
      </c>
      <c r="B310">
        <v>6</v>
      </c>
      <c r="C310" t="s">
        <v>2216</v>
      </c>
      <c r="D310">
        <v>1961.8</v>
      </c>
      <c r="G310">
        <v>1961.4076399999999</v>
      </c>
      <c r="H310" s="175">
        <v>232.7732</v>
      </c>
      <c r="I310">
        <v>0.43867777777777778</v>
      </c>
      <c r="J310">
        <v>232.33452222222223</v>
      </c>
      <c r="K310">
        <v>1985.9854417787515</v>
      </c>
      <c r="L310" s="391">
        <v>101.25306954441922</v>
      </c>
      <c r="M310">
        <v>1936.2499857803684</v>
      </c>
      <c r="N310">
        <v>98.717367379091499</v>
      </c>
      <c r="O310">
        <v>128</v>
      </c>
      <c r="P310">
        <v>41.7</v>
      </c>
      <c r="Q310">
        <v>100</v>
      </c>
      <c r="R310">
        <v>3</v>
      </c>
      <c r="S310" t="s">
        <v>196</v>
      </c>
      <c r="T310" t="s">
        <v>196</v>
      </c>
      <c r="X310" s="193">
        <f t="shared" ref="X310:X314" si="18">((J308-INDEX(LINEST($H$307:$H$312,$G$307:$G$312),2))/INDEX(LINEST($H$307:$H$312,$G$307:$G$312),1)/100.09)*12.01</f>
        <v>50.761230896541043</v>
      </c>
      <c r="Y310" s="193">
        <f t="shared" ref="Y310:Y314" si="19">(J308-X310)^2</f>
        <v>0.27679033719350637</v>
      </c>
      <c r="Z310" s="43"/>
      <c r="AA310" s="43"/>
      <c r="AC310" s="468"/>
      <c r="AD310" s="468"/>
      <c r="AE310" s="468"/>
      <c r="AF310" s="468"/>
      <c r="AG310" s="468"/>
    </row>
    <row r="311" spans="1:33">
      <c r="A311" s="85">
        <v>45905</v>
      </c>
      <c r="B311">
        <v>7</v>
      </c>
      <c r="C311" t="s">
        <v>2217</v>
      </c>
      <c r="D311">
        <v>2928.4</v>
      </c>
      <c r="G311">
        <v>2927.81432</v>
      </c>
      <c r="H311" s="175">
        <v>346.29539999999997</v>
      </c>
      <c r="I311">
        <v>0.43867777777777778</v>
      </c>
      <c r="J311">
        <v>345.85672222222217</v>
      </c>
      <c r="K311">
        <v>2959.0218770901474</v>
      </c>
      <c r="L311" s="391">
        <v>101.06589946216764</v>
      </c>
      <c r="M311">
        <v>2882.3313344897765</v>
      </c>
      <c r="N311">
        <v>98.44652083298017</v>
      </c>
      <c r="O311">
        <v>128</v>
      </c>
      <c r="P311">
        <v>41.7</v>
      </c>
      <c r="Q311">
        <v>100</v>
      </c>
      <c r="R311">
        <v>3</v>
      </c>
      <c r="S311" t="s">
        <v>196</v>
      </c>
      <c r="T311" t="s">
        <v>196</v>
      </c>
      <c r="X311" s="193">
        <f t="shared" si="18"/>
        <v>114.84937784517855</v>
      </c>
      <c r="Y311" s="193">
        <f t="shared" si="19"/>
        <v>5.0803159502565034</v>
      </c>
      <c r="Z311" s="43"/>
      <c r="AA311" s="43"/>
      <c r="AC311" s="468"/>
      <c r="AD311" s="468"/>
      <c r="AE311" s="468"/>
      <c r="AF311" s="468"/>
      <c r="AG311" s="468"/>
    </row>
    <row r="312" spans="1:33">
      <c r="A312" s="85">
        <v>45905</v>
      </c>
      <c r="B312">
        <v>8</v>
      </c>
      <c r="C312" t="s">
        <v>2218</v>
      </c>
      <c r="D312">
        <v>3384</v>
      </c>
      <c r="G312">
        <v>3383.3232000000003</v>
      </c>
      <c r="H312" s="175">
        <v>391.29349999999999</v>
      </c>
      <c r="I312">
        <v>0.43867777777777778</v>
      </c>
      <c r="J312">
        <v>390.8548222222222</v>
      </c>
      <c r="K312">
        <v>3344.7155195652385</v>
      </c>
      <c r="L312" s="391">
        <v>98.8588828748385</v>
      </c>
      <c r="M312">
        <v>3257.3404792857805</v>
      </c>
      <c r="N312">
        <v>96.276361634199773</v>
      </c>
      <c r="O312">
        <v>128</v>
      </c>
      <c r="P312">
        <v>41.7</v>
      </c>
      <c r="Q312">
        <v>100</v>
      </c>
      <c r="R312">
        <v>3</v>
      </c>
      <c r="S312" t="s">
        <v>196</v>
      </c>
      <c r="T312" t="s">
        <v>196</v>
      </c>
      <c r="X312" s="193">
        <f t="shared" si="18"/>
        <v>237.90614691616773</v>
      </c>
      <c r="Y312" s="193">
        <f t="shared" si="19"/>
        <v>31.043001730183228</v>
      </c>
      <c r="Z312" s="43"/>
      <c r="AA312" s="43"/>
      <c r="AC312" s="468"/>
      <c r="AD312" s="468"/>
      <c r="AE312" s="468"/>
      <c r="AF312" s="468"/>
      <c r="AG312" s="468"/>
    </row>
    <row r="313" spans="1:33" ht="15.75">
      <c r="A313" s="85">
        <v>45905</v>
      </c>
      <c r="B313">
        <v>9</v>
      </c>
      <c r="C313" t="s">
        <v>2045</v>
      </c>
      <c r="H313" s="175">
        <v>0.96230000000000004</v>
      </c>
      <c r="I313">
        <v>0.43867777777777778</v>
      </c>
      <c r="J313">
        <v>0.52362222222222221</v>
      </c>
      <c r="K313">
        <v>-0.94268155154516542</v>
      </c>
      <c r="L313" s="391" t="e">
        <v>#DIV/0!</v>
      </c>
      <c r="M313">
        <v>4.3638091775372372</v>
      </c>
      <c r="N313" t="e">
        <v>#DIV/0!</v>
      </c>
      <c r="O313">
        <v>128</v>
      </c>
      <c r="P313">
        <v>41.7</v>
      </c>
      <c r="Q313">
        <v>100</v>
      </c>
      <c r="R313">
        <v>3</v>
      </c>
      <c r="S313" t="s">
        <v>196</v>
      </c>
      <c r="T313" t="s">
        <v>196</v>
      </c>
      <c r="X313" s="193">
        <f t="shared" si="18"/>
        <v>354.57376133644181</v>
      </c>
      <c r="Y313" s="193">
        <f t="shared" si="19"/>
        <v>75.986770918834964</v>
      </c>
      <c r="Z313" s="43"/>
      <c r="AA313" s="51" t="s">
        <v>2039</v>
      </c>
      <c r="AC313" s="468"/>
      <c r="AD313" s="468"/>
      <c r="AE313" s="468"/>
      <c r="AF313" s="468"/>
      <c r="AG313" s="468"/>
    </row>
    <row r="314" spans="1:33" ht="15.75">
      <c r="A314" s="85">
        <v>45905</v>
      </c>
      <c r="B314">
        <v>10</v>
      </c>
      <c r="C314" t="s">
        <v>2047</v>
      </c>
      <c r="H314" s="175">
        <v>0.4148</v>
      </c>
      <c r="I314">
        <v>0.43867777777777778</v>
      </c>
      <c r="J314">
        <v>-2.3877777777777776E-2</v>
      </c>
      <c r="K314">
        <v>-5.635485675610675</v>
      </c>
      <c r="L314" s="391" t="e">
        <v>#DIV/0!</v>
      </c>
      <c r="M314">
        <v>-0.19899473586825794</v>
      </c>
      <c r="N314" t="e">
        <v>#DIV/0!</v>
      </c>
      <c r="O314">
        <v>128</v>
      </c>
      <c r="P314">
        <v>41.7</v>
      </c>
      <c r="Q314">
        <v>100</v>
      </c>
      <c r="R314">
        <v>3</v>
      </c>
      <c r="S314" t="s">
        <v>196</v>
      </c>
      <c r="T314" t="s">
        <v>196</v>
      </c>
      <c r="X314" s="193">
        <f t="shared" si="18"/>
        <v>400.81864542470777</v>
      </c>
      <c r="Y314" s="193">
        <f t="shared" si="19"/>
        <v>99.27777281038982</v>
      </c>
      <c r="Z314" s="43"/>
      <c r="AA314" s="425">
        <f>(Y315/$AL$15)*100</f>
        <v>10.430794722164681</v>
      </c>
      <c r="AC314" s="468"/>
      <c r="AD314" s="468"/>
      <c r="AE314" s="468"/>
      <c r="AF314" s="468"/>
      <c r="AG314" s="468"/>
    </row>
    <row r="315" spans="1:33" ht="15.75">
      <c r="A315" s="85">
        <v>45905</v>
      </c>
      <c r="B315">
        <v>11</v>
      </c>
      <c r="C315" t="s">
        <v>2055</v>
      </c>
      <c r="D315">
        <v>969.5</v>
      </c>
      <c r="H315" s="175">
        <v>93.232799999999997</v>
      </c>
      <c r="I315">
        <v>0.43867777777777778</v>
      </c>
      <c r="J315">
        <v>92.794122222222214</v>
      </c>
      <c r="K315">
        <v>789.93838316002848</v>
      </c>
      <c r="L315" s="391">
        <v>81.478946174319603</v>
      </c>
      <c r="M315">
        <v>773.33586121750386</v>
      </c>
      <c r="N315">
        <v>79.76646325090293</v>
      </c>
      <c r="O315">
        <v>128</v>
      </c>
      <c r="P315">
        <v>41.7</v>
      </c>
      <c r="Q315">
        <v>100</v>
      </c>
      <c r="R315">
        <v>3</v>
      </c>
      <c r="S315" t="s">
        <v>196</v>
      </c>
      <c r="T315" t="s">
        <v>196</v>
      </c>
      <c r="X315" s="43"/>
      <c r="Y315" s="425">
        <f>SQRT(SUM(Y309:Y314)/(6-2))</f>
        <v>7.2868602321951101</v>
      </c>
      <c r="Z315" s="51" t="s">
        <v>2044</v>
      </c>
      <c r="AA315" s="43"/>
      <c r="AC315" s="468"/>
      <c r="AD315" s="468"/>
      <c r="AE315" s="468"/>
      <c r="AF315" s="468"/>
      <c r="AG315" s="468"/>
    </row>
    <row r="316" spans="1:33" ht="15.75">
      <c r="A316" s="85">
        <v>45905</v>
      </c>
      <c r="B316">
        <v>12</v>
      </c>
      <c r="C316" t="s">
        <v>2055</v>
      </c>
      <c r="D316">
        <v>2126.8000000000002</v>
      </c>
      <c r="H316" s="175">
        <v>204.30250000000001</v>
      </c>
      <c r="I316">
        <v>0.43867777777777778</v>
      </c>
      <c r="J316">
        <v>203.86382222222224</v>
      </c>
      <c r="K316">
        <v>1741.9536273951317</v>
      </c>
      <c r="L316" s="391">
        <v>81.904910071239968</v>
      </c>
      <c r="M316">
        <v>1698.9783485613843</v>
      </c>
      <c r="N316">
        <v>79.884255621656209</v>
      </c>
      <c r="O316">
        <v>128</v>
      </c>
      <c r="P316">
        <v>41.7</v>
      </c>
      <c r="Q316">
        <v>100</v>
      </c>
      <c r="R316">
        <v>3</v>
      </c>
      <c r="S316" t="s">
        <v>196</v>
      </c>
      <c r="T316" t="s">
        <v>196</v>
      </c>
      <c r="X316" s="43"/>
      <c r="Y316" s="425">
        <f>(Y315/12.01)*100.09</f>
        <v>60.727880153239688</v>
      </c>
      <c r="Z316" s="51" t="s">
        <v>2046</v>
      </c>
      <c r="AA316" s="43"/>
      <c r="AC316" s="468"/>
      <c r="AD316" s="468"/>
      <c r="AE316" s="468"/>
      <c r="AF316" s="468"/>
      <c r="AG316" s="468"/>
    </row>
    <row r="317" spans="1:33">
      <c r="A317" s="85">
        <v>45905</v>
      </c>
      <c r="B317">
        <v>13</v>
      </c>
      <c r="C317" t="s">
        <v>2048</v>
      </c>
      <c r="D317">
        <v>961.1</v>
      </c>
      <c r="H317" s="175">
        <v>15.073</v>
      </c>
      <c r="I317">
        <v>0.43867777777777778</v>
      </c>
      <c r="J317">
        <v>14.634322222222222</v>
      </c>
      <c r="K317">
        <v>120.00480913968987</v>
      </c>
      <c r="L317" s="391">
        <v>12.486193854925592</v>
      </c>
      <c r="M317">
        <v>121.96080859468962</v>
      </c>
      <c r="N317">
        <v>12.689710601882179</v>
      </c>
      <c r="O317">
        <v>128</v>
      </c>
      <c r="P317">
        <v>41.7</v>
      </c>
      <c r="Q317">
        <v>100</v>
      </c>
      <c r="R317">
        <v>3</v>
      </c>
      <c r="S317" t="s">
        <v>196</v>
      </c>
      <c r="T317" t="s">
        <v>196</v>
      </c>
      <c r="AA317" s="43"/>
      <c r="AC317" s="468"/>
      <c r="AD317" s="468"/>
      <c r="AE317" s="468"/>
      <c r="AF317" s="468"/>
      <c r="AG317" s="468"/>
    </row>
    <row r="318" spans="1:33">
      <c r="A318" s="85">
        <v>45905</v>
      </c>
      <c r="B318">
        <v>14</v>
      </c>
      <c r="C318" t="s">
        <v>2048</v>
      </c>
      <c r="D318">
        <v>2024</v>
      </c>
      <c r="H318" s="175">
        <v>30.855399999999999</v>
      </c>
      <c r="I318">
        <v>0.43867777777777778</v>
      </c>
      <c r="J318">
        <v>30.416722222222223</v>
      </c>
      <c r="K318">
        <v>255.28099508973827</v>
      </c>
      <c r="L318" s="391">
        <v>12.612697385856633</v>
      </c>
      <c r="M318">
        <v>253.48956929410679</v>
      </c>
      <c r="N318">
        <v>12.524188206230571</v>
      </c>
      <c r="O318">
        <v>128</v>
      </c>
      <c r="P318">
        <v>41.7</v>
      </c>
      <c r="Q318">
        <v>100</v>
      </c>
      <c r="R318">
        <v>3</v>
      </c>
      <c r="S318" t="s">
        <v>196</v>
      </c>
      <c r="T318" t="s">
        <v>196</v>
      </c>
      <c r="AA318" s="43"/>
      <c r="AC318" s="468"/>
      <c r="AD318" s="468"/>
      <c r="AE318" s="468"/>
      <c r="AF318" s="468"/>
      <c r="AG318" s="468"/>
    </row>
    <row r="319" spans="1:33">
      <c r="A319" s="85">
        <v>45905</v>
      </c>
      <c r="B319">
        <v>15</v>
      </c>
      <c r="C319" t="s">
        <v>2049</v>
      </c>
      <c r="H319" s="175">
        <v>0.2243</v>
      </c>
      <c r="I319">
        <v>0.43867777777777778</v>
      </c>
      <c r="J319">
        <v>-0.21437777777777778</v>
      </c>
      <c r="K319">
        <v>-7.2683243708334686</v>
      </c>
      <c r="L319" s="391" t="e">
        <v>#DIV/0!</v>
      </c>
      <c r="M319">
        <v>-1.7866004810805809</v>
      </c>
      <c r="N319" t="e">
        <v>#DIV/0!</v>
      </c>
      <c r="O319">
        <v>128</v>
      </c>
      <c r="P319">
        <v>41.7</v>
      </c>
      <c r="Q319">
        <v>100</v>
      </c>
      <c r="R319">
        <v>3</v>
      </c>
      <c r="S319" t="s">
        <v>196</v>
      </c>
      <c r="T319" t="s">
        <v>196</v>
      </c>
      <c r="AA319" s="43"/>
      <c r="AC319" s="468"/>
      <c r="AD319" s="468"/>
      <c r="AE319" s="468"/>
      <c r="AF319" s="468"/>
      <c r="AG319" s="468"/>
    </row>
    <row r="320" spans="1:33">
      <c r="A320" s="438">
        <v>45905</v>
      </c>
      <c r="B320" s="439">
        <v>16</v>
      </c>
      <c r="C320" s="439" t="s">
        <v>2204</v>
      </c>
      <c r="D320" s="439">
        <v>2400.6</v>
      </c>
      <c r="E320" s="439"/>
      <c r="F320" s="439"/>
      <c r="G320" s="439"/>
      <c r="H320" s="439">
        <v>204.22149999999999</v>
      </c>
      <c r="I320" s="439">
        <v>0.43867777777777778</v>
      </c>
      <c r="J320" s="439">
        <v>203.78282222222222</v>
      </c>
      <c r="K320" s="439">
        <v>1741.2593495247218</v>
      </c>
      <c r="L320" s="439">
        <v>72.534339312035399</v>
      </c>
      <c r="M320" s="439">
        <v>1698.3033035988528</v>
      </c>
      <c r="N320" s="439">
        <v>70.744951412099184</v>
      </c>
      <c r="O320">
        <v>128</v>
      </c>
      <c r="P320">
        <v>41.7</v>
      </c>
      <c r="Q320">
        <v>100</v>
      </c>
      <c r="R320">
        <v>3</v>
      </c>
      <c r="S320" t="s">
        <v>196</v>
      </c>
      <c r="T320" t="s">
        <v>196</v>
      </c>
      <c r="AA320" s="43"/>
      <c r="AC320" s="468"/>
      <c r="AD320" s="468"/>
      <c r="AE320" s="468"/>
      <c r="AF320" s="468"/>
      <c r="AG320" s="468"/>
    </row>
    <row r="321" spans="1:33">
      <c r="A321" s="205">
        <v>45905</v>
      </c>
      <c r="B321" s="204">
        <v>17</v>
      </c>
      <c r="C321" s="204" t="s">
        <v>2205</v>
      </c>
      <c r="D321" s="204">
        <v>2189.1999999999998</v>
      </c>
      <c r="E321" s="204"/>
      <c r="F321" s="204"/>
      <c r="G321" s="204"/>
      <c r="H321" s="204">
        <v>166.3021</v>
      </c>
      <c r="I321" s="204">
        <v>0.43867777777777778</v>
      </c>
      <c r="J321" s="204">
        <v>165.86342222222223</v>
      </c>
      <c r="K321" s="204">
        <v>1416.2395929912248</v>
      </c>
      <c r="L321" s="204">
        <v>64.69210638549356</v>
      </c>
      <c r="M321" s="204">
        <v>1382.2872548061803</v>
      </c>
      <c r="N321" s="204">
        <v>63.141204769147649</v>
      </c>
      <c r="O321">
        <v>128</v>
      </c>
      <c r="P321">
        <v>41.7</v>
      </c>
      <c r="Q321">
        <v>100</v>
      </c>
      <c r="R321">
        <v>3</v>
      </c>
      <c r="S321" t="s">
        <v>196</v>
      </c>
      <c r="T321" t="s">
        <v>196</v>
      </c>
      <c r="AA321" s="43"/>
      <c r="AC321" s="468"/>
      <c r="AD321" s="468"/>
      <c r="AE321" s="468"/>
      <c r="AF321" s="468"/>
      <c r="AG321" s="468"/>
    </row>
    <row r="322" spans="1:33">
      <c r="A322" s="201">
        <v>45905</v>
      </c>
      <c r="B322" s="200">
        <v>18</v>
      </c>
      <c r="C322" s="200" t="s">
        <v>2206</v>
      </c>
      <c r="D322" s="200">
        <v>3064.9</v>
      </c>
      <c r="E322" s="200"/>
      <c r="F322" s="200"/>
      <c r="G322" s="200"/>
      <c r="H322" s="200">
        <v>216.44370000000001</v>
      </c>
      <c r="I322" s="200">
        <v>0.43867777777777778</v>
      </c>
      <c r="J322" s="200">
        <v>216.00502222222224</v>
      </c>
      <c r="K322" s="200">
        <v>1846.0198802373311</v>
      </c>
      <c r="L322" s="200">
        <v>60.230998735271335</v>
      </c>
      <c r="M322" s="200">
        <v>1800.1617547229162</v>
      </c>
      <c r="N322" s="200">
        <v>58.734763115368075</v>
      </c>
      <c r="O322">
        <v>128</v>
      </c>
      <c r="P322">
        <v>41.7</v>
      </c>
      <c r="Q322">
        <v>100</v>
      </c>
      <c r="R322">
        <v>3</v>
      </c>
      <c r="S322" t="s">
        <v>196</v>
      </c>
      <c r="T322" t="s">
        <v>196</v>
      </c>
      <c r="AA322" s="43"/>
      <c r="AC322" s="468"/>
      <c r="AD322" s="468"/>
      <c r="AE322" s="468"/>
      <c r="AF322" s="468"/>
      <c r="AG322" s="468"/>
    </row>
    <row r="323" spans="1:33">
      <c r="A323" s="333">
        <v>45905</v>
      </c>
      <c r="B323" s="331">
        <v>19</v>
      </c>
      <c r="C323" s="331" t="s">
        <v>2207</v>
      </c>
      <c r="D323" s="331">
        <v>2104.6999999999998</v>
      </c>
      <c r="E323" s="331"/>
      <c r="F323" s="331"/>
      <c r="G323" s="331"/>
      <c r="H323" s="331">
        <v>148.06389999999999</v>
      </c>
      <c r="I323" s="331">
        <v>0.43867777777777778</v>
      </c>
      <c r="J323" s="331">
        <v>147.62522222222222</v>
      </c>
      <c r="K323" s="331">
        <v>1259.9139305701624</v>
      </c>
      <c r="L323" s="331">
        <v>59.861924766957877</v>
      </c>
      <c r="M323" s="331">
        <v>1230.2921309094274</v>
      </c>
      <c r="N323" s="331">
        <v>58.454512800371909</v>
      </c>
      <c r="O323">
        <v>128</v>
      </c>
      <c r="P323">
        <v>41.7</v>
      </c>
      <c r="Q323">
        <v>100</v>
      </c>
      <c r="R323">
        <v>3</v>
      </c>
      <c r="S323" t="s">
        <v>196</v>
      </c>
      <c r="T323" t="s">
        <v>196</v>
      </c>
      <c r="AA323" s="43"/>
      <c r="AC323" s="468"/>
      <c r="AD323" s="468"/>
      <c r="AE323" s="468"/>
      <c r="AF323" s="468"/>
      <c r="AG323" s="468"/>
    </row>
    <row r="324" spans="1:33">
      <c r="A324" s="285">
        <v>45905</v>
      </c>
      <c r="B324" s="284">
        <v>20</v>
      </c>
      <c r="C324" s="284" t="s">
        <v>2208</v>
      </c>
      <c r="D324" s="284">
        <v>3177.9</v>
      </c>
      <c r="E324" s="284"/>
      <c r="F324" s="284"/>
      <c r="G324" s="284"/>
      <c r="H324" s="284">
        <v>258.94490000000002</v>
      </c>
      <c r="I324" s="284">
        <v>0.43867777777777778</v>
      </c>
      <c r="J324" s="284">
        <v>258.50622222222222</v>
      </c>
      <c r="K324" s="284">
        <v>2210.3117645071629</v>
      </c>
      <c r="L324" s="284">
        <v>69.552590217035231</v>
      </c>
      <c r="M324" s="284">
        <v>2154.3620135072624</v>
      </c>
      <c r="N324" s="284">
        <v>67.792001431991636</v>
      </c>
      <c r="O324">
        <v>128</v>
      </c>
      <c r="P324">
        <v>41.7</v>
      </c>
      <c r="Q324">
        <v>100</v>
      </c>
      <c r="R324">
        <v>3</v>
      </c>
      <c r="S324" t="s">
        <v>196</v>
      </c>
      <c r="T324" t="s">
        <v>196</v>
      </c>
      <c r="AA324" s="43"/>
      <c r="AC324" s="468"/>
      <c r="AD324" s="468"/>
      <c r="AE324" s="468"/>
      <c r="AF324" s="468"/>
      <c r="AG324" s="468"/>
    </row>
    <row r="325" spans="1:33">
      <c r="A325" s="85">
        <v>45905</v>
      </c>
      <c r="B325">
        <v>21</v>
      </c>
      <c r="C325" t="s">
        <v>2050</v>
      </c>
      <c r="H325" s="175">
        <v>0.31819999999999998</v>
      </c>
      <c r="I325">
        <v>0.43867777777777778</v>
      </c>
      <c r="J325">
        <v>-0.12047777777777779</v>
      </c>
      <c r="K325">
        <v>-6.4634763210622337</v>
      </c>
      <c r="L325" s="391" t="e">
        <v>#DIV/0!</v>
      </c>
      <c r="M325">
        <v>-1.00404835784994</v>
      </c>
      <c r="N325" t="e">
        <v>#DIV/0!</v>
      </c>
      <c r="O325">
        <v>128</v>
      </c>
      <c r="P325">
        <v>41.7</v>
      </c>
      <c r="Q325">
        <v>100</v>
      </c>
      <c r="R325">
        <v>3</v>
      </c>
      <c r="S325" t="s">
        <v>196</v>
      </c>
      <c r="T325" t="s">
        <v>196</v>
      </c>
      <c r="AA325" s="43"/>
      <c r="AC325" s="468"/>
      <c r="AD325" s="468"/>
      <c r="AE325" s="468"/>
      <c r="AF325" s="468"/>
      <c r="AG325" s="468"/>
    </row>
    <row r="326" spans="1:33">
      <c r="A326" s="438">
        <v>45905</v>
      </c>
      <c r="B326" s="439">
        <v>22</v>
      </c>
      <c r="C326" s="439" t="s">
        <v>2209</v>
      </c>
      <c r="D326" s="439">
        <v>2455.6</v>
      </c>
      <c r="E326" s="439"/>
      <c r="F326" s="439"/>
      <c r="G326" s="439"/>
      <c r="H326" s="439">
        <v>214.57589999999999</v>
      </c>
      <c r="I326" s="439">
        <v>0.43867777777777778</v>
      </c>
      <c r="J326" s="439">
        <v>214.13722222222222</v>
      </c>
      <c r="K326" s="439">
        <v>1830.0103468255875</v>
      </c>
      <c r="L326" s="439">
        <v>74.523959391822274</v>
      </c>
      <c r="M326" s="439">
        <v>1784.5957179202517</v>
      </c>
      <c r="N326" s="439">
        <v>72.674528340130792</v>
      </c>
      <c r="O326">
        <v>128</v>
      </c>
      <c r="P326">
        <v>41.7</v>
      </c>
      <c r="Q326">
        <v>100</v>
      </c>
      <c r="R326">
        <v>3</v>
      </c>
      <c r="S326" t="s">
        <v>196</v>
      </c>
      <c r="T326" t="s">
        <v>196</v>
      </c>
      <c r="AA326" s="43"/>
      <c r="AC326" s="468"/>
      <c r="AD326" s="468"/>
      <c r="AE326" s="468"/>
      <c r="AF326" s="468"/>
      <c r="AG326" s="468"/>
    </row>
    <row r="327" spans="1:33">
      <c r="A327" s="205">
        <v>45905</v>
      </c>
      <c r="B327" s="204">
        <v>23</v>
      </c>
      <c r="C327" s="204" t="s">
        <v>2210</v>
      </c>
      <c r="D327" s="204">
        <v>2492.9</v>
      </c>
      <c r="E327" s="204"/>
      <c r="F327" s="204"/>
      <c r="G327" s="204"/>
      <c r="H327" s="204">
        <v>188.6344</v>
      </c>
      <c r="I327" s="204">
        <v>0.43867777777777778</v>
      </c>
      <c r="J327" s="204">
        <v>188.19572222222223</v>
      </c>
      <c r="K327" s="204">
        <v>1607.657144662217</v>
      </c>
      <c r="L327" s="204">
        <v>64.489435784115571</v>
      </c>
      <c r="M327" s="204">
        <v>1568.4021513090945</v>
      </c>
      <c r="N327" s="204">
        <v>62.91476398207287</v>
      </c>
      <c r="O327">
        <v>128</v>
      </c>
      <c r="P327">
        <v>41.7</v>
      </c>
      <c r="Q327">
        <v>100</v>
      </c>
      <c r="R327">
        <v>3</v>
      </c>
      <c r="S327" t="s">
        <v>196</v>
      </c>
      <c r="T327" t="s">
        <v>196</v>
      </c>
      <c r="AA327" s="43"/>
      <c r="AC327" s="468"/>
      <c r="AD327" s="468"/>
      <c r="AE327" s="468"/>
      <c r="AF327" s="468"/>
      <c r="AG327" s="468"/>
    </row>
    <row r="328" spans="1:33">
      <c r="A328" s="201">
        <v>45905</v>
      </c>
      <c r="B328" s="200">
        <v>24</v>
      </c>
      <c r="C328" s="200" t="s">
        <v>2211</v>
      </c>
      <c r="D328" s="200">
        <v>2169.5</v>
      </c>
      <c r="E328" s="200"/>
      <c r="F328" s="200"/>
      <c r="G328" s="200"/>
      <c r="H328" s="200">
        <v>152.97239999999999</v>
      </c>
      <c r="I328" s="200">
        <v>0.43867777777777778</v>
      </c>
      <c r="J328" s="200">
        <v>152.53372222222222</v>
      </c>
      <c r="K328" s="200">
        <v>1301.9863123838165</v>
      </c>
      <c r="L328" s="200">
        <v>60.01319715989014</v>
      </c>
      <c r="M328" s="200">
        <v>1271.1990222499769</v>
      </c>
      <c r="N328" s="200">
        <v>58.59410104862765</v>
      </c>
      <c r="O328">
        <v>128</v>
      </c>
      <c r="P328">
        <v>41.7</v>
      </c>
      <c r="Q328">
        <v>100</v>
      </c>
      <c r="R328">
        <v>3</v>
      </c>
      <c r="S328" t="s">
        <v>196</v>
      </c>
      <c r="T328" t="s">
        <v>196</v>
      </c>
      <c r="X328" s="423"/>
      <c r="Y328" s="43"/>
      <c r="Z328" s="43"/>
      <c r="AA328" s="43"/>
      <c r="AC328" s="468"/>
      <c r="AD328" s="468"/>
      <c r="AE328" s="468"/>
      <c r="AF328" s="468"/>
      <c r="AG328" s="468"/>
    </row>
    <row r="329" spans="1:33">
      <c r="A329" s="333">
        <v>45905</v>
      </c>
      <c r="B329" s="331">
        <v>25</v>
      </c>
      <c r="C329" s="331" t="s">
        <v>2212</v>
      </c>
      <c r="D329" s="331">
        <v>2203.8000000000002</v>
      </c>
      <c r="E329" s="331"/>
      <c r="F329" s="331"/>
      <c r="G329" s="331"/>
      <c r="H329" s="331">
        <v>155.3441</v>
      </c>
      <c r="I329" s="331">
        <v>0.43867777777777778</v>
      </c>
      <c r="J329" s="331">
        <v>154.90542222222223</v>
      </c>
      <c r="K329" s="331">
        <v>1322.314939856047</v>
      </c>
      <c r="L329" s="331">
        <v>60.001585436793128</v>
      </c>
      <c r="M329" s="331">
        <v>1290.9645054306598</v>
      </c>
      <c r="N329" s="331">
        <v>58.579022843754409</v>
      </c>
      <c r="O329">
        <v>128</v>
      </c>
      <c r="P329">
        <v>41.7</v>
      </c>
      <c r="Q329">
        <v>100</v>
      </c>
      <c r="R329">
        <v>3</v>
      </c>
      <c r="S329" t="s">
        <v>196</v>
      </c>
      <c r="T329" t="s">
        <v>196</v>
      </c>
      <c r="X329" s="193"/>
      <c r="Y329" s="193"/>
      <c r="Z329" s="43"/>
      <c r="AA329" s="43"/>
      <c r="AC329" s="468"/>
      <c r="AD329" s="468"/>
      <c r="AE329" s="468"/>
      <c r="AF329" s="468"/>
      <c r="AG329" s="468"/>
    </row>
    <row r="330" spans="1:33">
      <c r="A330" s="285">
        <v>45905</v>
      </c>
      <c r="B330" s="284">
        <v>26</v>
      </c>
      <c r="C330" s="284" t="s">
        <v>2213</v>
      </c>
      <c r="D330" s="284">
        <v>2979.4</v>
      </c>
      <c r="E330" s="284"/>
      <c r="F330" s="284"/>
      <c r="G330" s="284"/>
      <c r="H330" s="284">
        <v>243.40010000000001</v>
      </c>
      <c r="I330" s="284">
        <v>0.43867777777777778</v>
      </c>
      <c r="J330" s="284">
        <v>242.96142222222224</v>
      </c>
      <c r="K330" s="284">
        <v>2077.0721269769833</v>
      </c>
      <c r="L330" s="284">
        <v>69.714443410652592</v>
      </c>
      <c r="M330" s="284">
        <v>2024.813384697937</v>
      </c>
      <c r="N330" s="284">
        <v>67.960441186075613</v>
      </c>
      <c r="O330">
        <v>128</v>
      </c>
      <c r="P330">
        <v>41.7</v>
      </c>
      <c r="Q330">
        <v>100</v>
      </c>
      <c r="R330">
        <v>3</v>
      </c>
      <c r="S330" t="s">
        <v>196</v>
      </c>
      <c r="T330" t="s">
        <v>196</v>
      </c>
      <c r="X330" s="193"/>
      <c r="Y330" s="193"/>
      <c r="Z330" s="43"/>
      <c r="AA330" s="43"/>
      <c r="AC330" s="468"/>
      <c r="AD330" s="468"/>
      <c r="AE330" s="468"/>
      <c r="AF330" s="468"/>
      <c r="AG330" s="468"/>
    </row>
    <row r="331" spans="1:33">
      <c r="A331" s="85">
        <v>45905</v>
      </c>
      <c r="B331">
        <v>27</v>
      </c>
      <c r="C331" t="s">
        <v>2051</v>
      </c>
      <c r="E331" t="s">
        <v>2195</v>
      </c>
      <c r="H331" s="175">
        <v>0.57040000000000002</v>
      </c>
      <c r="I331">
        <v>0.43867777777777778</v>
      </c>
      <c r="J331">
        <v>0.13172222222222224</v>
      </c>
      <c r="K331">
        <v>-4.3017864578853899</v>
      </c>
      <c r="L331" s="391" t="e">
        <v>#DIV/0!</v>
      </c>
      <c r="M331">
        <v>1.0977583032657972</v>
      </c>
      <c r="N331" t="e">
        <v>#DIV/0!</v>
      </c>
      <c r="O331">
        <v>128</v>
      </c>
      <c r="P331">
        <v>41.7</v>
      </c>
      <c r="Q331">
        <v>100</v>
      </c>
      <c r="R331">
        <v>3</v>
      </c>
      <c r="S331" t="s">
        <v>196</v>
      </c>
      <c r="T331" t="s">
        <v>196</v>
      </c>
      <c r="X331" s="193"/>
      <c r="Y331" s="193"/>
      <c r="Z331" s="43"/>
      <c r="AA331" s="43"/>
      <c r="AC331" s="468"/>
      <c r="AD331" s="468"/>
      <c r="AE331" s="468"/>
      <c r="AF331" s="468"/>
      <c r="AG331" s="468"/>
    </row>
    <row r="332" spans="1:33">
      <c r="A332" s="85">
        <v>45905</v>
      </c>
      <c r="B332">
        <v>28</v>
      </c>
      <c r="C332" t="s">
        <v>2052</v>
      </c>
      <c r="H332" s="175">
        <v>0.4204</v>
      </c>
      <c r="I332">
        <v>0.43867777777777778</v>
      </c>
      <c r="J332">
        <v>-1.8277777777777782E-2</v>
      </c>
      <c r="K332">
        <v>-5.5874862179033382</v>
      </c>
      <c r="L332" s="391" t="e">
        <v>#DIV/0!</v>
      </c>
      <c r="M332">
        <v>-0.15232496068091408</v>
      </c>
      <c r="N332" t="e">
        <v>#DIV/0!</v>
      </c>
      <c r="O332">
        <v>128</v>
      </c>
      <c r="P332">
        <v>41.7</v>
      </c>
      <c r="Q332">
        <v>100</v>
      </c>
      <c r="R332">
        <v>3</v>
      </c>
      <c r="S332" t="s">
        <v>196</v>
      </c>
      <c r="T332" t="s">
        <v>196</v>
      </c>
      <c r="X332" s="193"/>
      <c r="Y332" s="193"/>
      <c r="Z332" s="43"/>
      <c r="AA332" s="43"/>
      <c r="AC332" s="468"/>
      <c r="AD332" s="468"/>
      <c r="AE332" s="468"/>
      <c r="AF332" s="468"/>
      <c r="AG332" s="468"/>
    </row>
    <row r="333" spans="1:33" ht="15.75">
      <c r="A333" s="85">
        <v>45905</v>
      </c>
      <c r="B333">
        <v>29</v>
      </c>
      <c r="C333" t="s">
        <v>2219</v>
      </c>
      <c r="D333">
        <v>1966.7</v>
      </c>
      <c r="G333">
        <v>1966.3066600000002</v>
      </c>
      <c r="H333" s="175">
        <v>234.79310000000001</v>
      </c>
      <c r="I333">
        <v>0.43867777777777778</v>
      </c>
      <c r="J333">
        <v>234.35442222222224</v>
      </c>
      <c r="K333">
        <v>2003.2986747471532</v>
      </c>
      <c r="L333" s="391">
        <v>101.88129428128738</v>
      </c>
      <c r="M333">
        <v>1953.083607012675</v>
      </c>
      <c r="N333">
        <v>99.307652769241614</v>
      </c>
      <c r="O333">
        <v>128</v>
      </c>
      <c r="P333">
        <v>41.7</v>
      </c>
      <c r="Q333">
        <v>100</v>
      </c>
      <c r="R333">
        <v>3</v>
      </c>
      <c r="S333" t="s">
        <v>196</v>
      </c>
      <c r="T333" t="s">
        <v>196</v>
      </c>
      <c r="X333" s="193"/>
      <c r="Y333" s="193"/>
      <c r="Z333" s="43"/>
      <c r="AA333" s="51"/>
      <c r="AC333" s="468"/>
      <c r="AD333" s="468"/>
      <c r="AE333" s="468"/>
      <c r="AF333" s="468"/>
      <c r="AG333" s="468"/>
    </row>
    <row r="334" spans="1:33" ht="15.75">
      <c r="A334" s="85">
        <v>45905</v>
      </c>
      <c r="B334">
        <v>30</v>
      </c>
      <c r="C334" t="s">
        <v>2053</v>
      </c>
      <c r="H334" s="175">
        <v>0.2722</v>
      </c>
      <c r="I334">
        <v>0.43867777777777778</v>
      </c>
      <c r="J334">
        <v>-0.16647777777777778</v>
      </c>
      <c r="K334">
        <v>-6.8577575808010698</v>
      </c>
      <c r="L334" s="391" t="e">
        <v>#DIV/0!</v>
      </c>
      <c r="M334">
        <v>-1.3874072254602645</v>
      </c>
      <c r="N334" t="e">
        <v>#DIV/0!</v>
      </c>
      <c r="O334">
        <v>128</v>
      </c>
      <c r="P334">
        <v>41.7</v>
      </c>
      <c r="Q334">
        <v>100</v>
      </c>
      <c r="R334">
        <v>3</v>
      </c>
      <c r="S334" t="s">
        <v>196</v>
      </c>
      <c r="T334" t="s">
        <v>196</v>
      </c>
      <c r="X334" s="193"/>
      <c r="Y334" s="193"/>
      <c r="Z334" s="43"/>
      <c r="AA334" s="425"/>
      <c r="AC334" s="468"/>
      <c r="AD334" s="468"/>
      <c r="AE334" s="468"/>
      <c r="AF334" s="468"/>
      <c r="AG334" s="468"/>
    </row>
    <row r="335" spans="1:33" ht="15.75">
      <c r="X335" s="43"/>
      <c r="Y335" s="425"/>
      <c r="Z335" s="51"/>
      <c r="AA335" s="43"/>
      <c r="AC335" s="468"/>
      <c r="AD335" s="468"/>
      <c r="AE335" s="468"/>
      <c r="AF335" s="468"/>
      <c r="AG335" s="468"/>
    </row>
    <row r="336" spans="1:33" ht="15.75">
      <c r="A336" s="85" t="s">
        <v>2222</v>
      </c>
      <c r="X336" s="43"/>
      <c r="Y336" s="425"/>
      <c r="Z336" s="51"/>
      <c r="AA336" s="43"/>
      <c r="AC336" s="468"/>
      <c r="AD336" s="468"/>
      <c r="AE336" s="468"/>
      <c r="AF336" s="468"/>
      <c r="AG336" s="468"/>
    </row>
    <row r="337" spans="1:33">
      <c r="A337" s="85" t="s">
        <v>2035</v>
      </c>
      <c r="AA337" s="43"/>
      <c r="AC337" s="468"/>
      <c r="AD337" s="468"/>
      <c r="AE337" s="468"/>
      <c r="AF337" s="468"/>
      <c r="AG337" s="468"/>
    </row>
    <row r="338" spans="1:33">
      <c r="A338" s="85" t="s">
        <v>2223</v>
      </c>
      <c r="AA338" s="43"/>
      <c r="AC338" s="468"/>
      <c r="AD338" s="468"/>
      <c r="AE338" s="468"/>
      <c r="AF338" s="468"/>
      <c r="AG338" s="468"/>
    </row>
    <row r="339" spans="1:33">
      <c r="A339" s="85">
        <v>45909</v>
      </c>
      <c r="B339">
        <v>1</v>
      </c>
      <c r="C339" t="s">
        <v>2040</v>
      </c>
      <c r="H339" s="175">
        <v>0.4546</v>
      </c>
      <c r="AA339" s="43"/>
      <c r="AC339" s="468"/>
      <c r="AD339" s="468"/>
      <c r="AE339" s="468"/>
      <c r="AF339" s="468"/>
      <c r="AG339" s="468"/>
    </row>
    <row r="340" spans="1:33">
      <c r="A340" s="85">
        <v>45909</v>
      </c>
      <c r="B340">
        <v>2</v>
      </c>
      <c r="C340" t="s">
        <v>2041</v>
      </c>
      <c r="H340" s="175">
        <v>0.54969999999999997</v>
      </c>
      <c r="AA340" s="43"/>
      <c r="AC340" s="468"/>
      <c r="AD340" s="468"/>
      <c r="AE340" s="468"/>
      <c r="AF340" s="468"/>
      <c r="AG340" s="468"/>
    </row>
    <row r="341" spans="1:33">
      <c r="A341" s="85">
        <v>45909</v>
      </c>
      <c r="B341">
        <v>3</v>
      </c>
      <c r="C341" t="s">
        <v>2042</v>
      </c>
      <c r="G341">
        <v>0</v>
      </c>
      <c r="H341" s="175">
        <v>0.27389999999999998</v>
      </c>
      <c r="I341">
        <v>0.39606999999999998</v>
      </c>
      <c r="J341">
        <v>0.39606999999999998</v>
      </c>
      <c r="AA341" s="43"/>
      <c r="AC341" s="468"/>
      <c r="AD341" s="468"/>
      <c r="AE341" s="468"/>
      <c r="AF341" s="468"/>
      <c r="AG341" s="468"/>
    </row>
    <row r="342" spans="1:33">
      <c r="A342" s="85">
        <v>45909</v>
      </c>
      <c r="B342">
        <v>4</v>
      </c>
      <c r="C342" t="s">
        <v>2234</v>
      </c>
      <c r="D342">
        <v>356.4</v>
      </c>
      <c r="G342">
        <v>356.32871999999998</v>
      </c>
      <c r="H342" s="175">
        <v>41.594099999999997</v>
      </c>
      <c r="I342">
        <v>0.39606999999999998</v>
      </c>
      <c r="J342">
        <v>41.198029999999996</v>
      </c>
      <c r="K342">
        <v>351.14302296922904</v>
      </c>
      <c r="L342" s="391">
        <v>98.544687323892688</v>
      </c>
      <c r="M342">
        <v>343.33978540383015</v>
      </c>
      <c r="N342">
        <v>96.354788747825381</v>
      </c>
      <c r="O342">
        <v>128</v>
      </c>
      <c r="P342">
        <v>41.7</v>
      </c>
      <c r="Q342">
        <v>100</v>
      </c>
      <c r="R342">
        <v>3</v>
      </c>
      <c r="S342" t="s">
        <v>196</v>
      </c>
      <c r="T342" t="s">
        <v>196</v>
      </c>
      <c r="X342" s="423">
        <f>A343</f>
        <v>45909</v>
      </c>
      <c r="Y342" s="43"/>
      <c r="Z342" s="43"/>
      <c r="AA342" s="43"/>
      <c r="AC342" s="468"/>
      <c r="AD342" s="468"/>
      <c r="AE342" s="468"/>
      <c r="AF342" s="468"/>
      <c r="AG342" s="468"/>
    </row>
    <row r="343" spans="1:33">
      <c r="A343" s="85">
        <v>45909</v>
      </c>
      <c r="B343">
        <v>5</v>
      </c>
      <c r="C343" t="s">
        <v>2235</v>
      </c>
      <c r="D343">
        <v>1110.8</v>
      </c>
      <c r="G343">
        <v>1110.5778399999999</v>
      </c>
      <c r="H343" s="175">
        <v>131.55289999999999</v>
      </c>
      <c r="I343">
        <v>0.39606999999999998</v>
      </c>
      <c r="J343">
        <v>131.15682999999999</v>
      </c>
      <c r="K343">
        <v>1110.5864248204396</v>
      </c>
      <c r="L343" s="391">
        <v>100.00077300483861</v>
      </c>
      <c r="M343">
        <v>1093.0463875686928</v>
      </c>
      <c r="N343">
        <v>98.42141164717394</v>
      </c>
      <c r="O343">
        <v>128</v>
      </c>
      <c r="P343">
        <v>41.7</v>
      </c>
      <c r="Q343">
        <v>100</v>
      </c>
      <c r="R343">
        <v>3</v>
      </c>
      <c r="S343" t="s">
        <v>196</v>
      </c>
      <c r="T343" t="s">
        <v>196</v>
      </c>
      <c r="X343" s="193">
        <f>((J341-INDEX(LINEST($H$341:$H$346,$G$341:$G$346),2))/INDEX(LINEST($H$341:$H$346,$G$341:$G$346),1)/100.09)*12.01</f>
        <v>0.63376007640819376</v>
      </c>
      <c r="Y343" s="193">
        <f>(J341-X343)^2</f>
        <v>5.6496572422932996E-2</v>
      </c>
      <c r="Z343" s="43"/>
      <c r="AA343" s="43"/>
      <c r="AC343" s="468"/>
      <c r="AD343" s="468"/>
      <c r="AE343" s="468"/>
      <c r="AF343" s="468"/>
      <c r="AG343" s="468"/>
    </row>
    <row r="344" spans="1:33">
      <c r="A344" s="85">
        <v>45909</v>
      </c>
      <c r="B344">
        <v>6</v>
      </c>
      <c r="C344" t="s">
        <v>2236</v>
      </c>
      <c r="D344">
        <v>2096.6999999999998</v>
      </c>
      <c r="G344">
        <v>2096.2806599999999</v>
      </c>
      <c r="H344" s="175">
        <v>247.00479999999999</v>
      </c>
      <c r="I344">
        <v>0.39606999999999998</v>
      </c>
      <c r="J344">
        <v>246.60872999999998</v>
      </c>
      <c r="K344">
        <v>2085.2457542710968</v>
      </c>
      <c r="L344" s="391">
        <v>99.473595976938356</v>
      </c>
      <c r="M344">
        <v>2055.2096407743547</v>
      </c>
      <c r="N344">
        <v>98.040767154449384</v>
      </c>
      <c r="O344">
        <v>128</v>
      </c>
      <c r="P344">
        <v>41.7</v>
      </c>
      <c r="Q344">
        <v>100</v>
      </c>
      <c r="R344">
        <v>3</v>
      </c>
      <c r="S344" t="s">
        <v>196</v>
      </c>
      <c r="T344" t="s">
        <v>196</v>
      </c>
      <c r="X344" s="193">
        <f t="shared" ref="X344:X348" si="20">((J342-INDEX(LINEST($H$341:$H$346,$G$341:$G$346),2))/INDEX(LINEST($H$341:$H$346,$G$341:$G$346),1)/100.09)*12.01</f>
        <v>41.935751471673917</v>
      </c>
      <c r="Y344" s="193">
        <f t="shared" ref="Y344:Y348" si="21">(J342-X344)^2</f>
        <v>0.54423296976873692</v>
      </c>
      <c r="Z344" s="43"/>
      <c r="AA344" s="43"/>
      <c r="AC344" s="468"/>
      <c r="AD344" s="468"/>
      <c r="AE344" s="468"/>
      <c r="AF344" s="468"/>
      <c r="AG344" s="468"/>
    </row>
    <row r="345" spans="1:33">
      <c r="A345" s="85">
        <v>45909</v>
      </c>
      <c r="B345">
        <v>7</v>
      </c>
      <c r="C345" t="s">
        <v>2237</v>
      </c>
      <c r="D345">
        <v>2960</v>
      </c>
      <c r="G345">
        <v>2959.4079999999999</v>
      </c>
      <c r="H345" s="175">
        <v>352.34829999999999</v>
      </c>
      <c r="I345">
        <v>0.39606999999999998</v>
      </c>
      <c r="J345">
        <v>351.95222999999999</v>
      </c>
      <c r="K345">
        <v>2974.5687110347817</v>
      </c>
      <c r="L345" s="391">
        <v>100.51228864133577</v>
      </c>
      <c r="M345">
        <v>2933.1306162114906</v>
      </c>
      <c r="N345">
        <v>99.112072962277949</v>
      </c>
      <c r="O345">
        <v>128</v>
      </c>
      <c r="P345">
        <v>41.7</v>
      </c>
      <c r="Q345">
        <v>100</v>
      </c>
      <c r="R345">
        <v>3</v>
      </c>
      <c r="S345" t="s">
        <v>196</v>
      </c>
      <c r="T345" t="s">
        <v>196</v>
      </c>
      <c r="X345" s="193">
        <f t="shared" si="20"/>
        <v>132.99700400778812</v>
      </c>
      <c r="Y345" s="193">
        <f t="shared" si="21"/>
        <v>3.3862403789390494</v>
      </c>
      <c r="Z345" s="43"/>
      <c r="AA345" s="43"/>
      <c r="AC345" s="468"/>
      <c r="AD345" s="468"/>
      <c r="AE345" s="468"/>
      <c r="AF345" s="468"/>
      <c r="AG345" s="468"/>
    </row>
    <row r="346" spans="1:33">
      <c r="A346" s="85">
        <v>45909</v>
      </c>
      <c r="B346">
        <v>8</v>
      </c>
      <c r="C346" t="s">
        <v>2238</v>
      </c>
      <c r="D346">
        <v>3530.6</v>
      </c>
      <c r="G346">
        <v>3529.8938800000001</v>
      </c>
      <c r="H346" s="175">
        <v>417.46089999999998</v>
      </c>
      <c r="I346">
        <v>0.39606999999999998</v>
      </c>
      <c r="J346">
        <v>417.06482999999997</v>
      </c>
      <c r="K346">
        <v>3524.257395714626</v>
      </c>
      <c r="L346" s="391">
        <v>99.840321423901443</v>
      </c>
      <c r="M346">
        <v>3475.7717597585347</v>
      </c>
      <c r="N346">
        <v>98.46674936750604</v>
      </c>
      <c r="O346">
        <v>128</v>
      </c>
      <c r="P346">
        <v>41.7</v>
      </c>
      <c r="Q346">
        <v>100</v>
      </c>
      <c r="R346">
        <v>3</v>
      </c>
      <c r="S346" t="s">
        <v>196</v>
      </c>
      <c r="T346" t="s">
        <v>196</v>
      </c>
      <c r="X346" s="193">
        <f t="shared" si="20"/>
        <v>249.86377659339627</v>
      </c>
      <c r="Y346" s="193">
        <f t="shared" si="21"/>
        <v>10.595328325180772</v>
      </c>
      <c r="Z346" s="43"/>
      <c r="AA346" s="43"/>
      <c r="AC346" s="468"/>
      <c r="AD346" s="468"/>
      <c r="AE346" s="468"/>
      <c r="AF346" s="468"/>
      <c r="AG346" s="468"/>
    </row>
    <row r="347" spans="1:33" ht="15.75">
      <c r="A347" s="85">
        <v>45909</v>
      </c>
      <c r="B347">
        <v>9</v>
      </c>
      <c r="C347" t="s">
        <v>2045</v>
      </c>
      <c r="H347" s="175">
        <v>0.65059999999999996</v>
      </c>
      <c r="I347">
        <v>0.39606999999999998</v>
      </c>
      <c r="J347">
        <v>0.25452999999999998</v>
      </c>
      <c r="K347">
        <v>5.4928928686158809</v>
      </c>
      <c r="L347" s="391" t="e">
        <v>#DIV/0!</v>
      </c>
      <c r="M347">
        <v>2.1212246211490426</v>
      </c>
      <c r="N347" t="e">
        <v>#DIV/0!</v>
      </c>
      <c r="O347">
        <v>128</v>
      </c>
      <c r="P347">
        <v>41.7</v>
      </c>
      <c r="Q347">
        <v>100</v>
      </c>
      <c r="R347">
        <v>3</v>
      </c>
      <c r="S347" t="s">
        <v>196</v>
      </c>
      <c r="T347" t="s">
        <v>196</v>
      </c>
      <c r="X347" s="193">
        <f t="shared" si="20"/>
        <v>356.49826990075644</v>
      </c>
      <c r="Y347" s="193">
        <f t="shared" si="21"/>
        <v>20.666478779269756</v>
      </c>
      <c r="Z347" s="43"/>
      <c r="AA347" s="51" t="s">
        <v>2039</v>
      </c>
      <c r="AC347" s="468"/>
      <c r="AD347" s="468"/>
      <c r="AE347" s="468"/>
      <c r="AF347" s="468"/>
      <c r="AG347" s="468"/>
    </row>
    <row r="348" spans="1:33" ht="15.75">
      <c r="A348" s="85">
        <v>45909</v>
      </c>
      <c r="B348">
        <v>10</v>
      </c>
      <c r="C348" t="s">
        <v>2047</v>
      </c>
      <c r="H348" s="175">
        <v>0.31440000000000001</v>
      </c>
      <c r="I348">
        <v>0.39606999999999998</v>
      </c>
      <c r="J348">
        <v>-8.1669999999999965E-2</v>
      </c>
      <c r="K348">
        <v>2.654650565446242</v>
      </c>
      <c r="L348" s="391" t="e">
        <v>#DIV/0!</v>
      </c>
      <c r="M348">
        <v>-0.68062866777685238</v>
      </c>
      <c r="N348" t="e">
        <v>#DIV/0!</v>
      </c>
      <c r="O348">
        <v>128</v>
      </c>
      <c r="P348">
        <v>41.7</v>
      </c>
      <c r="Q348">
        <v>100</v>
      </c>
      <c r="R348">
        <v>3</v>
      </c>
      <c r="S348" t="s">
        <v>196</v>
      </c>
      <c r="T348" t="s">
        <v>196</v>
      </c>
      <c r="X348" s="193">
        <f t="shared" si="20"/>
        <v>422.40883020039342</v>
      </c>
      <c r="Y348" s="193">
        <f t="shared" si="21"/>
        <v>28.558338141805258</v>
      </c>
      <c r="Z348" s="43"/>
      <c r="AA348" s="425">
        <f>(Y349/$AL$15)*100</f>
        <v>5.7171754263144736</v>
      </c>
      <c r="AC348" s="468"/>
      <c r="AD348" s="468"/>
      <c r="AE348" s="468"/>
      <c r="AF348" s="468"/>
      <c r="AG348" s="468"/>
    </row>
    <row r="349" spans="1:33" ht="15.75">
      <c r="A349" s="85">
        <v>45909</v>
      </c>
      <c r="B349">
        <v>11</v>
      </c>
      <c r="C349" t="s">
        <v>2055</v>
      </c>
      <c r="D349">
        <v>983.4</v>
      </c>
      <c r="H349" s="175">
        <v>95.179400000000001</v>
      </c>
      <c r="I349">
        <v>0.39606999999999998</v>
      </c>
      <c r="J349">
        <v>94.783330000000007</v>
      </c>
      <c r="K349">
        <v>803.5168043137744</v>
      </c>
      <c r="L349" s="391">
        <v>81.708033792330127</v>
      </c>
      <c r="M349">
        <v>789.91369689425483</v>
      </c>
      <c r="N349">
        <v>80.32476071733322</v>
      </c>
      <c r="O349">
        <v>128</v>
      </c>
      <c r="P349">
        <v>41.7</v>
      </c>
      <c r="Q349">
        <v>100</v>
      </c>
      <c r="R349">
        <v>3</v>
      </c>
      <c r="S349" t="s">
        <v>196</v>
      </c>
      <c r="T349" t="s">
        <v>196</v>
      </c>
      <c r="X349" s="43"/>
      <c r="Y349" s="425">
        <f>SQRT(SUM(Y343:Y348)/(6-2))</f>
        <v>3.9939678005520558</v>
      </c>
      <c r="Z349" s="51" t="s">
        <v>2044</v>
      </c>
      <c r="AA349" s="43"/>
      <c r="AC349" s="468"/>
      <c r="AD349" s="468"/>
      <c r="AE349" s="468"/>
      <c r="AF349" s="468"/>
      <c r="AG349" s="468"/>
    </row>
    <row r="350" spans="1:33" ht="15.75">
      <c r="A350" s="85">
        <v>45909</v>
      </c>
      <c r="B350">
        <v>12</v>
      </c>
      <c r="C350" t="s">
        <v>2055</v>
      </c>
      <c r="D350">
        <v>2196.6999999999998</v>
      </c>
      <c r="H350" s="175">
        <v>212.43510000000001</v>
      </c>
      <c r="I350">
        <v>0.39606999999999998</v>
      </c>
      <c r="J350">
        <v>212.03903</v>
      </c>
      <c r="K350">
        <v>1793.4040381857801</v>
      </c>
      <c r="L350" s="391">
        <v>81.640826611998918</v>
      </c>
      <c r="M350">
        <v>1767.1096180432974</v>
      </c>
      <c r="N350">
        <v>80.443830201816255</v>
      </c>
      <c r="O350">
        <v>128</v>
      </c>
      <c r="P350">
        <v>41.7</v>
      </c>
      <c r="Q350">
        <v>100</v>
      </c>
      <c r="R350">
        <v>3</v>
      </c>
      <c r="S350" t="s">
        <v>196</v>
      </c>
      <c r="T350" t="s">
        <v>196</v>
      </c>
      <c r="X350" s="43"/>
      <c r="Y350" s="425">
        <f>(Y349/12.01)*100.09</f>
        <v>33.285282028081205</v>
      </c>
      <c r="Z350" s="51" t="s">
        <v>2046</v>
      </c>
      <c r="AA350" s="43"/>
      <c r="AC350" s="468"/>
      <c r="AD350" s="468"/>
      <c r="AE350" s="468"/>
      <c r="AF350" s="468"/>
      <c r="AG350" s="468"/>
    </row>
    <row r="351" spans="1:33">
      <c r="A351" s="85">
        <v>45909</v>
      </c>
      <c r="B351">
        <v>13</v>
      </c>
      <c r="C351" t="s">
        <v>2048</v>
      </c>
      <c r="D351">
        <v>955</v>
      </c>
      <c r="H351" s="175">
        <v>15.2248</v>
      </c>
      <c r="I351">
        <v>0.39606999999999998</v>
      </c>
      <c r="J351">
        <v>14.82873</v>
      </c>
      <c r="K351">
        <v>128.53010576229514</v>
      </c>
      <c r="L351" s="391">
        <v>13.458649818041376</v>
      </c>
      <c r="M351">
        <v>123.58098132389675</v>
      </c>
      <c r="N351">
        <v>12.940416892554634</v>
      </c>
      <c r="O351">
        <v>128</v>
      </c>
      <c r="P351">
        <v>41.7</v>
      </c>
      <c r="Q351">
        <v>100</v>
      </c>
      <c r="R351">
        <v>3</v>
      </c>
      <c r="S351" t="s">
        <v>196</v>
      </c>
      <c r="T351" t="s">
        <v>196</v>
      </c>
      <c r="AA351" s="43"/>
      <c r="AC351" s="468"/>
      <c r="AD351" s="468"/>
      <c r="AE351" s="468"/>
      <c r="AF351" s="468"/>
      <c r="AG351" s="468"/>
    </row>
    <row r="352" spans="1:33">
      <c r="A352" s="85">
        <v>45909</v>
      </c>
      <c r="B352">
        <v>14</v>
      </c>
      <c r="C352" t="s">
        <v>2048</v>
      </c>
      <c r="D352">
        <v>1952.3</v>
      </c>
      <c r="H352" s="175">
        <v>26.907800000000002</v>
      </c>
      <c r="I352">
        <v>0.39606999999999998</v>
      </c>
      <c r="J352">
        <v>26.51173</v>
      </c>
      <c r="K352">
        <v>227.159447903672</v>
      </c>
      <c r="L352" s="391">
        <v>11.635478558811249</v>
      </c>
      <c r="M352">
        <v>220.94579980849292</v>
      </c>
      <c r="N352">
        <v>11.317205337729495</v>
      </c>
      <c r="O352">
        <v>128</v>
      </c>
      <c r="P352">
        <v>41.7</v>
      </c>
      <c r="Q352">
        <v>100</v>
      </c>
      <c r="R352">
        <v>3</v>
      </c>
      <c r="S352" t="s">
        <v>196</v>
      </c>
      <c r="T352" t="s">
        <v>196</v>
      </c>
      <c r="AA352" s="43"/>
      <c r="AC352" s="468"/>
      <c r="AD352" s="468"/>
      <c r="AE352" s="468"/>
      <c r="AF352" s="468"/>
      <c r="AG352" s="468"/>
    </row>
    <row r="353" spans="1:33">
      <c r="A353" s="85">
        <v>45909</v>
      </c>
      <c r="B353">
        <v>15</v>
      </c>
      <c r="C353" t="s">
        <v>2049</v>
      </c>
      <c r="H353" s="175">
        <v>0.37009999999999998</v>
      </c>
      <c r="I353">
        <v>0.39606999999999998</v>
      </c>
      <c r="J353">
        <v>-2.5969999999999993E-2</v>
      </c>
      <c r="K353">
        <v>3.1248769077619731</v>
      </c>
      <c r="L353" s="391" t="e">
        <v>#DIV/0!</v>
      </c>
      <c r="M353">
        <v>-0.21643108243130718</v>
      </c>
      <c r="N353" t="e">
        <v>#DIV/0!</v>
      </c>
      <c r="O353">
        <v>128</v>
      </c>
      <c r="P353">
        <v>41.7</v>
      </c>
      <c r="Q353">
        <v>100</v>
      </c>
      <c r="R353">
        <v>3</v>
      </c>
      <c r="S353" t="s">
        <v>196</v>
      </c>
      <c r="T353" t="s">
        <v>196</v>
      </c>
      <c r="AA353" s="43"/>
      <c r="AC353" s="468"/>
      <c r="AD353" s="468"/>
      <c r="AE353" s="468"/>
      <c r="AF353" s="468"/>
      <c r="AG353" s="468"/>
    </row>
    <row r="354" spans="1:33">
      <c r="A354" s="285">
        <v>45909</v>
      </c>
      <c r="B354" s="284">
        <v>16</v>
      </c>
      <c r="C354" s="284" t="s">
        <v>2224</v>
      </c>
      <c r="D354" s="284">
        <v>3118.4</v>
      </c>
      <c r="E354" s="284"/>
      <c r="F354" s="284"/>
      <c r="G354" s="284"/>
      <c r="H354" s="284">
        <v>264.15929999999997</v>
      </c>
      <c r="I354" s="284">
        <v>0.39606999999999998</v>
      </c>
      <c r="J354" s="284">
        <v>263.76322999999996</v>
      </c>
      <c r="K354" s="284">
        <v>2230.0661813672409</v>
      </c>
      <c r="L354" s="284">
        <v>71.513153584121369</v>
      </c>
      <c r="M354" s="284">
        <v>2198.1733297835135</v>
      </c>
      <c r="N354" s="284">
        <v>70.490422325022877</v>
      </c>
      <c r="O354">
        <v>128</v>
      </c>
      <c r="P354">
        <v>41.7</v>
      </c>
      <c r="Q354">
        <v>100</v>
      </c>
      <c r="R354">
        <v>3</v>
      </c>
      <c r="S354" t="s">
        <v>196</v>
      </c>
      <c r="T354" t="s">
        <v>196</v>
      </c>
      <c r="AA354" s="43"/>
      <c r="AC354" s="468"/>
      <c r="AD354" s="468"/>
      <c r="AE354" s="468"/>
      <c r="AF354" s="468"/>
      <c r="AG354" s="468"/>
    </row>
    <row r="355" spans="1:33">
      <c r="A355" s="333">
        <v>45909</v>
      </c>
      <c r="B355" s="331">
        <v>17</v>
      </c>
      <c r="C355" s="331" t="s">
        <v>2225</v>
      </c>
      <c r="D355" s="331">
        <v>3097.6</v>
      </c>
      <c r="E355" s="331"/>
      <c r="F355" s="331"/>
      <c r="G355" s="331"/>
      <c r="H355" s="331">
        <v>262.4631</v>
      </c>
      <c r="I355" s="331">
        <v>0.39606999999999998</v>
      </c>
      <c r="J355" s="331">
        <v>262.06702999999999</v>
      </c>
      <c r="K355" s="331">
        <v>2215.746649556901</v>
      </c>
      <c r="L355" s="331">
        <v>71.531077271335903</v>
      </c>
      <c r="M355" s="331">
        <v>2184.0373882348044</v>
      </c>
      <c r="N355" s="331">
        <v>70.50740535365459</v>
      </c>
      <c r="O355">
        <v>128</v>
      </c>
      <c r="P355">
        <v>41.7</v>
      </c>
      <c r="Q355">
        <v>100</v>
      </c>
      <c r="R355">
        <v>3</v>
      </c>
      <c r="S355" t="s">
        <v>196</v>
      </c>
      <c r="T355" t="s">
        <v>196</v>
      </c>
      <c r="AA355" s="43"/>
      <c r="AC355" s="468"/>
      <c r="AD355" s="468"/>
      <c r="AE355" s="468"/>
      <c r="AF355" s="468"/>
      <c r="AG355" s="468"/>
    </row>
    <row r="356" spans="1:33">
      <c r="A356" s="201">
        <v>45909</v>
      </c>
      <c r="B356" s="200">
        <v>18</v>
      </c>
      <c r="C356" s="200" t="s">
        <v>2226</v>
      </c>
      <c r="D356" s="200">
        <v>2363.6999999999998</v>
      </c>
      <c r="E356" s="200"/>
      <c r="F356" s="200"/>
      <c r="G356" s="200"/>
      <c r="H356" s="200">
        <v>225.6122</v>
      </c>
      <c r="I356" s="200">
        <v>0.39606999999999998</v>
      </c>
      <c r="J356" s="200">
        <v>225.21612999999999</v>
      </c>
      <c r="K356" s="200">
        <v>1904.646758748233</v>
      </c>
      <c r="L356" s="200">
        <v>80.579039588282484</v>
      </c>
      <c r="M356" s="200">
        <v>1876.9260992256452</v>
      </c>
      <c r="N356" s="200">
        <v>79.406274029091904</v>
      </c>
      <c r="O356">
        <v>128</v>
      </c>
      <c r="P356">
        <v>41.7</v>
      </c>
      <c r="Q356">
        <v>100</v>
      </c>
      <c r="R356">
        <v>3</v>
      </c>
      <c r="S356" t="s">
        <v>196</v>
      </c>
      <c r="T356" t="s">
        <v>196</v>
      </c>
      <c r="AA356" s="43"/>
      <c r="AC356" s="468"/>
      <c r="AD356" s="468"/>
      <c r="AE356" s="468"/>
      <c r="AF356" s="468"/>
      <c r="AG356" s="468"/>
    </row>
    <row r="357" spans="1:33">
      <c r="A357" s="205">
        <v>45909</v>
      </c>
      <c r="B357" s="204">
        <v>19</v>
      </c>
      <c r="C357" s="204" t="s">
        <v>2227</v>
      </c>
      <c r="D357" s="204">
        <v>2848.4</v>
      </c>
      <c r="E357" s="204"/>
      <c r="F357" s="204"/>
      <c r="G357" s="204"/>
      <c r="H357" s="204">
        <v>280.90440000000001</v>
      </c>
      <c r="I357" s="204">
        <v>0.39606999999999998</v>
      </c>
      <c r="J357" s="204">
        <v>280.50833</v>
      </c>
      <c r="K357" s="204">
        <v>2371.4304026367408</v>
      </c>
      <c r="L357" s="204">
        <v>83.254823853276946</v>
      </c>
      <c r="M357" s="204">
        <v>2337.7251248709413</v>
      </c>
      <c r="N357" s="204">
        <v>82.07151821622459</v>
      </c>
      <c r="O357">
        <v>128</v>
      </c>
      <c r="P357">
        <v>41.7</v>
      </c>
      <c r="Q357">
        <v>100</v>
      </c>
      <c r="R357">
        <v>3</v>
      </c>
      <c r="S357" t="s">
        <v>196</v>
      </c>
      <c r="T357" t="s">
        <v>196</v>
      </c>
      <c r="AA357" s="43"/>
      <c r="AC357" s="468"/>
      <c r="AD357" s="468"/>
      <c r="AE357" s="468"/>
      <c r="AF357" s="468"/>
      <c r="AG357" s="468"/>
    </row>
    <row r="358" spans="1:33">
      <c r="A358" s="438">
        <v>45909</v>
      </c>
      <c r="B358" s="439">
        <v>20</v>
      </c>
      <c r="C358" s="439" t="s">
        <v>2228</v>
      </c>
      <c r="D358" s="439">
        <v>2349.5</v>
      </c>
      <c r="E358" s="439"/>
      <c r="F358" s="439"/>
      <c r="G358" s="439"/>
      <c r="H358" s="439">
        <v>230.58449999999999</v>
      </c>
      <c r="I358" s="439">
        <v>0.39606999999999998</v>
      </c>
      <c r="J358" s="439">
        <v>230.18842999999998</v>
      </c>
      <c r="K358" s="439">
        <v>1946.6235350838974</v>
      </c>
      <c r="L358" s="439">
        <v>82.852672274266752</v>
      </c>
      <c r="M358" s="439">
        <v>1918.3646926477936</v>
      </c>
      <c r="N358" s="439">
        <v>81.649912434466628</v>
      </c>
      <c r="O358">
        <v>128</v>
      </c>
      <c r="P358">
        <v>41.7</v>
      </c>
      <c r="Q358">
        <v>100</v>
      </c>
      <c r="R358">
        <v>3</v>
      </c>
      <c r="S358" t="s">
        <v>196</v>
      </c>
      <c r="T358" t="s">
        <v>196</v>
      </c>
      <c r="AA358" s="43"/>
      <c r="AC358" s="468"/>
      <c r="AD358" s="468"/>
      <c r="AE358" s="468"/>
      <c r="AF358" s="468"/>
      <c r="AG358" s="468"/>
    </row>
    <row r="359" spans="1:33">
      <c r="A359" s="85">
        <v>45909</v>
      </c>
      <c r="B359">
        <v>21</v>
      </c>
      <c r="C359" t="s">
        <v>2050</v>
      </c>
      <c r="H359" s="175">
        <v>0.4138</v>
      </c>
      <c r="I359">
        <v>0.39606999999999998</v>
      </c>
      <c r="J359">
        <v>1.7730000000000024E-2</v>
      </c>
      <c r="K359">
        <v>3.4937977544262009</v>
      </c>
      <c r="L359" s="391" t="e">
        <v>#DIV/0!</v>
      </c>
      <c r="M359">
        <v>0.14775984179850143</v>
      </c>
      <c r="N359" t="e">
        <v>#DIV/0!</v>
      </c>
      <c r="O359">
        <v>128</v>
      </c>
      <c r="P359">
        <v>41.7</v>
      </c>
      <c r="Q359">
        <v>100</v>
      </c>
      <c r="R359">
        <v>3</v>
      </c>
      <c r="S359" t="s">
        <v>196</v>
      </c>
      <c r="T359" t="s">
        <v>196</v>
      </c>
      <c r="AA359" s="43"/>
      <c r="AC359" s="468"/>
      <c r="AD359" s="468"/>
      <c r="AE359" s="468"/>
      <c r="AF359" s="468"/>
      <c r="AG359" s="468"/>
    </row>
    <row r="360" spans="1:33">
      <c r="A360" s="285">
        <v>45909</v>
      </c>
      <c r="B360" s="284">
        <v>22</v>
      </c>
      <c r="C360" s="284" t="s">
        <v>2229</v>
      </c>
      <c r="D360" s="284">
        <v>3176.9</v>
      </c>
      <c r="E360" s="284"/>
      <c r="F360" s="284"/>
      <c r="G360" s="284"/>
      <c r="H360" s="284">
        <v>265.31029999999998</v>
      </c>
      <c r="I360" s="284">
        <v>0.39606999999999998</v>
      </c>
      <c r="J360" s="284">
        <v>264.91422999999998</v>
      </c>
      <c r="K360" s="284">
        <v>2239.7830668251472</v>
      </c>
      <c r="L360" s="284">
        <v>70.502158293466806</v>
      </c>
      <c r="M360" s="284">
        <v>2207.7656353621978</v>
      </c>
      <c r="N360" s="284">
        <v>69.494338360105701</v>
      </c>
      <c r="O360">
        <v>128</v>
      </c>
      <c r="P360">
        <v>41.7</v>
      </c>
      <c r="Q360">
        <v>100</v>
      </c>
      <c r="R360">
        <v>3</v>
      </c>
      <c r="S360" t="s">
        <v>196</v>
      </c>
      <c r="T360" t="s">
        <v>196</v>
      </c>
      <c r="AA360" s="43"/>
    </row>
    <row r="361" spans="1:33">
      <c r="A361" s="333">
        <v>45909</v>
      </c>
      <c r="B361" s="331">
        <v>23</v>
      </c>
      <c r="C361" s="331" t="s">
        <v>2230</v>
      </c>
      <c r="D361" s="331">
        <v>2392.5</v>
      </c>
      <c r="E361" s="331"/>
      <c r="F361" s="331"/>
      <c r="G361" s="331"/>
      <c r="H361" s="331">
        <v>212.0403</v>
      </c>
      <c r="I361" s="331">
        <v>0.39606999999999998</v>
      </c>
      <c r="J361" s="331">
        <v>211.64422999999999</v>
      </c>
      <c r="K361" s="331">
        <v>1790.0710873788455</v>
      </c>
      <c r="L361" s="331">
        <v>74.820108145406294</v>
      </c>
      <c r="M361" s="331">
        <v>1763.8193988925896</v>
      </c>
      <c r="N361" s="331">
        <v>73.722858887882538</v>
      </c>
      <c r="O361">
        <v>128</v>
      </c>
      <c r="P361">
        <v>41.7</v>
      </c>
      <c r="Q361">
        <v>100</v>
      </c>
      <c r="R361">
        <v>3</v>
      </c>
      <c r="S361" t="s">
        <v>196</v>
      </c>
      <c r="T361" t="s">
        <v>196</v>
      </c>
      <c r="AA361" s="43"/>
    </row>
    <row r="362" spans="1:33">
      <c r="A362" s="201">
        <v>45909</v>
      </c>
      <c r="B362" s="200">
        <v>24</v>
      </c>
      <c r="C362" s="200" t="s">
        <v>2231</v>
      </c>
      <c r="D362" s="200">
        <v>2807.7</v>
      </c>
      <c r="E362" s="200"/>
      <c r="F362" s="200"/>
      <c r="G362" s="200"/>
      <c r="H362" s="200">
        <v>267.91579999999999</v>
      </c>
      <c r="I362" s="200">
        <v>0.39606999999999998</v>
      </c>
      <c r="J362" s="200">
        <v>267.51972999999998</v>
      </c>
      <c r="K362" s="200">
        <v>2261.7790225684803</v>
      </c>
      <c r="L362" s="200">
        <v>80.55629243040498</v>
      </c>
      <c r="M362" s="200">
        <v>2229.4795816569522</v>
      </c>
      <c r="N362" s="200">
        <v>79.405904535988611</v>
      </c>
      <c r="O362">
        <v>128</v>
      </c>
      <c r="P362">
        <v>41.7</v>
      </c>
      <c r="Q362">
        <v>100</v>
      </c>
      <c r="R362">
        <v>3</v>
      </c>
      <c r="S362" t="s">
        <v>196</v>
      </c>
      <c r="T362" t="s">
        <v>196</v>
      </c>
      <c r="X362" s="423"/>
      <c r="Y362" s="43"/>
      <c r="Z362" s="43"/>
      <c r="AA362" s="43"/>
    </row>
    <row r="363" spans="1:33">
      <c r="A363" s="205">
        <v>45909</v>
      </c>
      <c r="B363" s="204">
        <v>25</v>
      </c>
      <c r="C363" s="204" t="s">
        <v>2232</v>
      </c>
      <c r="D363" s="204">
        <v>2955.2</v>
      </c>
      <c r="E363" s="204"/>
      <c r="F363" s="204"/>
      <c r="G363" s="204"/>
      <c r="H363" s="204">
        <v>290.49770000000001</v>
      </c>
      <c r="I363" s="204">
        <v>0.39606999999999998</v>
      </c>
      <c r="J363" s="204">
        <v>290.10163</v>
      </c>
      <c r="K363" s="204">
        <v>2452.418236922872</v>
      </c>
      <c r="L363" s="204">
        <v>82.986540231553604</v>
      </c>
      <c r="M363" s="204">
        <v>2417.6746167110741</v>
      </c>
      <c r="N363" s="204">
        <v>81.810862774467864</v>
      </c>
      <c r="O363">
        <v>128</v>
      </c>
      <c r="P363">
        <v>41.7</v>
      </c>
      <c r="Q363">
        <v>100</v>
      </c>
      <c r="R363">
        <v>3</v>
      </c>
      <c r="S363" t="s">
        <v>196</v>
      </c>
      <c r="T363" t="s">
        <v>196</v>
      </c>
      <c r="X363" s="193"/>
      <c r="Y363" s="193"/>
      <c r="Z363" s="43"/>
      <c r="AA363" s="43"/>
    </row>
    <row r="364" spans="1:33">
      <c r="A364" s="438">
        <v>45909</v>
      </c>
      <c r="B364" s="439">
        <v>26</v>
      </c>
      <c r="C364" s="439" t="s">
        <v>2233</v>
      </c>
      <c r="D364" s="439">
        <v>2594.6</v>
      </c>
      <c r="E364" s="439"/>
      <c r="F364" s="439"/>
      <c r="G364" s="439"/>
      <c r="H364" s="439">
        <v>254.24289999999999</v>
      </c>
      <c r="I364" s="439">
        <v>0.39606999999999998</v>
      </c>
      <c r="J364" s="439">
        <v>253.84682999999998</v>
      </c>
      <c r="K364" s="439">
        <v>2146.3506966106929</v>
      </c>
      <c r="L364" s="439">
        <v>82.723760757368879</v>
      </c>
      <c r="M364" s="439">
        <v>2115.5311585928393</v>
      </c>
      <c r="N364" s="439">
        <v>81.535926870918047</v>
      </c>
      <c r="O364">
        <v>128</v>
      </c>
      <c r="P364">
        <v>41.7</v>
      </c>
      <c r="Q364">
        <v>100</v>
      </c>
      <c r="R364">
        <v>3</v>
      </c>
      <c r="S364" t="s">
        <v>196</v>
      </c>
      <c r="T364" t="s">
        <v>196</v>
      </c>
      <c r="X364" s="193"/>
      <c r="Y364" s="193"/>
      <c r="Z364" s="43"/>
      <c r="AA364" s="43"/>
    </row>
    <row r="365" spans="1:33">
      <c r="A365" s="85">
        <v>45909</v>
      </c>
      <c r="B365">
        <v>27</v>
      </c>
      <c r="C365" t="s">
        <v>2051</v>
      </c>
      <c r="E365" t="s">
        <v>2195</v>
      </c>
      <c r="H365" s="175">
        <v>0.37180000000000002</v>
      </c>
      <c r="I365">
        <v>0.39606999999999998</v>
      </c>
      <c r="J365">
        <v>-2.4269999999999958E-2</v>
      </c>
      <c r="K365">
        <v>3.1392285196459366</v>
      </c>
      <c r="L365" s="391" t="e">
        <v>#DIV/0!</v>
      </c>
      <c r="M365">
        <v>-0.2022634721065775</v>
      </c>
      <c r="N365" t="e">
        <v>#DIV/0!</v>
      </c>
      <c r="O365">
        <v>128</v>
      </c>
      <c r="P365">
        <v>41.7</v>
      </c>
      <c r="Q365">
        <v>100</v>
      </c>
      <c r="R365">
        <v>3</v>
      </c>
      <c r="S365" t="s">
        <v>196</v>
      </c>
      <c r="T365" t="s">
        <v>196</v>
      </c>
      <c r="X365" s="193"/>
      <c r="Y365" s="193"/>
      <c r="Z365" s="43"/>
      <c r="AA365" s="43"/>
    </row>
    <row r="366" spans="1:33">
      <c r="A366" s="85">
        <v>45909</v>
      </c>
      <c r="B366">
        <v>28</v>
      </c>
      <c r="C366" t="s">
        <v>2052</v>
      </c>
      <c r="H366" s="175">
        <v>0.23</v>
      </c>
      <c r="I366">
        <v>0.39606999999999998</v>
      </c>
      <c r="J366">
        <v>-0.16606999999999997</v>
      </c>
      <c r="K366">
        <v>1.9421352460306631</v>
      </c>
      <c r="L366" s="391" t="e">
        <v>#DIV/0!</v>
      </c>
      <c r="M366">
        <v>-1.3840088509575352</v>
      </c>
      <c r="N366" t="e">
        <v>#DIV/0!</v>
      </c>
      <c r="O366">
        <v>128</v>
      </c>
      <c r="P366">
        <v>41.7</v>
      </c>
      <c r="Q366">
        <v>100</v>
      </c>
      <c r="R366">
        <v>3</v>
      </c>
      <c r="S366" t="s">
        <v>196</v>
      </c>
      <c r="T366" t="s">
        <v>196</v>
      </c>
      <c r="X366" s="193"/>
      <c r="Y366" s="193"/>
      <c r="Z366" s="43"/>
      <c r="AA366" s="43"/>
    </row>
    <row r="367" spans="1:33" ht="15.75">
      <c r="A367" s="85">
        <v>45909</v>
      </c>
      <c r="B367">
        <v>29</v>
      </c>
      <c r="C367" t="s">
        <v>2239</v>
      </c>
      <c r="D367">
        <v>2113</v>
      </c>
      <c r="G367">
        <v>2112.5774000000001</v>
      </c>
      <c r="H367" s="175">
        <v>251.3622</v>
      </c>
      <c r="I367">
        <v>0.39606999999999998</v>
      </c>
      <c r="J367">
        <v>250.96612999999999</v>
      </c>
      <c r="K367">
        <v>2122.0314681670857</v>
      </c>
      <c r="L367" s="391">
        <v>100.44751345759381</v>
      </c>
      <c r="M367">
        <v>2091.5237262031642</v>
      </c>
      <c r="N367">
        <v>98.983612219742753</v>
      </c>
      <c r="O367">
        <v>128</v>
      </c>
      <c r="P367">
        <v>41.7</v>
      </c>
      <c r="Q367">
        <v>100</v>
      </c>
      <c r="R367">
        <v>3</v>
      </c>
      <c r="S367" t="s">
        <v>196</v>
      </c>
      <c r="T367" t="s">
        <v>196</v>
      </c>
      <c r="X367" s="193"/>
      <c r="Y367" s="193"/>
      <c r="Z367" s="43"/>
      <c r="AA367" s="51"/>
    </row>
    <row r="368" spans="1:33" ht="15.75">
      <c r="A368" s="85">
        <v>45909</v>
      </c>
      <c r="B368">
        <v>30</v>
      </c>
      <c r="C368" t="s">
        <v>2053</v>
      </c>
      <c r="H368" s="175">
        <v>0.33179999999999998</v>
      </c>
      <c r="I368">
        <v>0.39606999999999998</v>
      </c>
      <c r="J368">
        <v>-6.4269999999999994E-2</v>
      </c>
      <c r="K368">
        <v>2.8015435341409227</v>
      </c>
      <c r="L368" s="391" t="e">
        <v>#DIV/0!</v>
      </c>
      <c r="M368">
        <v>-0.53561900915903415</v>
      </c>
      <c r="N368" t="e">
        <v>#DIV/0!</v>
      </c>
      <c r="O368">
        <v>128</v>
      </c>
      <c r="P368">
        <v>41.7</v>
      </c>
      <c r="Q368">
        <v>100</v>
      </c>
      <c r="R368">
        <v>3</v>
      </c>
      <c r="S368" t="s">
        <v>196</v>
      </c>
      <c r="T368" t="s">
        <v>196</v>
      </c>
      <c r="X368" s="193"/>
      <c r="Y368" s="193"/>
      <c r="Z368" s="43"/>
      <c r="AA368" s="425"/>
    </row>
    <row r="369" spans="24:27" ht="15.75">
      <c r="X369" s="43"/>
      <c r="Y369" s="425"/>
      <c r="Z369" s="51"/>
      <c r="AA369" s="43"/>
    </row>
    <row r="370" spans="24:27" ht="15.75">
      <c r="X370" s="43"/>
      <c r="Y370" s="425"/>
      <c r="Z370" s="51"/>
      <c r="AA370" s="43"/>
    </row>
    <row r="371" spans="24:27">
      <c r="AA371" s="43"/>
    </row>
    <row r="372" spans="24:27">
      <c r="AA372" s="43"/>
    </row>
    <row r="373" spans="24:27">
      <c r="AA373" s="43"/>
    </row>
    <row r="374" spans="24:27">
      <c r="AA374" s="43"/>
    </row>
    <row r="375" spans="24:27">
      <c r="AA375" s="43"/>
    </row>
    <row r="376" spans="24:27">
      <c r="AA376" s="43"/>
    </row>
    <row r="377" spans="24:27">
      <c r="AA377" s="43"/>
    </row>
    <row r="378" spans="24:27">
      <c r="AA378" s="43"/>
    </row>
    <row r="379" spans="24:27">
      <c r="AA379" s="43"/>
    </row>
    <row r="380" spans="24:27">
      <c r="AA380" s="43"/>
    </row>
    <row r="560" spans="27:27">
      <c r="AA560" s="43"/>
    </row>
    <row r="561" spans="27:27">
      <c r="AA561" s="43"/>
    </row>
    <row r="562" spans="27:27">
      <c r="AA562" s="43"/>
    </row>
    <row r="563" spans="27:27">
      <c r="AA563" s="43"/>
    </row>
    <row r="564" spans="27:27">
      <c r="AA564" s="43"/>
    </row>
    <row r="565" spans="27:27">
      <c r="AA565" s="43"/>
    </row>
    <row r="566" spans="27:27">
      <c r="AA566" s="43"/>
    </row>
    <row r="567" spans="27:27">
      <c r="AA567" s="43"/>
    </row>
  </sheetData>
  <mergeCells count="5">
    <mergeCell ref="K3:L3"/>
    <mergeCell ref="M3:N3"/>
    <mergeCell ref="AK4:AK6"/>
    <mergeCell ref="X6:Y6"/>
    <mergeCell ref="U12:U16"/>
  </mergeCells>
  <conditionalFormatting sqref="AH79:AH150 AH153:AH181">
    <cfRule type="cellIs" dxfId="7" priority="1" operator="lessThan">
      <formula>-5</formula>
    </cfRule>
    <cfRule type="cellIs" dxfId="6" priority="2" operator="greaterThan">
      <formula>5</formula>
    </cfRule>
  </conditionalFormatting>
  <printOptions headings="1"/>
  <pageMargins left="0.70866141732282995" right="0.70866141732282995" top="0.74803149606299002" bottom="0.74803149606299002" header="0.31496062992126" footer="0.31496062992126"/>
  <pageSetup paperSize="9" scale="14" fitToHeight="0" orientation="portrait" r:id="rId1"/>
  <headerFooter>
    <oddHeader>&amp;C&amp;"Aptos"&amp;12&amp;KFF0000 UNOFFICIAL&amp;1#_x000D_</oddHeader>
    <oddFooter>&amp;C_x000D_&amp;1#&amp;"Aptos"&amp;12&amp;KFF0000 UNOFFICIAL</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9309-DBBC-4E64-83C6-7A4F8F9DC24B}">
  <dimension ref="A1:AR93"/>
  <sheetViews>
    <sheetView topLeftCell="A10" zoomScaleNormal="100" workbookViewId="0">
      <pane xSplit="3" topLeftCell="D1" activePane="topRight" state="frozen"/>
      <selection pane="topRight" activeCell="E42" sqref="E42"/>
    </sheetView>
  </sheetViews>
  <sheetFormatPr defaultRowHeight="15"/>
  <cols>
    <col min="7" max="7" width="29.28515625" customWidth="1"/>
    <col min="9" max="9" width="13.5703125" customWidth="1"/>
    <col min="20" max="22" width="11.5703125" bestFit="1" customWidth="1"/>
    <col min="23" max="23" width="19.28515625" customWidth="1"/>
    <col min="24" max="24" width="16.85546875" customWidth="1"/>
    <col min="35" max="35" width="42" customWidth="1"/>
  </cols>
  <sheetData>
    <row r="1" spans="1:44" s="1" customFormat="1" ht="27" customHeight="1">
      <c r="A1" s="1" t="s">
        <v>217</v>
      </c>
      <c r="B1" s="1" t="s">
        <v>216</v>
      </c>
      <c r="C1" s="1" t="s">
        <v>215</v>
      </c>
      <c r="D1" s="117" t="s">
        <v>214</v>
      </c>
      <c r="E1" s="116" t="s">
        <v>213</v>
      </c>
      <c r="F1" s="124" t="s">
        <v>299</v>
      </c>
      <c r="G1" s="125" t="s">
        <v>300</v>
      </c>
      <c r="H1" s="1" t="s">
        <v>301</v>
      </c>
      <c r="I1" s="124" t="s">
        <v>302</v>
      </c>
      <c r="J1" s="126" t="s">
        <v>302</v>
      </c>
      <c r="K1" s="126" t="s">
        <v>303</v>
      </c>
      <c r="L1" s="126" t="s">
        <v>304</v>
      </c>
      <c r="M1" s="64" t="s">
        <v>305</v>
      </c>
      <c r="N1" s="64" t="s">
        <v>306</v>
      </c>
      <c r="O1" s="64" t="s">
        <v>307</v>
      </c>
      <c r="P1" s="64" t="s">
        <v>308</v>
      </c>
      <c r="Q1" s="126" t="s">
        <v>309</v>
      </c>
      <c r="R1" s="126" t="s">
        <v>310</v>
      </c>
      <c r="S1" s="126" t="s">
        <v>311</v>
      </c>
      <c r="T1" s="127" t="s">
        <v>301</v>
      </c>
      <c r="U1" s="127" t="s">
        <v>301</v>
      </c>
      <c r="V1" s="128" t="s">
        <v>312</v>
      </c>
      <c r="W1" s="1" t="s">
        <v>301</v>
      </c>
      <c r="X1" s="1" t="s">
        <v>301</v>
      </c>
      <c r="Y1" s="116" t="s">
        <v>214</v>
      </c>
      <c r="Z1" s="1" t="s">
        <v>313</v>
      </c>
      <c r="AB1" s="129" t="s">
        <v>314</v>
      </c>
      <c r="AC1" s="129" t="s">
        <v>314</v>
      </c>
      <c r="AD1" s="122" t="s">
        <v>315</v>
      </c>
      <c r="AE1" s="122" t="s">
        <v>316</v>
      </c>
      <c r="AF1" t="s">
        <v>317</v>
      </c>
      <c r="AG1" s="122" t="s">
        <v>318</v>
      </c>
      <c r="AH1" s="130" t="s">
        <v>319</v>
      </c>
      <c r="AI1" s="131" t="s">
        <v>320</v>
      </c>
      <c r="AJ1" s="132" t="s">
        <v>321</v>
      </c>
      <c r="AK1" s="126" t="s">
        <v>322</v>
      </c>
      <c r="AM1" s="38"/>
      <c r="AN1" s="171"/>
    </row>
    <row r="2" spans="1:44" ht="29.25" customHeight="1">
      <c r="A2" s="123" t="s">
        <v>369</v>
      </c>
      <c r="D2" s="120" t="s">
        <v>209</v>
      </c>
      <c r="E2" s="133" t="s">
        <v>208</v>
      </c>
      <c r="F2" s="134"/>
      <c r="G2" s="135" t="s">
        <v>323</v>
      </c>
      <c r="H2" t="s">
        <v>324</v>
      </c>
      <c r="I2" s="136" t="s">
        <v>325</v>
      </c>
      <c r="J2" s="137"/>
      <c r="K2" s="137"/>
      <c r="L2" s="138" t="s">
        <v>326</v>
      </c>
      <c r="M2" s="139" t="s">
        <v>327</v>
      </c>
      <c r="N2" s="139"/>
      <c r="O2" s="139" t="s">
        <v>328</v>
      </c>
      <c r="P2" s="139"/>
      <c r="Q2" s="137" t="s">
        <v>329</v>
      </c>
      <c r="R2" s="138"/>
      <c r="S2" s="138"/>
      <c r="T2" s="140" t="s">
        <v>330</v>
      </c>
      <c r="U2" s="140" t="s">
        <v>330</v>
      </c>
      <c r="V2" s="141" t="s">
        <v>330</v>
      </c>
      <c r="W2" t="s">
        <v>324</v>
      </c>
      <c r="X2" t="s">
        <v>324</v>
      </c>
      <c r="Y2" s="122" t="s">
        <v>331</v>
      </c>
      <c r="AB2" s="129" t="s">
        <v>332</v>
      </c>
      <c r="AC2" s="129" t="s">
        <v>333</v>
      </c>
      <c r="AD2" s="122" t="s">
        <v>334</v>
      </c>
      <c r="AE2" s="122" t="s">
        <v>334</v>
      </c>
      <c r="AF2" t="s">
        <v>314</v>
      </c>
      <c r="AG2" s="122" t="s">
        <v>314</v>
      </c>
      <c r="AH2" s="130" t="s">
        <v>314</v>
      </c>
      <c r="AI2" s="142" t="s">
        <v>335</v>
      </c>
      <c r="AJ2" s="52"/>
      <c r="AK2" s="126" t="s">
        <v>336</v>
      </c>
      <c r="AM2" s="172"/>
      <c r="AN2" s="173"/>
    </row>
    <row r="3" spans="1:44" ht="18.95" customHeight="1">
      <c r="A3" s="121"/>
      <c r="D3" s="120"/>
      <c r="E3" s="143" t="s">
        <v>207</v>
      </c>
      <c r="F3" s="136"/>
      <c r="G3" s="135"/>
      <c r="H3" t="s">
        <v>208</v>
      </c>
      <c r="I3" s="136" t="s">
        <v>207</v>
      </c>
      <c r="J3" s="144" t="s">
        <v>207</v>
      </c>
      <c r="K3" s="144"/>
      <c r="L3" s="145"/>
      <c r="M3" s="139" t="s">
        <v>337</v>
      </c>
      <c r="N3" s="139"/>
      <c r="O3" s="139" t="s">
        <v>337</v>
      </c>
      <c r="P3" s="139"/>
      <c r="Q3" s="138"/>
      <c r="R3" s="137" t="s">
        <v>338</v>
      </c>
      <c r="S3" s="138"/>
      <c r="T3" s="140" t="s">
        <v>339</v>
      </c>
      <c r="U3" s="140" t="s">
        <v>340</v>
      </c>
      <c r="V3" s="141" t="s">
        <v>341</v>
      </c>
      <c r="W3" t="s">
        <v>342</v>
      </c>
      <c r="X3" t="s">
        <v>342</v>
      </c>
      <c r="Y3" s="119" t="s">
        <v>343</v>
      </c>
      <c r="AB3" s="129" t="s">
        <v>337</v>
      </c>
      <c r="AC3" s="129" t="s">
        <v>337</v>
      </c>
      <c r="AD3" s="146" t="s">
        <v>337</v>
      </c>
      <c r="AE3" s="146" t="s">
        <v>337</v>
      </c>
      <c r="AF3" s="146" t="s">
        <v>337</v>
      </c>
      <c r="AG3" s="146" t="s">
        <v>337</v>
      </c>
      <c r="AH3" s="147" t="s">
        <v>337</v>
      </c>
      <c r="AI3" s="142" t="s">
        <v>344</v>
      </c>
      <c r="AJ3" s="52"/>
      <c r="AM3" s="172"/>
      <c r="AN3" s="171"/>
    </row>
    <row r="4" spans="1:44" s="1" customFormat="1" ht="18" customHeight="1">
      <c r="A4" s="118" t="s">
        <v>284</v>
      </c>
      <c r="B4" s="23"/>
      <c r="D4" s="117" t="s">
        <v>205</v>
      </c>
      <c r="E4" s="116" t="s">
        <v>204</v>
      </c>
      <c r="F4" s="124" t="s">
        <v>345</v>
      </c>
      <c r="G4" s="125"/>
      <c r="H4" s="1" t="s">
        <v>346</v>
      </c>
      <c r="I4" s="124" t="s">
        <v>347</v>
      </c>
      <c r="J4" s="126" t="s">
        <v>348</v>
      </c>
      <c r="K4" s="126"/>
      <c r="L4" s="148"/>
      <c r="M4" s="149" t="s">
        <v>349</v>
      </c>
      <c r="N4" s="64"/>
      <c r="O4" s="149" t="s">
        <v>349</v>
      </c>
      <c r="P4" s="149"/>
      <c r="Q4" s="126"/>
      <c r="R4" s="126" t="s">
        <v>350</v>
      </c>
      <c r="T4" s="127"/>
      <c r="U4" s="127"/>
      <c r="V4" s="128"/>
      <c r="W4" s="1" t="s">
        <v>346</v>
      </c>
      <c r="X4" s="1" t="s">
        <v>346</v>
      </c>
      <c r="Y4" s="116" t="s">
        <v>351</v>
      </c>
      <c r="AB4" s="129" t="s">
        <v>349</v>
      </c>
      <c r="AC4" s="129" t="s">
        <v>349</v>
      </c>
      <c r="AD4" s="122" t="s">
        <v>352</v>
      </c>
      <c r="AE4" s="122" t="s">
        <v>352</v>
      </c>
      <c r="AF4" s="129" t="s">
        <v>349</v>
      </c>
      <c r="AG4" s="129" t="s">
        <v>349</v>
      </c>
      <c r="AH4" s="147" t="s">
        <v>349</v>
      </c>
      <c r="AI4" s="131" t="s">
        <v>353</v>
      </c>
      <c r="AJ4" s="52"/>
      <c r="AM4" s="172"/>
      <c r="AN4" s="171"/>
    </row>
    <row r="5" spans="1:44" ht="12.95" customHeight="1">
      <c r="A5" s="1"/>
      <c r="B5" s="150"/>
      <c r="C5" s="150"/>
      <c r="D5" s="151"/>
      <c r="E5" s="133"/>
      <c r="F5" s="152"/>
      <c r="G5" s="135"/>
      <c r="H5" s="150"/>
      <c r="I5" s="152"/>
      <c r="J5" s="153"/>
      <c r="K5" s="153"/>
      <c r="L5" s="153"/>
      <c r="M5" s="154"/>
      <c r="N5" s="154"/>
      <c r="O5" s="154"/>
      <c r="P5" s="154"/>
      <c r="Q5" s="138"/>
      <c r="R5" s="155"/>
      <c r="S5" s="153"/>
      <c r="T5" s="156"/>
      <c r="U5" s="156"/>
      <c r="V5" s="157"/>
      <c r="W5" t="s">
        <v>354</v>
      </c>
      <c r="X5" t="s">
        <v>355</v>
      </c>
      <c r="Y5" s="100"/>
      <c r="Z5" s="150"/>
      <c r="AA5" s="150"/>
      <c r="AB5" s="129"/>
      <c r="AC5" s="129"/>
      <c r="AD5" s="122"/>
      <c r="AE5" s="122"/>
      <c r="AG5" s="122"/>
      <c r="AH5" s="158"/>
      <c r="AI5" s="159"/>
      <c r="AJ5" s="52"/>
      <c r="AM5" s="165"/>
      <c r="AN5" s="171"/>
    </row>
    <row r="6" spans="1:44" s="175" customFormat="1">
      <c r="A6" s="174" t="str">
        <f>'sample processing comments'!A5</f>
        <v>Deployment 18/5/2023 IN2023_V03</v>
      </c>
      <c r="B6" s="99" t="str">
        <f>'sample processing comments'!B5</f>
        <v>McLane-PARFLUX-Mark78H-21 ; frame# 2241, controller# 11640-01 and Motor # 11640-01 Cup set Dx21</v>
      </c>
      <c r="C6" s="101"/>
      <c r="E6" s="176"/>
      <c r="F6" s="177"/>
      <c r="G6" s="174"/>
      <c r="H6" s="113"/>
      <c r="I6" s="98" t="s">
        <v>201</v>
      </c>
      <c r="J6" s="178"/>
      <c r="K6" s="178"/>
      <c r="L6" s="178"/>
      <c r="M6" s="179"/>
      <c r="N6" s="179"/>
      <c r="O6" s="179"/>
      <c r="P6" s="179"/>
      <c r="Q6" s="180"/>
      <c r="R6" s="178"/>
      <c r="S6" s="178"/>
      <c r="T6" s="181"/>
      <c r="U6" s="181"/>
      <c r="V6" s="182"/>
      <c r="W6" s="183">
        <v>0</v>
      </c>
      <c r="X6" s="184"/>
      <c r="Y6" s="185"/>
      <c r="Z6" s="178"/>
      <c r="AA6" s="178"/>
      <c r="AB6" s="186"/>
      <c r="AC6" s="186"/>
      <c r="AD6" s="187"/>
      <c r="AE6" s="187"/>
      <c r="AG6" s="187"/>
      <c r="AH6" s="174"/>
      <c r="AI6" s="175" t="s">
        <v>356</v>
      </c>
      <c r="AJ6" s="98"/>
      <c r="AL6" s="178"/>
      <c r="AM6" s="188"/>
      <c r="AN6" s="189"/>
      <c r="AO6" s="178"/>
      <c r="AP6" s="178"/>
      <c r="AQ6" s="178"/>
      <c r="AR6" s="178"/>
    </row>
    <row r="7" spans="1:44">
      <c r="A7">
        <f>'sample processing comments'!A6</f>
        <v>2023</v>
      </c>
      <c r="B7" t="str">
        <f>'sample processing comments'!B6</f>
        <v>47_1000</v>
      </c>
      <c r="C7" t="str">
        <f>'sample processing comments'!C6</f>
        <v>D1</v>
      </c>
      <c r="D7">
        <f>'sample processing comments'!D6</f>
        <v>5</v>
      </c>
      <c r="E7" s="122">
        <f>'mass filt'!V6</f>
        <v>494.67142857142858</v>
      </c>
      <c r="F7">
        <v>0.5</v>
      </c>
      <c r="G7" t="str">
        <f>'sample processing comments'!H6</f>
        <v>IN2024_V02 carboy 2 12/4/2024 01:30 LAT: -47.501 LONG: 140.321</v>
      </c>
      <c r="H7" s="134">
        <f t="shared" ref="H7:H27" si="0">U7-T7</f>
        <v>15</v>
      </c>
      <c r="I7">
        <f>E7/F7/H7</f>
        <v>65.956190476190471</v>
      </c>
      <c r="J7">
        <f>0.001*365.25*E7/F7/H7</f>
        <v>24.090498571428572</v>
      </c>
      <c r="L7">
        <v>1</v>
      </c>
      <c r="M7" s="122">
        <f>'CHN data'!F3</f>
        <v>14.71473217010498</v>
      </c>
      <c r="N7" s="122">
        <f>'CHN data'!G3</f>
        <v>1.0463461875915527</v>
      </c>
      <c r="O7" s="122">
        <f>'CHN data'!E3</f>
        <v>1.0731297731399536</v>
      </c>
      <c r="R7" s="122">
        <f>pH_Sal!D3</f>
        <v>40.659999999999997</v>
      </c>
      <c r="S7">
        <f>pH_Sal!K3</f>
        <v>8.49</v>
      </c>
      <c r="T7" s="85">
        <f>Schedule!B17</f>
        <v>45068</v>
      </c>
      <c r="U7" s="85">
        <f>Schedule!B18</f>
        <v>45083</v>
      </c>
      <c r="V7" s="85">
        <f t="shared" ref="V7:V27" si="1">AVERAGE(T7:U7)</f>
        <v>45075.5</v>
      </c>
      <c r="W7" s="134">
        <f>H7+W6</f>
        <v>15</v>
      </c>
      <c r="X7">
        <v>0</v>
      </c>
      <c r="Y7">
        <f>D7/0.5/H7</f>
        <v>0.66666666666666663</v>
      </c>
      <c r="AB7">
        <f>'BSi data'!T4</f>
        <v>5.4428935725350263</v>
      </c>
      <c r="AC7">
        <f>'BSi data'!U4</f>
        <v>11.643413128288707</v>
      </c>
      <c r="AF7" cm="1">
        <f t="array" ref="AF7:AF27">'PIC data'!AF8:AF28</f>
        <v>67.89796153799513</v>
      </c>
      <c r="AG7">
        <f t="shared" ref="AG7:AG27" si="2">AF7*12.01/100.0869</f>
        <v>8.1474650335990173</v>
      </c>
      <c r="AH7" s="122">
        <f t="shared" ref="AH7:AH27" si="3">M7-AG7</f>
        <v>6.5672671365059632</v>
      </c>
      <c r="AI7" s="122">
        <f>AF7+(AC7*1.11)+(AH7*2.2)+3.7</f>
        <v>98.970137810708721</v>
      </c>
      <c r="AJ7" s="122"/>
      <c r="AK7" s="122">
        <f>report_47_flagged!AY6</f>
        <v>7.1388386475134169</v>
      </c>
    </row>
    <row r="8" spans="1:44">
      <c r="A8">
        <f>'sample processing comments'!A7</f>
        <v>2023</v>
      </c>
      <c r="B8" t="str">
        <f>'sample processing comments'!B7</f>
        <v>47_1000</v>
      </c>
      <c r="C8" t="str">
        <f>'sample processing comments'!C7</f>
        <v>D2</v>
      </c>
      <c r="D8">
        <f>'sample processing comments'!D7</f>
        <v>6</v>
      </c>
      <c r="E8" s="122">
        <f>'mass filt'!V7</f>
        <v>306.55714285714288</v>
      </c>
      <c r="F8">
        <v>0.5</v>
      </c>
      <c r="G8" t="str">
        <f>'sample processing comments'!H7</f>
        <v>IN2024_V02 carboy 2 12/4/2024 01:30 LAT: -47.501 LONG: 140.321</v>
      </c>
      <c r="H8" s="134">
        <f t="shared" si="0"/>
        <v>15</v>
      </c>
      <c r="I8">
        <f t="shared" ref="I8:I27" si="4">E8/F8/H8</f>
        <v>40.874285714285719</v>
      </c>
      <c r="J8">
        <f t="shared" ref="J8:J27" si="5">0.001*365.25*E8/F8/H8</f>
        <v>14.92933285714286</v>
      </c>
      <c r="L8">
        <v>1</v>
      </c>
      <c r="M8" s="122">
        <f>'CHN data'!F4</f>
        <v>14.187359809875488</v>
      </c>
      <c r="N8" s="122">
        <f>'CHN data'!G4</f>
        <v>0.94230365753173828</v>
      </c>
      <c r="O8" s="122">
        <f>'CHN data'!E4</f>
        <v>0.8994293212890625</v>
      </c>
      <c r="R8" s="122">
        <f>pH_Sal!D4</f>
        <v>39.58</v>
      </c>
      <c r="S8">
        <f>pH_Sal!K4</f>
        <v>8.59</v>
      </c>
      <c r="T8" s="85">
        <f>Schedule!B18</f>
        <v>45083</v>
      </c>
      <c r="U8" s="85">
        <f>Schedule!B19</f>
        <v>45098</v>
      </c>
      <c r="V8" s="85">
        <f t="shared" si="1"/>
        <v>45090.5</v>
      </c>
      <c r="W8" s="134">
        <f t="shared" ref="W8:W27" si="6">H8+W7</f>
        <v>30</v>
      </c>
      <c r="X8" s="134">
        <f>X7+H8</f>
        <v>15</v>
      </c>
      <c r="Y8">
        <f t="shared" ref="Y8:Y27" si="7">D8/0.5/H8</f>
        <v>0.8</v>
      </c>
      <c r="AB8">
        <f>'BSi data'!T6</f>
        <v>4.0843706259634178</v>
      </c>
      <c r="AC8">
        <f>'BSi data'!U6</f>
        <v>8.7372670314753229</v>
      </c>
      <c r="AF8">
        <v>71.854113247498631</v>
      </c>
      <c r="AG8">
        <f t="shared" si="2"/>
        <v>8.6221863211115402</v>
      </c>
      <c r="AH8" s="122">
        <f t="shared" si="3"/>
        <v>5.5651734887639481</v>
      </c>
      <c r="AI8" s="122">
        <f t="shared" ref="AI8:AI27" si="8">AF8+(AC8*1.11)+(AH8*2.2)+3.7</f>
        <v>97.495861327716923</v>
      </c>
      <c r="AJ8" s="122"/>
      <c r="AK8" s="122">
        <f>report_47_flagged!AY7</f>
        <v>7.2178324107472482</v>
      </c>
    </row>
    <row r="9" spans="1:44">
      <c r="A9">
        <f>'sample processing comments'!A8</f>
        <v>2023</v>
      </c>
      <c r="B9" t="str">
        <f>'sample processing comments'!B8</f>
        <v>47_1000</v>
      </c>
      <c r="C9" t="str">
        <f>'sample processing comments'!C8</f>
        <v>D3</v>
      </c>
      <c r="D9">
        <f>'sample processing comments'!D8</f>
        <v>3</v>
      </c>
      <c r="E9" s="122">
        <f>'mass filt'!V8</f>
        <v>130.12857142857143</v>
      </c>
      <c r="F9">
        <v>0.5</v>
      </c>
      <c r="G9" t="str">
        <f>'sample processing comments'!H8</f>
        <v>IN2024_V02 carboy 2 12/4/2024 01:30 LAT: -47.501 LONG: 140.321</v>
      </c>
      <c r="H9" s="134">
        <f t="shared" si="0"/>
        <v>15</v>
      </c>
      <c r="I9">
        <f t="shared" si="4"/>
        <v>17.35047619047619</v>
      </c>
      <c r="J9">
        <f t="shared" si="5"/>
        <v>6.3372614285714288</v>
      </c>
      <c r="L9">
        <v>1</v>
      </c>
      <c r="M9" s="122">
        <f>'CHN data'!F5</f>
        <v>15.580052375793457</v>
      </c>
      <c r="N9" s="122">
        <f>'CHN data'!G5</f>
        <v>1.1190721988677979</v>
      </c>
      <c r="O9" s="122">
        <f>'CHN data'!E5</f>
        <v>1.2202469110488892</v>
      </c>
      <c r="R9" s="122">
        <f>AVERAGE(pH_Sal!D5,pH_Sal!G5)</f>
        <v>38.844999999999999</v>
      </c>
      <c r="S9">
        <f>AVERAGE(pH_Sal!K5,pH_Sal!N5)</f>
        <v>8.4700000000000006</v>
      </c>
      <c r="T9" s="85">
        <f>Schedule!B19</f>
        <v>45098</v>
      </c>
      <c r="U9" s="85">
        <f>Schedule!B20</f>
        <v>45113</v>
      </c>
      <c r="V9" s="85">
        <f t="shared" si="1"/>
        <v>45105.5</v>
      </c>
      <c r="W9" s="134">
        <f t="shared" si="6"/>
        <v>45</v>
      </c>
      <c r="X9">
        <f t="shared" ref="X9:X27" si="9">X8+H9</f>
        <v>30</v>
      </c>
      <c r="Y9">
        <f t="shared" si="7"/>
        <v>0.4</v>
      </c>
      <c r="AB9">
        <f>'BSi data'!T8</f>
        <v>3.0975058461657268</v>
      </c>
      <c r="AC9">
        <f>'BSi data'!U8</f>
        <v>6.6261703914595405</v>
      </c>
      <c r="AF9">
        <v>70.994697892961668</v>
      </c>
      <c r="AG9">
        <f t="shared" si="2"/>
        <v>8.5190601536711554</v>
      </c>
      <c r="AH9" s="122">
        <f t="shared" si="3"/>
        <v>7.0609922221223016</v>
      </c>
      <c r="AI9" s="122">
        <f t="shared" si="8"/>
        <v>97.583929916150822</v>
      </c>
      <c r="AJ9" s="122"/>
      <c r="AK9" s="122">
        <f>report_47_flagged!AY8</f>
        <v>6.7501456531140462</v>
      </c>
    </row>
    <row r="10" spans="1:44">
      <c r="A10">
        <f>'sample processing comments'!A9</f>
        <v>2023</v>
      </c>
      <c r="B10" t="str">
        <f>'sample processing comments'!B9</f>
        <v>47_1000</v>
      </c>
      <c r="C10" t="str">
        <f>'sample processing comments'!C9</f>
        <v>D4</v>
      </c>
      <c r="D10">
        <f>'sample processing comments'!D9</f>
        <v>5</v>
      </c>
      <c r="E10" s="122">
        <f>'mass filt'!V9</f>
        <v>172.42857142857139</v>
      </c>
      <c r="F10">
        <v>0.5</v>
      </c>
      <c r="G10" t="str">
        <f>'sample processing comments'!H9</f>
        <v>IN2024_V02 carboy 2 12/4/2024 01:30 LAT: -47.501 LONG: 140.321</v>
      </c>
      <c r="H10" s="134">
        <f t="shared" si="0"/>
        <v>15</v>
      </c>
      <c r="I10">
        <f t="shared" si="4"/>
        <v>22.990476190476183</v>
      </c>
      <c r="J10">
        <f t="shared" si="5"/>
        <v>8.3972714285714272</v>
      </c>
      <c r="L10">
        <v>1</v>
      </c>
      <c r="M10" s="122">
        <f>'CHN data'!F6</f>
        <v>16.941841125488281</v>
      </c>
      <c r="N10" s="122">
        <f>'CHN data'!G6</f>
        <v>1.4250497817993164</v>
      </c>
      <c r="O10" s="122">
        <f>'CHN data'!E6</f>
        <v>1.4989533424377441</v>
      </c>
      <c r="R10" s="122">
        <f>pH_Sal!D6</f>
        <v>40.18</v>
      </c>
      <c r="S10">
        <f>pH_Sal!K6</f>
        <v>8.5</v>
      </c>
      <c r="T10" s="85">
        <f>Schedule!B20</f>
        <v>45113</v>
      </c>
      <c r="U10" s="85">
        <f>Schedule!B21</f>
        <v>45128</v>
      </c>
      <c r="V10" s="85">
        <f t="shared" si="1"/>
        <v>45120.5</v>
      </c>
      <c r="W10" s="134">
        <f t="shared" si="6"/>
        <v>60</v>
      </c>
      <c r="X10">
        <f t="shared" si="9"/>
        <v>45</v>
      </c>
      <c r="Y10">
        <f t="shared" si="7"/>
        <v>0.66666666666666663</v>
      </c>
      <c r="AB10">
        <f>'BSi data'!T10</f>
        <v>3.4736117628248202</v>
      </c>
      <c r="AC10">
        <f>'BSi data'!U10</f>
        <v>7.4307344545440905</v>
      </c>
      <c r="AF10">
        <v>64.348223374202803</v>
      </c>
      <c r="AG10">
        <f t="shared" si="2"/>
        <v>7.7215116336321303</v>
      </c>
      <c r="AH10" s="122">
        <f t="shared" si="3"/>
        <v>9.2203294918561518</v>
      </c>
      <c r="AI10" s="122">
        <f t="shared" si="8"/>
        <v>96.581063500830282</v>
      </c>
      <c r="AJ10" s="122"/>
      <c r="AK10" s="122">
        <f>report_47_flagged!AY9</f>
        <v>7.1755212349044681</v>
      </c>
    </row>
    <row r="11" spans="1:44">
      <c r="A11">
        <f>'sample processing comments'!A10</f>
        <v>2023</v>
      </c>
      <c r="B11" t="str">
        <f>'sample processing comments'!B10</f>
        <v>47_1000</v>
      </c>
      <c r="C11" t="str">
        <f>'sample processing comments'!C10</f>
        <v>D5</v>
      </c>
      <c r="D11">
        <f>'sample processing comments'!D10</f>
        <v>3</v>
      </c>
      <c r="E11" s="122">
        <f>'mass filt'!V10</f>
        <v>144.08571428571429</v>
      </c>
      <c r="F11">
        <v>0.5</v>
      </c>
      <c r="G11" t="str">
        <f>'sample processing comments'!H10</f>
        <v>IN2024_V02 carboy 2 12/4/2024 01:30 LAT: -47.501 LONG: 140.321</v>
      </c>
      <c r="H11" s="134">
        <f t="shared" si="0"/>
        <v>15</v>
      </c>
      <c r="I11">
        <f t="shared" si="4"/>
        <v>19.211428571428574</v>
      </c>
      <c r="J11">
        <f t="shared" si="5"/>
        <v>7.0169742857142863</v>
      </c>
      <c r="L11">
        <v>1</v>
      </c>
      <c r="M11" s="122">
        <f>AVERAGE('CHN data'!F7,'CHN data'!F10)</f>
        <v>16.899506568908691</v>
      </c>
      <c r="N11" s="122">
        <f>AVERAGE('CHN data'!G7,'CHN data'!G10)</f>
        <v>1.4538854360580444</v>
      </c>
      <c r="O11" s="122">
        <f>AVERAGE('CHN data'!E7,'CHN data'!E10)</f>
        <v>1.4970347881317139</v>
      </c>
      <c r="R11" s="122">
        <f>pH_Sal!D7</f>
        <v>40.21</v>
      </c>
      <c r="S11">
        <f>pH_Sal!K7</f>
        <v>8.5399999999999991</v>
      </c>
      <c r="T11" s="85">
        <f>Schedule!B21</f>
        <v>45128</v>
      </c>
      <c r="U11" s="85">
        <f>Schedule!B22</f>
        <v>45143</v>
      </c>
      <c r="V11" s="85">
        <f t="shared" si="1"/>
        <v>45135.5</v>
      </c>
      <c r="W11" s="134">
        <f t="shared" si="6"/>
        <v>75</v>
      </c>
      <c r="X11">
        <f t="shared" si="9"/>
        <v>60</v>
      </c>
      <c r="Y11">
        <f t="shared" si="7"/>
        <v>0.4</v>
      </c>
      <c r="AB11">
        <f>'BSi data'!T12</f>
        <v>4.0695577039929836</v>
      </c>
      <c r="AC11">
        <f>'BSi data'!U12</f>
        <v>8.7055792962954222</v>
      </c>
      <c r="AF11">
        <v>63.169767863417746</v>
      </c>
      <c r="AG11">
        <f t="shared" si="2"/>
        <v>7.580102011748262</v>
      </c>
      <c r="AH11" s="122">
        <f t="shared" si="3"/>
        <v>9.3194045571604285</v>
      </c>
      <c r="AI11" s="122">
        <f t="shared" si="8"/>
        <v>97.035650908058614</v>
      </c>
      <c r="AJ11" s="122"/>
      <c r="AK11" s="122">
        <f>report_47_flagged!AY10</f>
        <v>7.2619189962716</v>
      </c>
    </row>
    <row r="12" spans="1:44">
      <c r="A12">
        <f>'sample processing comments'!A11</f>
        <v>2023</v>
      </c>
      <c r="B12" t="str">
        <f>'sample processing comments'!B11</f>
        <v>47_1000</v>
      </c>
      <c r="C12" t="str">
        <f>'sample processing comments'!C11</f>
        <v>D6</v>
      </c>
      <c r="D12">
        <f>'sample processing comments'!D11</f>
        <v>2</v>
      </c>
      <c r="E12" s="122">
        <f>'mass filt'!V11</f>
        <v>160.67142857142858</v>
      </c>
      <c r="F12">
        <v>0.5</v>
      </c>
      <c r="G12" t="str">
        <f>'sample processing comments'!H11</f>
        <v>IN2024_V02 carboy 2 12/4/2024 01:30 LAT: -47.501 LONG: 140.321</v>
      </c>
      <c r="H12" s="134">
        <f t="shared" si="0"/>
        <v>15</v>
      </c>
      <c r="I12">
        <f t="shared" si="4"/>
        <v>21.422857142857143</v>
      </c>
      <c r="J12">
        <f t="shared" si="5"/>
        <v>7.8246985714285717</v>
      </c>
      <c r="L12">
        <v>1</v>
      </c>
      <c r="M12" s="122">
        <f>'CHN data'!F9</f>
        <v>15.826993942260742</v>
      </c>
      <c r="N12" s="122">
        <f>'CHN data'!G9</f>
        <v>1.1684907674789429</v>
      </c>
      <c r="O12" s="122">
        <f>'CHN data'!E9</f>
        <v>1.2040331363677979</v>
      </c>
      <c r="R12" s="122">
        <f>pH_Sal!D8</f>
        <v>39.94</v>
      </c>
      <c r="S12">
        <f>pH_Sal!K8</f>
        <v>8.5399999999999991</v>
      </c>
      <c r="T12" s="85">
        <f>Schedule!B22</f>
        <v>45143</v>
      </c>
      <c r="U12" s="85">
        <f>Schedule!B23</f>
        <v>45158</v>
      </c>
      <c r="V12" s="85">
        <f t="shared" si="1"/>
        <v>45150.5</v>
      </c>
      <c r="W12" s="134">
        <f t="shared" si="6"/>
        <v>90</v>
      </c>
      <c r="X12">
        <f t="shared" si="9"/>
        <v>75</v>
      </c>
      <c r="Y12">
        <f t="shared" si="7"/>
        <v>0.26666666666666666</v>
      </c>
      <c r="AB12">
        <f>'BSi data'!T16</f>
        <v>4.5270138724510112</v>
      </c>
      <c r="AC12">
        <f>'BSi data'!U16</f>
        <v>9.6841674473329036</v>
      </c>
      <c r="AF12">
        <v>66.814093851219866</v>
      </c>
      <c r="AG12">
        <f t="shared" si="2"/>
        <v>8.0174055461119345</v>
      </c>
      <c r="AH12" s="122">
        <f t="shared" si="3"/>
        <v>7.8095883961488077</v>
      </c>
      <c r="AI12" s="122">
        <f t="shared" si="8"/>
        <v>98.444614189286767</v>
      </c>
      <c r="AJ12" s="122"/>
      <c r="AK12" s="122">
        <f>report_47_flagged!AY11</f>
        <v>7.5663222423727756</v>
      </c>
    </row>
    <row r="13" spans="1:44">
      <c r="A13">
        <f>'sample processing comments'!A12</f>
        <v>2023</v>
      </c>
      <c r="B13" t="str">
        <f>'sample processing comments'!B12</f>
        <v>47_1000</v>
      </c>
      <c r="C13" t="str">
        <f>'sample processing comments'!C12</f>
        <v>D7</v>
      </c>
      <c r="D13">
        <f>'sample processing comments'!D12</f>
        <v>2</v>
      </c>
      <c r="E13" s="122">
        <f>'mass filt'!V12</f>
        <v>130.68571428571428</v>
      </c>
      <c r="F13">
        <v>0.5</v>
      </c>
      <c r="G13" t="str">
        <f>'sample processing comments'!H12</f>
        <v>IN2024_V02 carboy 2 12/4/2024 01:30 LAT: -47.501 LONG: 140.321</v>
      </c>
      <c r="H13" s="134">
        <f t="shared" si="0"/>
        <v>15</v>
      </c>
      <c r="I13">
        <f t="shared" si="4"/>
        <v>17.424761904761905</v>
      </c>
      <c r="J13">
        <f t="shared" si="5"/>
        <v>6.3643942857142859</v>
      </c>
      <c r="L13">
        <v>1</v>
      </c>
      <c r="M13" s="122">
        <f>'CHN data'!F68</f>
        <v>16.646936416625977</v>
      </c>
      <c r="N13" s="122">
        <f>'CHN data'!G68</f>
        <v>1.379123330116272</v>
      </c>
      <c r="O13" s="122">
        <f>'CHN data'!E68</f>
        <v>1.6078505516052246</v>
      </c>
      <c r="R13" s="122">
        <f>pH_Sal!D9</f>
        <v>40.35</v>
      </c>
      <c r="S13">
        <f>pH_Sal!K9</f>
        <v>8.58</v>
      </c>
      <c r="T13" s="85">
        <f>Schedule!B23</f>
        <v>45158</v>
      </c>
      <c r="U13" s="85">
        <f>Schedule!B24</f>
        <v>45173</v>
      </c>
      <c r="V13" s="85">
        <f t="shared" si="1"/>
        <v>45165.5</v>
      </c>
      <c r="W13" s="134">
        <f t="shared" si="6"/>
        <v>105</v>
      </c>
      <c r="X13">
        <f t="shared" si="9"/>
        <v>90</v>
      </c>
      <c r="Y13">
        <f t="shared" si="7"/>
        <v>0.26666666666666666</v>
      </c>
      <c r="AB13">
        <f>'BSi data'!T18</f>
        <v>4.6826134822467935</v>
      </c>
      <c r="AC13">
        <f>'BSi data'!U18</f>
        <v>10.017025423574577</v>
      </c>
      <c r="AF13">
        <v>61.976807031448239</v>
      </c>
      <c r="AG13">
        <f t="shared" si="2"/>
        <v>7.436951813351131</v>
      </c>
      <c r="AH13" s="122">
        <f t="shared" si="3"/>
        <v>9.2099846032748456</v>
      </c>
      <c r="AI13" s="122">
        <f t="shared" si="8"/>
        <v>97.057671378820686</v>
      </c>
      <c r="AJ13" s="122"/>
      <c r="AK13" s="122">
        <f>report_47_flagged!AY12</f>
        <v>6.6820289528665899</v>
      </c>
    </row>
    <row r="14" spans="1:44">
      <c r="A14">
        <f>'sample processing comments'!A13</f>
        <v>2023</v>
      </c>
      <c r="B14" t="str">
        <f>'sample processing comments'!B13</f>
        <v>47_1000</v>
      </c>
      <c r="C14" t="str">
        <f>'sample processing comments'!C13</f>
        <v>D8</v>
      </c>
      <c r="D14">
        <f>'sample processing comments'!D13</f>
        <v>4</v>
      </c>
      <c r="E14" s="122">
        <f>'mass filt'!V13</f>
        <v>239.04285714285714</v>
      </c>
      <c r="F14">
        <v>0.5</v>
      </c>
      <c r="G14" t="str">
        <f>'sample processing comments'!H13</f>
        <v>IN2024_V02 carboy 2 12/4/2024 01:30 LAT: -47.501 LONG: 140.321</v>
      </c>
      <c r="H14" s="134">
        <f t="shared" si="0"/>
        <v>15</v>
      </c>
      <c r="I14">
        <f t="shared" si="4"/>
        <v>31.872380952380954</v>
      </c>
      <c r="J14">
        <f t="shared" si="5"/>
        <v>11.641387142857145</v>
      </c>
      <c r="L14">
        <v>1</v>
      </c>
      <c r="M14" s="122">
        <f>'CHN data'!F11</f>
        <v>15.056515693664551</v>
      </c>
      <c r="N14" s="122">
        <f>'CHN data'!G11</f>
        <v>1.1957277059555054</v>
      </c>
      <c r="O14" s="122">
        <f>'CHN data'!E11</f>
        <v>1.24662184715271</v>
      </c>
      <c r="R14" s="122">
        <f>pH_Sal!D10</f>
        <v>40.65</v>
      </c>
      <c r="S14">
        <f>pH_Sal!K10</f>
        <v>8.59</v>
      </c>
      <c r="T14" s="85">
        <f>Schedule!B24</f>
        <v>45173</v>
      </c>
      <c r="U14" s="85">
        <f>Schedule!B25</f>
        <v>45188</v>
      </c>
      <c r="V14" s="85">
        <f t="shared" si="1"/>
        <v>45180.5</v>
      </c>
      <c r="W14" s="134">
        <f t="shared" si="6"/>
        <v>120</v>
      </c>
      <c r="X14">
        <f t="shared" si="9"/>
        <v>105</v>
      </c>
      <c r="Y14">
        <f t="shared" si="7"/>
        <v>0.53333333333333333</v>
      </c>
      <c r="AB14">
        <f>'BSi data'!T20</f>
        <v>6.2231245896270231</v>
      </c>
      <c r="AC14">
        <f>'BSi data'!U20</f>
        <v>13.31247976470943</v>
      </c>
      <c r="AF14">
        <v>62.602120009255792</v>
      </c>
      <c r="AG14">
        <f t="shared" si="2"/>
        <v>7.5119866966722126</v>
      </c>
      <c r="AH14" s="122">
        <f t="shared" si="3"/>
        <v>7.5445289969923381</v>
      </c>
      <c r="AI14" s="122">
        <f t="shared" si="8"/>
        <v>97.676936341466401</v>
      </c>
      <c r="AJ14" s="122"/>
      <c r="AK14" s="122">
        <f>report_47_flagged!AY13</f>
        <v>7.0598020865951367</v>
      </c>
    </row>
    <row r="15" spans="1:44">
      <c r="A15">
        <f>'sample processing comments'!A14</f>
        <v>2023</v>
      </c>
      <c r="B15" t="str">
        <f>'sample processing comments'!B14</f>
        <v>47_1000</v>
      </c>
      <c r="C15" t="str">
        <f>'sample processing comments'!C14</f>
        <v>D9</v>
      </c>
      <c r="D15">
        <f>'sample processing comments'!D14</f>
        <v>3</v>
      </c>
      <c r="E15" s="122">
        <f>'mass filt'!V14</f>
        <v>312.92857142857139</v>
      </c>
      <c r="F15">
        <v>0.5</v>
      </c>
      <c r="G15" t="str">
        <f>'sample processing comments'!H14</f>
        <v>IN2024_V02 carboy 2 12/4/2024 01:30 LAT: -47.501 LONG: 140.321</v>
      </c>
      <c r="H15" s="134">
        <f t="shared" si="0"/>
        <v>15</v>
      </c>
      <c r="I15">
        <f t="shared" si="4"/>
        <v>41.723809523809521</v>
      </c>
      <c r="J15">
        <f t="shared" si="5"/>
        <v>15.239621428571429</v>
      </c>
      <c r="L15">
        <v>1</v>
      </c>
      <c r="M15" s="122">
        <f>'CHN data'!F12</f>
        <v>14.936423301696777</v>
      </c>
      <c r="N15" s="122">
        <f>'CHN data'!G12</f>
        <v>1.1022970676422119</v>
      </c>
      <c r="O15" s="122">
        <f>'CHN data'!E12</f>
        <v>1.1763488054275513</v>
      </c>
      <c r="R15" s="122">
        <f>pH_Sal!D11</f>
        <v>40.590000000000003</v>
      </c>
      <c r="S15">
        <f>pH_Sal!K11</f>
        <v>8.58</v>
      </c>
      <c r="T15" s="85">
        <f>Schedule!B25</f>
        <v>45188</v>
      </c>
      <c r="U15" s="85">
        <f>Schedule!B26</f>
        <v>45203</v>
      </c>
      <c r="V15" s="85">
        <f t="shared" si="1"/>
        <v>45195.5</v>
      </c>
      <c r="W15" s="134">
        <f t="shared" si="6"/>
        <v>135</v>
      </c>
      <c r="X15">
        <f t="shared" si="9"/>
        <v>120</v>
      </c>
      <c r="Y15">
        <f t="shared" si="7"/>
        <v>0.4</v>
      </c>
      <c r="AB15">
        <f>'BSi data'!T22</f>
        <v>5.8024817107940319</v>
      </c>
      <c r="AC15">
        <f>'BSi data'!U22</f>
        <v>12.412642435087694</v>
      </c>
      <c r="AF15">
        <v>65.52842043529958</v>
      </c>
      <c r="AG15">
        <f t="shared" si="2"/>
        <v>7.8631302341060412</v>
      </c>
      <c r="AH15" s="122">
        <f t="shared" si="3"/>
        <v>7.0732930675907362</v>
      </c>
      <c r="AI15" s="122">
        <f t="shared" si="8"/>
        <v>98.567698286946552</v>
      </c>
      <c r="AJ15" s="122"/>
      <c r="AK15" s="122">
        <f>report_47_flagged!AY14</f>
        <v>7.0142406942770341</v>
      </c>
    </row>
    <row r="16" spans="1:44">
      <c r="A16">
        <f>'sample processing comments'!A15</f>
        <v>2023</v>
      </c>
      <c r="B16" t="str">
        <f>'sample processing comments'!B15</f>
        <v>47_1000</v>
      </c>
      <c r="C16" t="str">
        <f>'sample processing comments'!C15</f>
        <v>D10</v>
      </c>
      <c r="D16">
        <f>'sample processing comments'!D15</f>
        <v>3</v>
      </c>
      <c r="E16" s="122">
        <f>'mass filt'!V15</f>
        <v>474.3</v>
      </c>
      <c r="F16">
        <v>0.5</v>
      </c>
      <c r="G16" t="str">
        <f>'sample processing comments'!H15</f>
        <v>IN2024_V02 carboy 2 12/4/2024 01:30 LAT: -47.501 LONG: 140.321</v>
      </c>
      <c r="H16" s="134">
        <f t="shared" si="0"/>
        <v>15</v>
      </c>
      <c r="I16">
        <f t="shared" si="4"/>
        <v>63.24</v>
      </c>
      <c r="J16">
        <f t="shared" si="5"/>
        <v>23.098410000000001</v>
      </c>
      <c r="L16">
        <v>1</v>
      </c>
      <c r="M16" s="122">
        <f>'CHN data'!F13</f>
        <v>14.13904857635498</v>
      </c>
      <c r="N16" s="122">
        <f>'CHN data'!G13</f>
        <v>0.85956567525863647</v>
      </c>
      <c r="O16" s="122">
        <f>'CHN data'!E13</f>
        <v>0.8675951361656189</v>
      </c>
      <c r="R16" s="122">
        <f>pH_Sal!D12</f>
        <v>40.57</v>
      </c>
      <c r="S16">
        <f>pH_Sal!K12</f>
        <v>8.5399999999999991</v>
      </c>
      <c r="T16" s="85">
        <f>Schedule!B26</f>
        <v>45203</v>
      </c>
      <c r="U16" s="85">
        <f>Schedule!B27</f>
        <v>45218</v>
      </c>
      <c r="V16" s="85">
        <f t="shared" si="1"/>
        <v>45210.5</v>
      </c>
      <c r="W16" s="134">
        <f t="shared" si="6"/>
        <v>150</v>
      </c>
      <c r="X16">
        <f t="shared" si="9"/>
        <v>135</v>
      </c>
      <c r="Y16">
        <f t="shared" si="7"/>
        <v>0.4</v>
      </c>
      <c r="AB16">
        <f>'BSi data'!T24</f>
        <v>4.7619507956176461</v>
      </c>
      <c r="AC16">
        <f>'BSi data'!U24</f>
        <v>10.186743442814681</v>
      </c>
      <c r="AF16">
        <v>72.325832437534103</v>
      </c>
      <c r="AG16">
        <f t="shared" si="2"/>
        <v>8.6787906067106153</v>
      </c>
      <c r="AH16" s="122">
        <f t="shared" si="3"/>
        <v>5.4602579696443652</v>
      </c>
      <c r="AI16" s="122">
        <f t="shared" si="8"/>
        <v>99.345685192276008</v>
      </c>
      <c r="AJ16" s="122"/>
      <c r="AK16" s="122">
        <f>report_47_flagged!AY15</f>
        <v>7.3416078091692167</v>
      </c>
    </row>
    <row r="17" spans="1:37">
      <c r="A17">
        <f>'sample processing comments'!A16</f>
        <v>2023</v>
      </c>
      <c r="B17" t="str">
        <f>'sample processing comments'!B16</f>
        <v>47_1000</v>
      </c>
      <c r="C17" t="str">
        <f>'sample processing comments'!C16</f>
        <v>D11</v>
      </c>
      <c r="D17">
        <f>'sample processing comments'!D16</f>
        <v>4</v>
      </c>
      <c r="E17" s="122">
        <f>'mass filt'!V16</f>
        <v>602.94285714285718</v>
      </c>
      <c r="F17">
        <v>0.5</v>
      </c>
      <c r="G17" t="str">
        <f>'sample processing comments'!H16</f>
        <v>IN2024_V02 carboy 2 12/4/2024 01:30 LAT: -47.501 LONG: 140.321</v>
      </c>
      <c r="H17" s="134">
        <f t="shared" si="0"/>
        <v>15</v>
      </c>
      <c r="I17">
        <f t="shared" si="4"/>
        <v>80.392380952380961</v>
      </c>
      <c r="J17">
        <f t="shared" si="5"/>
        <v>29.363317142857149</v>
      </c>
      <c r="L17">
        <v>1</v>
      </c>
      <c r="M17" s="122">
        <f>'CHN data'!F14</f>
        <v>13.897967338562012</v>
      </c>
      <c r="N17" s="122">
        <f>'CHN data'!G14</f>
        <v>0.84981191158294678</v>
      </c>
      <c r="O17" s="122">
        <f>'CHN data'!E14</f>
        <v>0.77254652976989746</v>
      </c>
      <c r="R17" s="122">
        <f>pH_Sal!D13</f>
        <v>40.450000000000003</v>
      </c>
      <c r="S17">
        <f>pH_Sal!K13</f>
        <v>8.5399999999999991</v>
      </c>
      <c r="T17" s="85">
        <f>Schedule!B27</f>
        <v>45218</v>
      </c>
      <c r="U17" s="85">
        <f>Schedule!B28</f>
        <v>45233</v>
      </c>
      <c r="V17" s="85">
        <f t="shared" si="1"/>
        <v>45225.5</v>
      </c>
      <c r="W17" s="134">
        <f t="shared" si="6"/>
        <v>165</v>
      </c>
      <c r="X17">
        <f t="shared" si="9"/>
        <v>150</v>
      </c>
      <c r="Y17">
        <f t="shared" si="7"/>
        <v>0.53333333333333333</v>
      </c>
      <c r="AB17">
        <f>'BSi data'!T28</f>
        <v>4.9779950508655402</v>
      </c>
      <c r="AC17">
        <f>'BSi data'!U28</f>
        <v>10.648904329174449</v>
      </c>
      <c r="AF17">
        <v>71.912612812938164</v>
      </c>
      <c r="AG17">
        <f t="shared" si="2"/>
        <v>8.6292060188035329</v>
      </c>
      <c r="AH17" s="122">
        <f t="shared" si="3"/>
        <v>5.2687613197584788</v>
      </c>
      <c r="AI17" s="122">
        <f t="shared" si="8"/>
        <v>99.024171521790464</v>
      </c>
      <c r="AJ17" s="122"/>
      <c r="AK17" s="122">
        <f>report_47_flagged!AY16</f>
        <v>7.9557111532331746</v>
      </c>
    </row>
    <row r="18" spans="1:37">
      <c r="A18">
        <f>'sample processing comments'!A17</f>
        <v>2023</v>
      </c>
      <c r="B18" t="str">
        <f>'sample processing comments'!B17</f>
        <v>47_1000</v>
      </c>
      <c r="C18" t="str">
        <f>'sample processing comments'!C17</f>
        <v>D12</v>
      </c>
      <c r="D18">
        <f>'sample processing comments'!D17</f>
        <v>8</v>
      </c>
      <c r="E18" s="122">
        <f>'mass filt'!V18</f>
        <v>937.38571428571413</v>
      </c>
      <c r="F18">
        <v>0.5</v>
      </c>
      <c r="G18" t="str">
        <f>'sample processing comments'!H17</f>
        <v>IN2024_V02 carboy 2 12/4/2024 01:30 LAT: -47.501 LONG: 140.321</v>
      </c>
      <c r="H18" s="134">
        <f t="shared" si="0"/>
        <v>15</v>
      </c>
      <c r="I18">
        <f t="shared" si="4"/>
        <v>124.98476190476188</v>
      </c>
      <c r="J18">
        <f t="shared" si="5"/>
        <v>45.650684285714284</v>
      </c>
      <c r="L18">
        <v>1</v>
      </c>
      <c r="M18" s="122">
        <f>'CHN data'!F17</f>
        <v>14.414851188659668</v>
      </c>
      <c r="N18" s="122">
        <f>'CHN data'!G17</f>
        <v>1.0184211730957031</v>
      </c>
      <c r="O18" s="122">
        <f>'CHN data'!E17</f>
        <v>0.87698572874069214</v>
      </c>
      <c r="R18" s="122">
        <f>AVERAGE(pH_Sal!D14,pH_Sal!G14)</f>
        <v>40.620000000000005</v>
      </c>
      <c r="S18">
        <f>AVERAGE(pH_Sal!K14,pH_Sal!N14)</f>
        <v>8.5150000000000006</v>
      </c>
      <c r="T18" s="85">
        <f>Schedule!B28</f>
        <v>45233</v>
      </c>
      <c r="U18" s="85">
        <f>Schedule!B29</f>
        <v>45248</v>
      </c>
      <c r="V18" s="85">
        <f t="shared" si="1"/>
        <v>45240.5</v>
      </c>
      <c r="W18" s="134">
        <f t="shared" si="6"/>
        <v>180</v>
      </c>
      <c r="X18">
        <f t="shared" si="9"/>
        <v>165</v>
      </c>
      <c r="Y18">
        <f t="shared" si="7"/>
        <v>1.0666666666666667</v>
      </c>
      <c r="AB18">
        <f>'BSi data'!T30</f>
        <v>5.9120175633439995</v>
      </c>
      <c r="AC18">
        <f>'BSi data'!U30</f>
        <v>12.646961031731612</v>
      </c>
      <c r="AF18">
        <v>67.729120382894621</v>
      </c>
      <c r="AG18">
        <f t="shared" si="2"/>
        <v>8.1272048169996722</v>
      </c>
      <c r="AH18" s="122">
        <f t="shared" si="3"/>
        <v>6.2876463716599957</v>
      </c>
      <c r="AI18" s="122">
        <f t="shared" si="8"/>
        <v>99.300069145768703</v>
      </c>
      <c r="AJ18" s="122"/>
      <c r="AK18" s="122">
        <f>report_47_flagged!AY17</f>
        <v>8.3635510090320775</v>
      </c>
    </row>
    <row r="19" spans="1:37">
      <c r="A19">
        <f>'sample processing comments'!A18</f>
        <v>2023</v>
      </c>
      <c r="B19" t="str">
        <f>'sample processing comments'!B18</f>
        <v>47_1000</v>
      </c>
      <c r="C19" t="str">
        <f>'sample processing comments'!C18</f>
        <v>D13</v>
      </c>
      <c r="D19">
        <f>'sample processing comments'!D18</f>
        <v>12</v>
      </c>
      <c r="E19" s="122">
        <f>'mass filt'!V20</f>
        <v>1423.7428571428572</v>
      </c>
      <c r="F19">
        <v>0.5</v>
      </c>
      <c r="G19" t="str">
        <f>'sample processing comments'!H18</f>
        <v>IN2024_V02 carboy 2 12/4/2024 01:30 LAT: -47.501 LONG: 140.321</v>
      </c>
      <c r="H19" s="134">
        <f t="shared" si="0"/>
        <v>15</v>
      </c>
      <c r="I19">
        <f t="shared" si="4"/>
        <v>189.83238095238096</v>
      </c>
      <c r="J19">
        <f t="shared" si="5"/>
        <v>69.336277142857156</v>
      </c>
      <c r="L19">
        <v>1</v>
      </c>
      <c r="M19" s="122">
        <f>'CHN data'!F18</f>
        <v>13.559201240539551</v>
      </c>
      <c r="N19" s="122">
        <f>'CHN data'!G18</f>
        <v>1.0991194248199463</v>
      </c>
      <c r="O19" s="122">
        <f>'CHN data'!E18</f>
        <v>0.87384563684463501</v>
      </c>
      <c r="R19" s="122">
        <f>pH_Sal!D15</f>
        <v>39.880000000000003</v>
      </c>
      <c r="S19">
        <f>pH_Sal!K15</f>
        <v>8.42</v>
      </c>
      <c r="T19" s="85">
        <f>Schedule!B29</f>
        <v>45248</v>
      </c>
      <c r="U19" s="85">
        <f>Schedule!B30</f>
        <v>45263</v>
      </c>
      <c r="V19" s="85">
        <f t="shared" si="1"/>
        <v>45255.5</v>
      </c>
      <c r="W19" s="134">
        <f t="shared" si="6"/>
        <v>195</v>
      </c>
      <c r="X19">
        <f t="shared" si="9"/>
        <v>180</v>
      </c>
      <c r="Y19">
        <f t="shared" si="7"/>
        <v>1.6</v>
      </c>
      <c r="AB19">
        <f>'BSi data'!T32</f>
        <v>8.5667506125256203</v>
      </c>
      <c r="AC19">
        <f>'BSi data'!U32</f>
        <v>18.32595387350176</v>
      </c>
      <c r="AF19">
        <v>60.136488722574157</v>
      </c>
      <c r="AG19">
        <f t="shared" si="2"/>
        <v>7.216121486009814</v>
      </c>
      <c r="AH19" s="122">
        <f t="shared" si="3"/>
        <v>6.3430797545297368</v>
      </c>
      <c r="AI19" s="122">
        <f t="shared" si="8"/>
        <v>98.133072982126535</v>
      </c>
      <c r="AJ19" s="122"/>
      <c r="AK19" s="122">
        <f>report_47_flagged!AY18</f>
        <v>8.4676047483382035</v>
      </c>
    </row>
    <row r="20" spans="1:37">
      <c r="A20">
        <f>'sample processing comments'!A19</f>
        <v>2023</v>
      </c>
      <c r="B20" t="str">
        <f>'sample processing comments'!B19</f>
        <v>47_1000</v>
      </c>
      <c r="C20" t="str">
        <f>'sample processing comments'!C19</f>
        <v>D14</v>
      </c>
      <c r="D20">
        <f>'sample processing comments'!D19</f>
        <v>9</v>
      </c>
      <c r="E20" s="122">
        <f>'mass filt'!V22</f>
        <v>648.57142857142867</v>
      </c>
      <c r="F20">
        <v>0.5</v>
      </c>
      <c r="G20" t="str">
        <f>'sample processing comments'!H19</f>
        <v>IN2024_V02 carboy 2 12/4/2024 01:30 LAT: -47.501 LONG: 140.321</v>
      </c>
      <c r="H20" s="134">
        <f t="shared" si="0"/>
        <v>15</v>
      </c>
      <c r="I20">
        <f t="shared" si="4"/>
        <v>86.476190476190496</v>
      </c>
      <c r="J20">
        <f t="shared" si="5"/>
        <v>31.585428571428576</v>
      </c>
      <c r="L20">
        <v>1</v>
      </c>
      <c r="M20" s="122">
        <f>'CHN data'!F19</f>
        <v>13.887373924255371</v>
      </c>
      <c r="N20" s="122">
        <f>'CHN data'!G19</f>
        <v>1.138117790222168</v>
      </c>
      <c r="O20" s="122">
        <f>'CHN data'!E19</f>
        <v>0.94786739349365234</v>
      </c>
      <c r="R20" s="122">
        <f>pH_Sal!D16</f>
        <v>38.090000000000003</v>
      </c>
      <c r="S20">
        <f>pH_Sal!K16</f>
        <v>8.2899999999999991</v>
      </c>
      <c r="T20" s="85">
        <f>Schedule!B30</f>
        <v>45263</v>
      </c>
      <c r="U20" s="85">
        <f>Schedule!B31</f>
        <v>45278</v>
      </c>
      <c r="V20" s="85">
        <f t="shared" si="1"/>
        <v>45270.5</v>
      </c>
      <c r="W20" s="134">
        <f t="shared" si="6"/>
        <v>210</v>
      </c>
      <c r="X20">
        <f t="shared" si="9"/>
        <v>195</v>
      </c>
      <c r="Y20">
        <f t="shared" si="7"/>
        <v>1.2</v>
      </c>
      <c r="AB20">
        <f>'BSi data'!T34</f>
        <v>8.3453555222023592</v>
      </c>
      <c r="AC20">
        <f>'BSi data'!U34</f>
        <v>17.852346505131358</v>
      </c>
      <c r="AF20">
        <v>61.662020080257655</v>
      </c>
      <c r="AG20">
        <f t="shared" si="2"/>
        <v>7.3991787253266352</v>
      </c>
      <c r="AH20" s="122">
        <f t="shared" si="3"/>
        <v>6.4881951989287359</v>
      </c>
      <c r="AI20" s="122">
        <f t="shared" si="8"/>
        <v>99.452154138596683</v>
      </c>
      <c r="AJ20" s="122"/>
      <c r="AK20" s="122">
        <f>report_47_flagged!AY19</f>
        <v>7.9849362152035219</v>
      </c>
    </row>
    <row r="21" spans="1:37">
      <c r="A21">
        <f>'sample processing comments'!A20</f>
        <v>2023</v>
      </c>
      <c r="B21" t="str">
        <f>'sample processing comments'!B20</f>
        <v>47_1000</v>
      </c>
      <c r="C21" t="str">
        <f>'sample processing comments'!C20</f>
        <v>D15</v>
      </c>
      <c r="D21">
        <f>'sample processing comments'!D20</f>
        <v>5</v>
      </c>
      <c r="E21" s="122">
        <f>'mass filt'!V24</f>
        <v>272.45714285714291</v>
      </c>
      <c r="F21">
        <v>0.5</v>
      </c>
      <c r="G21" t="str">
        <f>'sample processing comments'!H20</f>
        <v>IN2024_V02 carboy 2 12/4/2024 01:30 LAT: -47.501 LONG: 140.321</v>
      </c>
      <c r="H21" s="134">
        <f t="shared" si="0"/>
        <v>15</v>
      </c>
      <c r="I21">
        <f t="shared" si="4"/>
        <v>36.327619047619052</v>
      </c>
      <c r="J21">
        <f t="shared" si="5"/>
        <v>13.268662857142861</v>
      </c>
      <c r="L21">
        <v>1</v>
      </c>
      <c r="M21" s="122">
        <f>'CHN data'!F20</f>
        <v>14.294573783874512</v>
      </c>
      <c r="N21" s="122">
        <f>'CHN data'!G20</f>
        <v>1.0082552433013916</v>
      </c>
      <c r="O21" s="122">
        <f>'CHN data'!E20</f>
        <v>1.0029878616333008</v>
      </c>
      <c r="R21" s="122">
        <f>pH_Sal!D17</f>
        <v>38.86</v>
      </c>
      <c r="S21">
        <f>pH_Sal!K17</f>
        <v>8.4499999999999993</v>
      </c>
      <c r="T21" s="85">
        <f>Schedule!B31</f>
        <v>45278</v>
      </c>
      <c r="U21" s="85">
        <f>Schedule!B32</f>
        <v>45293</v>
      </c>
      <c r="V21" s="85">
        <f t="shared" si="1"/>
        <v>45285.5</v>
      </c>
      <c r="W21" s="134">
        <f t="shared" si="6"/>
        <v>225</v>
      </c>
      <c r="X21">
        <f t="shared" si="9"/>
        <v>210</v>
      </c>
      <c r="Y21">
        <f t="shared" si="7"/>
        <v>0.66666666666666663</v>
      </c>
      <c r="AB21">
        <f>'BSi data'!O36</f>
        <v>5.9749087683219422</v>
      </c>
      <c r="AC21">
        <f>'BSi data'!P36</f>
        <v>12.781497610838926</v>
      </c>
      <c r="AF21">
        <v>67.998087030381555</v>
      </c>
      <c r="AG21">
        <f t="shared" si="2"/>
        <v>8.1594796645203562</v>
      </c>
      <c r="AH21" s="122">
        <f t="shared" si="3"/>
        <v>6.1350941193541555</v>
      </c>
      <c r="AI21" s="122">
        <f t="shared" si="8"/>
        <v>99.382756440991912</v>
      </c>
      <c r="AJ21" s="122"/>
      <c r="AK21" s="122">
        <f>report_47_flagged!AY20</f>
        <v>7.1354387154222341</v>
      </c>
    </row>
    <row r="22" spans="1:37">
      <c r="A22">
        <f>'sample processing comments'!A21</f>
        <v>2023</v>
      </c>
      <c r="B22" t="str">
        <f>'sample processing comments'!B21</f>
        <v>47_1000</v>
      </c>
      <c r="C22" t="str">
        <f>'sample processing comments'!C21</f>
        <v>D16</v>
      </c>
      <c r="D22">
        <f>'sample processing comments'!D21</f>
        <v>5</v>
      </c>
      <c r="E22" s="122">
        <f>'mass filt'!V25</f>
        <v>391.65714285714279</v>
      </c>
      <c r="F22">
        <v>0.5</v>
      </c>
      <c r="G22" t="str">
        <f>'sample processing comments'!H21</f>
        <v>IN2024_V02 carboy 2 12/4/2024 01:30 LAT: -47.501 LONG: 140.321</v>
      </c>
      <c r="H22" s="134">
        <f t="shared" si="0"/>
        <v>15</v>
      </c>
      <c r="I22">
        <f t="shared" si="4"/>
        <v>52.220952380952369</v>
      </c>
      <c r="J22">
        <f t="shared" si="5"/>
        <v>19.073702857142855</v>
      </c>
      <c r="L22">
        <v>1</v>
      </c>
      <c r="M22" s="122">
        <f>'CHN data'!F21</f>
        <v>14.818084716796875</v>
      </c>
      <c r="N22" s="122">
        <f>'CHN data'!G21</f>
        <v>1.1737462282180786</v>
      </c>
      <c r="O22" s="122">
        <f>'CHN data'!E21</f>
        <v>1.1869363784790039</v>
      </c>
      <c r="R22" s="122">
        <f>pH_Sal!D18</f>
        <v>39.32</v>
      </c>
      <c r="S22">
        <f>pH_Sal!K18</f>
        <v>8.44</v>
      </c>
      <c r="T22" s="85">
        <f>Schedule!B32</f>
        <v>45293</v>
      </c>
      <c r="U22" s="85">
        <f>Schedule!B33</f>
        <v>45308</v>
      </c>
      <c r="V22" s="85">
        <f t="shared" si="1"/>
        <v>45300.5</v>
      </c>
      <c r="W22" s="134">
        <f t="shared" si="6"/>
        <v>240</v>
      </c>
      <c r="X22">
        <f t="shared" si="9"/>
        <v>225</v>
      </c>
      <c r="Y22">
        <f t="shared" si="7"/>
        <v>0.66666666666666663</v>
      </c>
      <c r="AB22">
        <f>'BSi data'!T40</f>
        <v>6.1909153326088671</v>
      </c>
      <c r="AC22">
        <f>'BSi data'!U40</f>
        <v>13.243577868866744</v>
      </c>
      <c r="AF22">
        <v>64.405270595948735</v>
      </c>
      <c r="AG22">
        <f t="shared" si="2"/>
        <v>7.7283570562915251</v>
      </c>
      <c r="AH22" s="122">
        <f t="shared" si="3"/>
        <v>7.0897276605053499</v>
      </c>
      <c r="AI22" s="122">
        <f t="shared" si="8"/>
        <v>98.403042883502607</v>
      </c>
      <c r="AJ22" s="122"/>
      <c r="AK22" s="122">
        <f>report_47_flagged!AY21</f>
        <v>6.9678250854052308</v>
      </c>
    </row>
    <row r="23" spans="1:37">
      <c r="A23">
        <f>'sample processing comments'!A22</f>
        <v>2023</v>
      </c>
      <c r="B23" t="str">
        <f>'sample processing comments'!B22</f>
        <v>47_1000</v>
      </c>
      <c r="C23" t="str">
        <f>'sample processing comments'!C22</f>
        <v>D17</v>
      </c>
      <c r="D23">
        <f>'sample processing comments'!D22</f>
        <v>9</v>
      </c>
      <c r="E23" s="122">
        <f>'mass filt'!V26</f>
        <v>432.94285714285712</v>
      </c>
      <c r="F23">
        <v>0.5</v>
      </c>
      <c r="G23" t="str">
        <f>'sample processing comments'!H22</f>
        <v>IN2024_V02 carboy 2 12/4/2024 01:30 LAT: -47.501 LONG: 140.321</v>
      </c>
      <c r="H23" s="134">
        <f t="shared" si="0"/>
        <v>15</v>
      </c>
      <c r="I23">
        <f t="shared" si="4"/>
        <v>57.725714285714282</v>
      </c>
      <c r="J23">
        <f t="shared" si="5"/>
        <v>21.084317142857142</v>
      </c>
      <c r="L23">
        <v>1</v>
      </c>
      <c r="M23" s="122">
        <f>'CHN data'!F23</f>
        <v>16.111581802368164</v>
      </c>
      <c r="N23" s="122">
        <f>'CHN data'!G23</f>
        <v>1.2853662967681885</v>
      </c>
      <c r="O23" s="122">
        <f>'CHN data'!E23</f>
        <v>1.4525940418243408</v>
      </c>
      <c r="R23" s="122">
        <f>pH_Sal!D19</f>
        <v>40.33</v>
      </c>
      <c r="S23">
        <f>pH_Sal!K19</f>
        <v>8.44</v>
      </c>
      <c r="T23" s="85">
        <f>Schedule!B33</f>
        <v>45308</v>
      </c>
      <c r="U23" s="85">
        <f>Schedule!B34</f>
        <v>45323</v>
      </c>
      <c r="V23" s="85">
        <f t="shared" si="1"/>
        <v>45315.5</v>
      </c>
      <c r="W23" s="134">
        <f t="shared" si="6"/>
        <v>255</v>
      </c>
      <c r="X23">
        <f t="shared" si="9"/>
        <v>240</v>
      </c>
      <c r="Y23">
        <f t="shared" si="7"/>
        <v>1.2</v>
      </c>
      <c r="AB23">
        <f>'BSi data'!T42</f>
        <v>4.4431011577470745</v>
      </c>
      <c r="AC23">
        <f>'BSi data'!U42</f>
        <v>9.5046617504101736</v>
      </c>
      <c r="AF23">
        <v>65.151881742527905</v>
      </c>
      <c r="AG23">
        <f t="shared" si="2"/>
        <v>7.8179472011597939</v>
      </c>
      <c r="AH23" s="122">
        <f t="shared" si="3"/>
        <v>8.293634601208371</v>
      </c>
      <c r="AI23" s="122">
        <f t="shared" si="8"/>
        <v>97.648052408141623</v>
      </c>
      <c r="AJ23" s="122"/>
      <c r="AK23" s="122">
        <f>report_47_flagged!AY22</f>
        <v>6.6603302929770578</v>
      </c>
    </row>
    <row r="24" spans="1:37">
      <c r="A24">
        <f>'sample processing comments'!A23</f>
        <v>2023</v>
      </c>
      <c r="B24" t="str">
        <f>'sample processing comments'!B23</f>
        <v>47_1000</v>
      </c>
      <c r="C24" t="str">
        <f>'sample processing comments'!C23</f>
        <v>D18</v>
      </c>
      <c r="D24">
        <f>'sample processing comments'!D23</f>
        <v>8</v>
      </c>
      <c r="E24" s="122">
        <f>'mass filt'!V28</f>
        <v>485.40000000000009</v>
      </c>
      <c r="F24">
        <v>0.5</v>
      </c>
      <c r="G24" t="str">
        <f>'sample processing comments'!H23</f>
        <v>IN2024_V02 carboy 2 12/4/2024 01:30 LAT: -47.501 LONG: 140.321</v>
      </c>
      <c r="H24" s="134">
        <f t="shared" si="0"/>
        <v>15</v>
      </c>
      <c r="I24">
        <f t="shared" si="4"/>
        <v>64.720000000000013</v>
      </c>
      <c r="J24">
        <f t="shared" si="5"/>
        <v>23.638980000000007</v>
      </c>
      <c r="L24">
        <v>1</v>
      </c>
      <c r="M24" s="122">
        <f>AVERAGE('CHN data'!F16,'CHN data'!F24)</f>
        <v>14.066727638244629</v>
      </c>
      <c r="N24" s="122">
        <f>AVERAGE('CHN data'!G16,'CHN data'!G24)</f>
        <v>0.88637843728065491</v>
      </c>
      <c r="O24" s="122">
        <f>AVERAGE('CHN data'!E16,'CHN data'!E24)</f>
        <v>0.84936684370040894</v>
      </c>
      <c r="R24" s="122">
        <f>pH_Sal!D20</f>
        <v>40.15</v>
      </c>
      <c r="S24">
        <f>pH_Sal!K20</f>
        <v>8.5399999999999991</v>
      </c>
      <c r="T24" s="85">
        <f>Schedule!B34</f>
        <v>45323</v>
      </c>
      <c r="U24" s="85">
        <f>Schedule!B35</f>
        <v>45338</v>
      </c>
      <c r="V24" s="85">
        <f t="shared" si="1"/>
        <v>45330.5</v>
      </c>
      <c r="W24" s="134">
        <f t="shared" si="6"/>
        <v>270</v>
      </c>
      <c r="X24">
        <f t="shared" si="9"/>
        <v>255</v>
      </c>
      <c r="Y24">
        <f t="shared" si="7"/>
        <v>1.0666666666666667</v>
      </c>
      <c r="AB24">
        <f>'BSi data'!T44</f>
        <v>4.9601501962830952</v>
      </c>
      <c r="AC24">
        <f>'BSi data'!U44</f>
        <v>10.610730697566792</v>
      </c>
      <c r="AF24">
        <v>73.886917490251321</v>
      </c>
      <c r="AG24">
        <f t="shared" si="2"/>
        <v>8.8661141373937884</v>
      </c>
      <c r="AH24" s="122">
        <f t="shared" si="3"/>
        <v>5.2006135008508405</v>
      </c>
      <c r="AI24" s="122">
        <f t="shared" si="8"/>
        <v>100.80617826642232</v>
      </c>
      <c r="AJ24" s="122"/>
      <c r="AK24" s="122">
        <f>report_47_flagged!AY23</f>
        <v>7.1425683220925968</v>
      </c>
    </row>
    <row r="25" spans="1:37">
      <c r="A25">
        <f>'sample processing comments'!A24</f>
        <v>2023</v>
      </c>
      <c r="B25" t="str">
        <f>'sample processing comments'!B24</f>
        <v>47_1000</v>
      </c>
      <c r="C25" t="str">
        <f>'sample processing comments'!C24</f>
        <v>D19</v>
      </c>
      <c r="D25">
        <f>'sample processing comments'!D24</f>
        <v>5</v>
      </c>
      <c r="E25" s="122">
        <f>'mass filt'!V29</f>
        <v>799.38571428571436</v>
      </c>
      <c r="F25">
        <v>0.5</v>
      </c>
      <c r="G25" t="str">
        <f>'sample processing comments'!H24</f>
        <v>IN2024_V02 carboy 2 12/4/2024 01:30 LAT: -47.501 LONG: 140.321</v>
      </c>
      <c r="H25" s="134">
        <f t="shared" si="0"/>
        <v>15</v>
      </c>
      <c r="I25">
        <f t="shared" si="4"/>
        <v>106.58476190476192</v>
      </c>
      <c r="J25">
        <f t="shared" si="5"/>
        <v>38.930084285714294</v>
      </c>
      <c r="L25">
        <v>1</v>
      </c>
      <c r="M25" s="122">
        <f>'CHN data'!F25</f>
        <v>14.234511375427246</v>
      </c>
      <c r="N25" s="122">
        <f>'CHN data'!G25</f>
        <v>0.74503177404403687</v>
      </c>
      <c r="O25" s="122">
        <f>'CHN data'!E25</f>
        <v>0.77039182186126709</v>
      </c>
      <c r="R25" s="122">
        <f>pH_Sal!D21</f>
        <v>39.75</v>
      </c>
      <c r="S25">
        <f>pH_Sal!K21</f>
        <v>8.51</v>
      </c>
      <c r="T25" s="85">
        <f>Schedule!B35</f>
        <v>45338</v>
      </c>
      <c r="U25" s="85">
        <f>Schedule!B36</f>
        <v>45353</v>
      </c>
      <c r="V25" s="85">
        <f t="shared" si="1"/>
        <v>45345.5</v>
      </c>
      <c r="W25" s="134">
        <f t="shared" si="6"/>
        <v>285</v>
      </c>
      <c r="X25">
        <f t="shared" si="9"/>
        <v>270</v>
      </c>
      <c r="Y25">
        <f t="shared" si="7"/>
        <v>0.66666666666666663</v>
      </c>
      <c r="AB25">
        <f>'BSi data'!T46</f>
        <v>2.9193337347883643</v>
      </c>
      <c r="AC25">
        <f>'BSi data'!U46</f>
        <v>6.2450254226925175</v>
      </c>
      <c r="AF25">
        <v>78.230438867579466</v>
      </c>
      <c r="AG25">
        <f t="shared" si="2"/>
        <v>9.3873181285425904</v>
      </c>
      <c r="AH25" s="122">
        <f t="shared" si="3"/>
        <v>4.8471932468846557</v>
      </c>
      <c r="AI25" s="122">
        <f t="shared" si="8"/>
        <v>99.526242229914402</v>
      </c>
      <c r="AJ25" s="122"/>
      <c r="AK25" s="122">
        <f>report_47_flagged!AY24</f>
        <v>7.3396237691586848</v>
      </c>
    </row>
    <row r="26" spans="1:37">
      <c r="A26">
        <f>'sample processing comments'!A25</f>
        <v>2023</v>
      </c>
      <c r="B26" t="str">
        <f>'sample processing comments'!B25</f>
        <v>47_1000</v>
      </c>
      <c r="C26" t="str">
        <f>'sample processing comments'!C25</f>
        <v>D20</v>
      </c>
      <c r="D26">
        <f>'sample processing comments'!D25</f>
        <v>6</v>
      </c>
      <c r="E26" s="122">
        <f>'mass filt'!V30</f>
        <v>498.24285714285713</v>
      </c>
      <c r="F26">
        <v>0.5</v>
      </c>
      <c r="G26" t="str">
        <f>'sample processing comments'!H25</f>
        <v>IN2024_V02 carboy 2 12/4/2024 01:30 LAT: -47.501 LONG: 140.321</v>
      </c>
      <c r="H26" s="134">
        <f t="shared" si="0"/>
        <v>15</v>
      </c>
      <c r="I26">
        <f t="shared" si="4"/>
        <v>66.432380952380953</v>
      </c>
      <c r="J26">
        <f t="shared" si="5"/>
        <v>24.264427142857144</v>
      </c>
      <c r="L26">
        <v>1</v>
      </c>
      <c r="M26" s="122">
        <f>'CHN data'!F73</f>
        <v>14.146236419677734</v>
      </c>
      <c r="N26" s="122">
        <f>'CHN data'!G73</f>
        <v>0.79791837930679321</v>
      </c>
      <c r="O26" s="122">
        <f>'CHN data'!E73</f>
        <v>0.87022620439529419</v>
      </c>
      <c r="R26" s="122">
        <f>pH_Sal!D22</f>
        <v>39.24</v>
      </c>
      <c r="S26">
        <f>pH_Sal!K22</f>
        <v>8.4700000000000006</v>
      </c>
      <c r="T26" s="85">
        <f>Schedule!B36</f>
        <v>45353</v>
      </c>
      <c r="U26" s="85">
        <f>Schedule!B37</f>
        <v>45368</v>
      </c>
      <c r="V26" s="85">
        <f t="shared" si="1"/>
        <v>45360.5</v>
      </c>
      <c r="W26" s="134">
        <f t="shared" si="6"/>
        <v>300</v>
      </c>
      <c r="X26">
        <f t="shared" si="9"/>
        <v>285</v>
      </c>
      <c r="Y26">
        <f t="shared" si="7"/>
        <v>0.8</v>
      </c>
      <c r="AB26">
        <f>'BSi data'!T48</f>
        <v>3.7609987044885154</v>
      </c>
      <c r="AC26">
        <f>'BSi data'!U48</f>
        <v>8.0455112905914881</v>
      </c>
      <c r="AF26">
        <v>76.003566282960719</v>
      </c>
      <c r="AG26">
        <f t="shared" si="2"/>
        <v>9.1201029411277421</v>
      </c>
      <c r="AH26" s="122">
        <f t="shared" si="3"/>
        <v>5.0261334785499923</v>
      </c>
      <c r="AI26" s="122">
        <f t="shared" si="8"/>
        <v>99.691577468327253</v>
      </c>
      <c r="AJ26" s="122"/>
      <c r="AK26" s="122">
        <f>report_47_flagged!AY25</f>
        <v>6.7374722447776021</v>
      </c>
    </row>
    <row r="27" spans="1:37">
      <c r="A27">
        <f>'sample processing comments'!A26</f>
        <v>2023</v>
      </c>
      <c r="B27" t="str">
        <f>'sample processing comments'!B26</f>
        <v>47_1000</v>
      </c>
      <c r="C27" t="str">
        <f>'sample processing comments'!C26</f>
        <v>D21</v>
      </c>
      <c r="D27">
        <f>'sample processing comments'!D26</f>
        <v>4</v>
      </c>
      <c r="E27" s="122">
        <f>'mass filt'!V31</f>
        <v>568.07142857142856</v>
      </c>
      <c r="F27">
        <v>0.5</v>
      </c>
      <c r="G27" t="str">
        <f>'sample processing comments'!H26</f>
        <v>IN2024_V02 carboy 2 12/4/2024 01:30 LAT: -47.501 LONG: 140.321</v>
      </c>
      <c r="H27" s="134">
        <f t="shared" si="0"/>
        <v>15</v>
      </c>
      <c r="I27">
        <f t="shared" si="4"/>
        <v>75.742857142857147</v>
      </c>
      <c r="J27">
        <f t="shared" si="5"/>
        <v>27.665078571428573</v>
      </c>
      <c r="L27">
        <v>1</v>
      </c>
      <c r="M27" s="122">
        <f>'CHN data'!F26</f>
        <v>13.566348075866699</v>
      </c>
      <c r="N27" s="122">
        <f>'CHN data'!G26</f>
        <v>0.59929966926574707</v>
      </c>
      <c r="O27" s="122">
        <f>'CHN data'!E26</f>
        <v>0.60380738973617554</v>
      </c>
      <c r="R27" s="122">
        <f>pH_Sal!D23</f>
        <v>39.020000000000003</v>
      </c>
      <c r="S27">
        <f>pH_Sal!K23</f>
        <v>8.5299999999999994</v>
      </c>
      <c r="T27" s="85">
        <f>Schedule!B37</f>
        <v>45368</v>
      </c>
      <c r="U27" s="85">
        <f>Schedule!B38</f>
        <v>45383</v>
      </c>
      <c r="V27" s="85">
        <f t="shared" si="1"/>
        <v>45375.5</v>
      </c>
      <c r="W27" s="134">
        <f t="shared" si="6"/>
        <v>315</v>
      </c>
      <c r="X27">
        <f t="shared" si="9"/>
        <v>300</v>
      </c>
      <c r="Y27">
        <f t="shared" si="7"/>
        <v>0.53333333333333333</v>
      </c>
      <c r="AB27">
        <f>'BSi data'!T52</f>
        <v>3.2930572107687501</v>
      </c>
      <c r="AC27">
        <f>'BSi data'!U52</f>
        <v>7.0444929795334357</v>
      </c>
      <c r="AF27">
        <v>80.171065139205055</v>
      </c>
      <c r="AG27">
        <f t="shared" si="2"/>
        <v>9.6201849824687624</v>
      </c>
      <c r="AH27" s="122">
        <f t="shared" si="3"/>
        <v>3.9461630933979368</v>
      </c>
      <c r="AI27" s="122">
        <f t="shared" si="8"/>
        <v>100.37201115196264</v>
      </c>
      <c r="AJ27" s="122"/>
      <c r="AK27" s="122">
        <f>report_47_flagged!AY26</f>
        <v>7.6238042108975668</v>
      </c>
    </row>
    <row r="28" spans="1:37">
      <c r="A28" s="37" t="str">
        <f>'sample processing comments'!A27</f>
        <v>Pick up 11/04/2024 IN2024_V02</v>
      </c>
    </row>
    <row r="30" spans="1:37" s="175" customFormat="1">
      <c r="A30" s="175" t="str">
        <f>'sample processing comments'!A29</f>
        <v>Deployment 18/5/2023 IN2023_V03</v>
      </c>
      <c r="B30" s="175" t="str">
        <f>'sample processing comments'!B29</f>
        <v>McLane-PARFLUX-Mark78H-21 ; frame# 14182-01, controller# 11741-01 and Motor # 14182-01 Cup set Ex21</v>
      </c>
      <c r="V30" s="182"/>
      <c r="W30" s="183">
        <v>0</v>
      </c>
      <c r="X30" s="184"/>
    </row>
    <row r="31" spans="1:37">
      <c r="A31">
        <f>'sample processing comments'!A30</f>
        <v>2023</v>
      </c>
      <c r="B31" t="str">
        <f>'sample processing comments'!B30</f>
        <v>47_2000</v>
      </c>
      <c r="C31" t="str">
        <f>'sample processing comments'!C30</f>
        <v>E1</v>
      </c>
      <c r="D31">
        <f>'sample processing comments'!D30</f>
        <v>12</v>
      </c>
      <c r="E31">
        <f>'mass filt'!V35</f>
        <v>857.89999999999986</v>
      </c>
      <c r="F31">
        <v>0.5</v>
      </c>
      <c r="G31" t="str">
        <f>'sample processing comments'!H30</f>
        <v>IN2024_V02 carboy 1 11/04/2024 23:20 LAT: -47.487 LONG: 140.484</v>
      </c>
      <c r="H31" s="134">
        <f t="shared" ref="H31:H51" si="10">U31-T31</f>
        <v>15</v>
      </c>
      <c r="I31">
        <f t="shared" ref="I31:I39" si="11">E31/F31/H31</f>
        <v>114.38666666666664</v>
      </c>
      <c r="J31">
        <f t="shared" ref="J31:J39" si="12">0.001*365.25*E31/F31/H31</f>
        <v>41.779729999999994</v>
      </c>
      <c r="L31">
        <v>1</v>
      </c>
      <c r="M31" s="122">
        <f>AVERAGE('CHN data'!F27,'CHN data'!F40)</f>
        <v>13.613449573516846</v>
      </c>
      <c r="N31" s="122">
        <f>AVERAGE('CHN data'!G27,'CHN data'!G40)</f>
        <v>0.95632857084274292</v>
      </c>
      <c r="O31" s="122">
        <f>AVERAGE('CHN data'!E27,'CHN data'!E40)</f>
        <v>0.8782477080821991</v>
      </c>
      <c r="R31" s="122">
        <f>pH_Sal!D24</f>
        <v>39.86</v>
      </c>
      <c r="S31">
        <f>pH_Sal!K24</f>
        <v>8.3000000000000007</v>
      </c>
      <c r="T31" s="85">
        <f>Schedule!B17</f>
        <v>45068</v>
      </c>
      <c r="U31" s="85">
        <f>Schedule!B18</f>
        <v>45083</v>
      </c>
      <c r="V31" s="85">
        <f t="shared" ref="V31:V51" si="13">AVERAGE(T31:U31)</f>
        <v>45075.5</v>
      </c>
      <c r="W31" s="134">
        <f>H31+W30</f>
        <v>15</v>
      </c>
      <c r="X31">
        <v>0</v>
      </c>
      <c r="Y31">
        <f>D31/0.5/H31</f>
        <v>1.6</v>
      </c>
      <c r="AB31">
        <f>'BSi data'!T54</f>
        <v>6.7327979373468292</v>
      </c>
      <c r="AC31">
        <f>'BSi data'!U54</f>
        <v>14.402770667681416</v>
      </c>
      <c r="AF31" cm="1">
        <f t="array" ref="AF31:AF32">'PIC data'!AF29:AF30</f>
        <v>67.400786735375078</v>
      </c>
      <c r="AG31">
        <f>AF31*12.01/100.0869</f>
        <v>8.0878061833452186</v>
      </c>
      <c r="AH31" s="122">
        <f>M31-AG31</f>
        <v>5.5256433901716271</v>
      </c>
      <c r="AI31" s="122">
        <f>AF31+(AC31*1.11)+(AH31*2.2)+3.7</f>
        <v>99.24427763487904</v>
      </c>
      <c r="AJ31" s="122"/>
      <c r="AK31" s="122">
        <f>report_47_flagged!AY27</f>
        <v>7.339406735047957</v>
      </c>
    </row>
    <row r="32" spans="1:37" s="563" customFormat="1">
      <c r="A32" s="563">
        <f>'sample processing comments'!A31</f>
        <v>2023</v>
      </c>
      <c r="B32" s="563" t="str">
        <f>'sample processing comments'!B31</f>
        <v>47_2000</v>
      </c>
      <c r="C32" s="563" t="str">
        <f>'sample processing comments'!C31</f>
        <v>E2</v>
      </c>
      <c r="D32" s="563">
        <f>'sample processing comments'!D31</f>
        <v>9</v>
      </c>
      <c r="E32" s="563">
        <f>'mass filt'!V37</f>
        <v>371.57142857142856</v>
      </c>
      <c r="F32" s="563">
        <v>0.5</v>
      </c>
      <c r="G32" s="563" t="str">
        <f>'sample processing comments'!H31</f>
        <v>IN2024_V02 carboy 1 11/04/2024 23:20 LAT: -47.487 LONG: 140.484</v>
      </c>
      <c r="H32" s="564">
        <f t="shared" si="10"/>
        <v>15</v>
      </c>
      <c r="I32" s="563">
        <f t="shared" si="11"/>
        <v>49.542857142857137</v>
      </c>
      <c r="J32" s="563">
        <f t="shared" si="12"/>
        <v>18.095528571428574</v>
      </c>
      <c r="L32" s="563">
        <v>1</v>
      </c>
      <c r="M32" s="565">
        <f>'CHN data'!F75</f>
        <v>27.487150192260742</v>
      </c>
      <c r="N32" s="565">
        <f>'CHN data'!G75</f>
        <v>3.2873127460479736</v>
      </c>
      <c r="O32" s="565">
        <f>'CHN data'!E75</f>
        <v>5.2049813270568848</v>
      </c>
      <c r="R32" s="565">
        <f>pH_Sal!D25</f>
        <v>36.76</v>
      </c>
      <c r="S32" s="563">
        <f>pH_Sal!K25</f>
        <v>8.52</v>
      </c>
      <c r="T32" s="566">
        <f>Schedule!B18</f>
        <v>45083</v>
      </c>
      <c r="U32" s="566">
        <f>Schedule!B19</f>
        <v>45098</v>
      </c>
      <c r="V32" s="566">
        <f t="shared" si="13"/>
        <v>45090.5</v>
      </c>
      <c r="W32" s="564">
        <f t="shared" ref="W32:W51" si="14">H32+W31</f>
        <v>30</v>
      </c>
      <c r="X32" s="563">
        <f>X31+H32</f>
        <v>15</v>
      </c>
      <c r="Y32" s="563">
        <f t="shared" ref="Y32:Y39" si="15">D32/0.5/H32</f>
        <v>1.2</v>
      </c>
      <c r="Z32" s="563" t="s">
        <v>291</v>
      </c>
      <c r="AB32" s="563">
        <f>'BSi data'!T56</f>
        <v>2.4811494270211876</v>
      </c>
      <c r="AC32" s="563">
        <f>'BSi data'!U56</f>
        <v>5.3076635482272412</v>
      </c>
      <c r="AF32" s="563">
        <v>42.643121428578624</v>
      </c>
      <c r="AG32" s="563">
        <f>AF32*12.01/100.0869</f>
        <v>5.1169922173354276</v>
      </c>
      <c r="AH32" s="565">
        <f>M32-AG32</f>
        <v>22.370157974925313</v>
      </c>
      <c r="AI32" s="565">
        <f t="shared" ref="AI32" si="16">AF32+(AC32*1.11)+(AH32*2.2)+3.7</f>
        <v>101.44897551194656</v>
      </c>
      <c r="AJ32" s="565"/>
      <c r="AK32" s="565">
        <f>report_47_flagged!AY28</f>
        <v>5.0135459895618375</v>
      </c>
    </row>
    <row r="33" spans="1:37">
      <c r="A33">
        <f>'sample processing comments'!A32</f>
        <v>2023</v>
      </c>
      <c r="B33" t="str">
        <f>'sample processing comments'!B32</f>
        <v>47_2000</v>
      </c>
      <c r="C33" t="str">
        <f>'sample processing comments'!C32</f>
        <v>E3</v>
      </c>
      <c r="D33">
        <f>'sample processing comments'!D32</f>
        <v>2</v>
      </c>
      <c r="E33">
        <f>'mass filt'!V40</f>
        <v>75.971428571428561</v>
      </c>
      <c r="F33">
        <v>0.5</v>
      </c>
      <c r="G33" t="str">
        <f>'sample processing comments'!H32</f>
        <v>IN2024_V02 carboy 1 11/04/2024 23:20 LAT: -47.487 LONG: 140.484</v>
      </c>
      <c r="H33" s="134">
        <f t="shared" si="10"/>
        <v>15</v>
      </c>
      <c r="I33">
        <f t="shared" si="11"/>
        <v>10.129523809523809</v>
      </c>
      <c r="J33">
        <f t="shared" si="12"/>
        <v>3.6998085714285711</v>
      </c>
      <c r="L33">
        <v>1</v>
      </c>
      <c r="M33" s="122" t="s">
        <v>2328</v>
      </c>
      <c r="N33" s="122" t="s">
        <v>2328</v>
      </c>
      <c r="O33" s="122" t="s">
        <v>2328</v>
      </c>
      <c r="R33" s="122">
        <f>AVERAGE(pH_Sal!D26,pH_Sal!G26)</f>
        <v>41.155000000000001</v>
      </c>
      <c r="S33">
        <f>AVERAGE(pH_Sal!K26, pH_Sal!N26)</f>
        <v>8.4600000000000009</v>
      </c>
      <c r="T33" s="85">
        <f>Schedule!B19</f>
        <v>45098</v>
      </c>
      <c r="U33" s="85">
        <f>Schedule!B20</f>
        <v>45113</v>
      </c>
      <c r="V33" s="85">
        <f t="shared" si="13"/>
        <v>45105.5</v>
      </c>
      <c r="W33" s="134">
        <f t="shared" si="14"/>
        <v>45</v>
      </c>
      <c r="X33">
        <f t="shared" ref="X33:X51" si="17">X32+H33</f>
        <v>30</v>
      </c>
      <c r="Y33">
        <f t="shared" si="15"/>
        <v>0.26666666666666666</v>
      </c>
      <c r="AB33" t="s">
        <v>2328</v>
      </c>
      <c r="AI33" s="122"/>
      <c r="AJ33" s="122"/>
      <c r="AK33" s="122"/>
    </row>
    <row r="34" spans="1:37">
      <c r="A34">
        <f>'sample processing comments'!A33</f>
        <v>2023</v>
      </c>
      <c r="B34" t="str">
        <f>'sample processing comments'!B33</f>
        <v>47_2000</v>
      </c>
      <c r="C34" t="str">
        <f>'sample processing comments'!C33</f>
        <v>E4</v>
      </c>
      <c r="D34">
        <f>'sample processing comments'!D33</f>
        <v>1</v>
      </c>
      <c r="E34">
        <f>'mass filt'!V41</f>
        <v>65.028571428571425</v>
      </c>
      <c r="F34">
        <v>0.5</v>
      </c>
      <c r="G34" t="str">
        <f>'sample processing comments'!H33</f>
        <v>IN2024_V02 carboy 1 11/04/2024 23:20 LAT: -47.487 LONG: 140.484</v>
      </c>
      <c r="H34" s="134">
        <f t="shared" si="10"/>
        <v>15</v>
      </c>
      <c r="I34">
        <f t="shared" si="11"/>
        <v>8.6704761904761902</v>
      </c>
      <c r="J34">
        <f t="shared" si="12"/>
        <v>3.1668914285714282</v>
      </c>
      <c r="L34">
        <v>1</v>
      </c>
      <c r="M34" s="122" t="s">
        <v>2328</v>
      </c>
      <c r="N34" s="122" t="s">
        <v>2328</v>
      </c>
      <c r="O34" s="122" t="s">
        <v>2328</v>
      </c>
      <c r="R34" s="122">
        <f>pH_Sal!D27</f>
        <v>40.98</v>
      </c>
      <c r="S34">
        <f>pH_Sal!K27</f>
        <v>8.4499999999999993</v>
      </c>
      <c r="T34" s="85">
        <f>Schedule!B20</f>
        <v>45113</v>
      </c>
      <c r="U34" s="85">
        <f>Schedule!B21</f>
        <v>45128</v>
      </c>
      <c r="V34" s="85">
        <f t="shared" si="13"/>
        <v>45120.5</v>
      </c>
      <c r="W34" s="134">
        <f t="shared" si="14"/>
        <v>60</v>
      </c>
      <c r="X34">
        <f t="shared" si="17"/>
        <v>45</v>
      </c>
      <c r="Y34">
        <f t="shared" si="15"/>
        <v>0.13333333333333333</v>
      </c>
      <c r="AB34" t="s">
        <v>2328</v>
      </c>
      <c r="AI34" s="122"/>
      <c r="AJ34" s="122"/>
      <c r="AK34" s="122"/>
    </row>
    <row r="35" spans="1:37">
      <c r="A35">
        <f>'sample processing comments'!A34</f>
        <v>2023</v>
      </c>
      <c r="B35" t="str">
        <f>'sample processing comments'!B34</f>
        <v>47_2000</v>
      </c>
      <c r="C35" t="str">
        <f>'sample processing comments'!C34</f>
        <v>E5</v>
      </c>
      <c r="D35">
        <f>'sample processing comments'!D34</f>
        <v>5</v>
      </c>
      <c r="E35">
        <f>'mass filt'!V42</f>
        <v>163.44285714285715</v>
      </c>
      <c r="F35">
        <v>0.5</v>
      </c>
      <c r="G35" t="str">
        <f>'sample processing comments'!H34</f>
        <v>IN2024_V02 carboy 1 11/04/2024 23:20 LAT: -47.487 LONG: 140.484</v>
      </c>
      <c r="H35" s="134">
        <f t="shared" si="10"/>
        <v>15</v>
      </c>
      <c r="I35">
        <f t="shared" si="11"/>
        <v>21.792380952380952</v>
      </c>
      <c r="J35">
        <f t="shared" si="12"/>
        <v>7.9596671428571435</v>
      </c>
      <c r="L35">
        <v>1</v>
      </c>
      <c r="M35" s="122" t="s">
        <v>2328</v>
      </c>
      <c r="N35" s="122" t="s">
        <v>2328</v>
      </c>
      <c r="O35" s="122" t="s">
        <v>2328</v>
      </c>
      <c r="R35" s="122">
        <f>pH_Sal!D28</f>
        <v>41.2</v>
      </c>
      <c r="S35">
        <f>pH_Sal!K28</f>
        <v>8.27</v>
      </c>
      <c r="T35" s="85">
        <f>Schedule!B21</f>
        <v>45128</v>
      </c>
      <c r="U35" s="85">
        <f>Schedule!B22</f>
        <v>45143</v>
      </c>
      <c r="V35" s="85">
        <f t="shared" si="13"/>
        <v>45135.5</v>
      </c>
      <c r="W35" s="134">
        <f t="shared" si="14"/>
        <v>75</v>
      </c>
      <c r="X35">
        <f t="shared" si="17"/>
        <v>60</v>
      </c>
      <c r="Y35">
        <f t="shared" si="15"/>
        <v>0.66666666666666663</v>
      </c>
      <c r="AB35" t="s">
        <v>2328</v>
      </c>
      <c r="AI35" s="122"/>
      <c r="AJ35" s="122"/>
      <c r="AK35" s="122"/>
    </row>
    <row r="36" spans="1:37">
      <c r="A36">
        <f>'sample processing comments'!A35</f>
        <v>2023</v>
      </c>
      <c r="B36" t="str">
        <f>'sample processing comments'!B35</f>
        <v>47_2000</v>
      </c>
      <c r="C36" t="str">
        <f>'sample processing comments'!C35</f>
        <v>E6</v>
      </c>
      <c r="D36">
        <f>'sample processing comments'!D35</f>
        <v>2</v>
      </c>
      <c r="E36">
        <f>'mass filt'!V43</f>
        <v>94.442857142857136</v>
      </c>
      <c r="F36">
        <v>0.5</v>
      </c>
      <c r="G36" t="str">
        <f>'sample processing comments'!H35</f>
        <v>IN2024_V02 carboy 1 11/04/2024 23:20 LAT: -47.487 LONG: 140.484</v>
      </c>
      <c r="H36" s="134">
        <f t="shared" si="10"/>
        <v>15</v>
      </c>
      <c r="I36">
        <f t="shared" si="11"/>
        <v>12.592380952380951</v>
      </c>
      <c r="J36">
        <f t="shared" si="12"/>
        <v>4.599367142857143</v>
      </c>
      <c r="L36">
        <v>1</v>
      </c>
      <c r="M36" s="122" t="s">
        <v>2328</v>
      </c>
      <c r="N36" s="122" t="s">
        <v>2328</v>
      </c>
      <c r="O36" s="122" t="s">
        <v>2328</v>
      </c>
      <c r="R36" s="122">
        <f>pH_Sal!D29</f>
        <v>40.96</v>
      </c>
      <c r="S36">
        <f>pH_Sal!K29</f>
        <v>8.4499999999999993</v>
      </c>
      <c r="T36" s="85">
        <f>Schedule!B22</f>
        <v>45143</v>
      </c>
      <c r="U36" s="85">
        <f>Schedule!B23</f>
        <v>45158</v>
      </c>
      <c r="V36" s="85">
        <f t="shared" si="13"/>
        <v>45150.5</v>
      </c>
      <c r="W36" s="134">
        <f t="shared" si="14"/>
        <v>90</v>
      </c>
      <c r="X36">
        <f t="shared" si="17"/>
        <v>75</v>
      </c>
      <c r="Y36">
        <f t="shared" si="15"/>
        <v>0.26666666666666666</v>
      </c>
      <c r="AB36" t="s">
        <v>2328</v>
      </c>
      <c r="AI36" s="122"/>
      <c r="AJ36" s="122"/>
      <c r="AK36" s="122"/>
    </row>
    <row r="37" spans="1:37">
      <c r="A37">
        <f>'sample processing comments'!A36</f>
        <v>2023</v>
      </c>
      <c r="B37" t="str">
        <f>'sample processing comments'!B36</f>
        <v>47_2000</v>
      </c>
      <c r="C37" t="str">
        <f>'sample processing comments'!C36</f>
        <v>E7</v>
      </c>
      <c r="D37">
        <f>'sample processing comments'!D36</f>
        <v>1</v>
      </c>
      <c r="E37">
        <f>'mass filt'!V44</f>
        <v>25.085714285714289</v>
      </c>
      <c r="F37">
        <v>0.5</v>
      </c>
      <c r="G37" t="str">
        <f>'sample processing comments'!H36</f>
        <v>IN2024_V02 carboy 1 11/04/2024 23:20 LAT: -47.487 LONG: 140.484</v>
      </c>
      <c r="H37" s="134">
        <f t="shared" si="10"/>
        <v>15</v>
      </c>
      <c r="I37">
        <f t="shared" si="11"/>
        <v>3.344761904761905</v>
      </c>
      <c r="J37">
        <f t="shared" si="12"/>
        <v>1.2216742857142859</v>
      </c>
      <c r="L37">
        <v>1</v>
      </c>
      <c r="M37" s="122" t="s">
        <v>2328</v>
      </c>
      <c r="N37" s="122" t="s">
        <v>2328</v>
      </c>
      <c r="O37" s="122" t="s">
        <v>2328</v>
      </c>
      <c r="R37" s="122">
        <f>pH_Sal!D30</f>
        <v>41.08</v>
      </c>
      <c r="S37">
        <f>pH_Sal!K30</f>
        <v>8.59</v>
      </c>
      <c r="T37" s="85">
        <f>Schedule!B23</f>
        <v>45158</v>
      </c>
      <c r="U37" s="85">
        <f>Schedule!B24</f>
        <v>45173</v>
      </c>
      <c r="V37" s="85">
        <f t="shared" si="13"/>
        <v>45165.5</v>
      </c>
      <c r="W37" s="134">
        <f t="shared" si="14"/>
        <v>105</v>
      </c>
      <c r="X37">
        <f t="shared" si="17"/>
        <v>90</v>
      </c>
      <c r="Y37">
        <f t="shared" si="15"/>
        <v>0.13333333333333333</v>
      </c>
      <c r="AB37" t="s">
        <v>2328</v>
      </c>
      <c r="AI37" s="122"/>
      <c r="AJ37" s="122"/>
      <c r="AK37" s="122"/>
    </row>
    <row r="38" spans="1:37">
      <c r="A38">
        <f>'sample processing comments'!A37</f>
        <v>2023</v>
      </c>
      <c r="B38" t="str">
        <f>'sample processing comments'!B37</f>
        <v>47_2000</v>
      </c>
      <c r="C38" t="str">
        <f>'sample processing comments'!C37</f>
        <v>E8</v>
      </c>
      <c r="D38">
        <f>'sample processing comments'!D37</f>
        <v>2</v>
      </c>
      <c r="E38">
        <f>'mass filt'!V45</f>
        <v>30.48571428571428</v>
      </c>
      <c r="F38">
        <v>0.5</v>
      </c>
      <c r="G38" t="str">
        <f>'sample processing comments'!H37</f>
        <v>IN2024_V02 carboy 1 11/04/2024 23:20 LAT: -47.487 LONG: 140.484</v>
      </c>
      <c r="H38" s="134">
        <f t="shared" si="10"/>
        <v>15</v>
      </c>
      <c r="I38">
        <f t="shared" si="11"/>
        <v>4.0647619047619044</v>
      </c>
      <c r="J38">
        <f t="shared" si="12"/>
        <v>1.4846542857142855</v>
      </c>
      <c r="L38">
        <v>1</v>
      </c>
      <c r="M38" s="122" t="s">
        <v>2328</v>
      </c>
      <c r="N38" s="122" t="s">
        <v>2328</v>
      </c>
      <c r="O38" s="122" t="s">
        <v>2328</v>
      </c>
      <c r="R38" s="122">
        <f>pH_Sal!D31</f>
        <v>41.06</v>
      </c>
      <c r="S38">
        <f>pH_Sal!K31</f>
        <v>8.6300000000000008</v>
      </c>
      <c r="T38" s="85">
        <f>Schedule!B24</f>
        <v>45173</v>
      </c>
      <c r="U38" s="85">
        <f>Schedule!B25</f>
        <v>45188</v>
      </c>
      <c r="V38" s="85">
        <f t="shared" si="13"/>
        <v>45180.5</v>
      </c>
      <c r="W38" s="134">
        <f t="shared" si="14"/>
        <v>120</v>
      </c>
      <c r="X38">
        <f t="shared" si="17"/>
        <v>105</v>
      </c>
      <c r="Y38">
        <f t="shared" si="15"/>
        <v>0.26666666666666666</v>
      </c>
      <c r="AB38" t="s">
        <v>2328</v>
      </c>
      <c r="AI38" s="122"/>
      <c r="AJ38" s="122"/>
      <c r="AK38" s="122"/>
    </row>
    <row r="39" spans="1:37">
      <c r="A39">
        <f>'sample processing comments'!A38</f>
        <v>2023</v>
      </c>
      <c r="B39" t="str">
        <f>'sample processing comments'!B38</f>
        <v>47_2000</v>
      </c>
      <c r="C39" t="str">
        <f>'sample processing comments'!C38</f>
        <v>E9</v>
      </c>
      <c r="D39">
        <f>'sample processing comments'!D38</f>
        <v>3</v>
      </c>
      <c r="E39">
        <f>'mass filt'!V46</f>
        <v>92.485714285714295</v>
      </c>
      <c r="F39">
        <v>0.5</v>
      </c>
      <c r="G39" t="str">
        <f>'sample processing comments'!H38</f>
        <v>IN2024_V02 carboy 1 11/04/2024 23:20 LAT: -47.487 LONG: 140.484</v>
      </c>
      <c r="H39" s="134">
        <f t="shared" si="10"/>
        <v>15</v>
      </c>
      <c r="I39">
        <f t="shared" si="11"/>
        <v>12.331428571428573</v>
      </c>
      <c r="J39">
        <f t="shared" si="12"/>
        <v>4.5040542857142869</v>
      </c>
      <c r="L39">
        <v>1</v>
      </c>
      <c r="M39" s="122" t="s">
        <v>2328</v>
      </c>
      <c r="N39" s="122" t="s">
        <v>2328</v>
      </c>
      <c r="O39" s="122" t="s">
        <v>2328</v>
      </c>
      <c r="Q39" t="s">
        <v>1690</v>
      </c>
      <c r="R39" s="122">
        <f>pH_Sal!D32</f>
        <v>41.09</v>
      </c>
      <c r="S39">
        <f>pH_Sal!K32</f>
        <v>8.5500000000000007</v>
      </c>
      <c r="T39" s="85">
        <f>Schedule!B25</f>
        <v>45188</v>
      </c>
      <c r="U39" s="85">
        <f>Schedule!B26</f>
        <v>45203</v>
      </c>
      <c r="V39" s="85">
        <f t="shared" si="13"/>
        <v>45195.5</v>
      </c>
      <c r="W39" s="134">
        <f t="shared" si="14"/>
        <v>135</v>
      </c>
      <c r="X39">
        <f t="shared" si="17"/>
        <v>120</v>
      </c>
      <c r="Y39">
        <f t="shared" si="15"/>
        <v>0.4</v>
      </c>
      <c r="AB39" t="s">
        <v>2328</v>
      </c>
      <c r="AI39" s="122"/>
      <c r="AJ39" s="122"/>
      <c r="AK39" s="122"/>
    </row>
    <row r="40" spans="1:37" s="559" customFormat="1">
      <c r="A40" s="559">
        <f>'sample processing comments'!A39</f>
        <v>2023</v>
      </c>
      <c r="B40" s="559" t="str">
        <f>'sample processing comments'!B39</f>
        <v>47_2000</v>
      </c>
      <c r="C40" s="559" t="str">
        <f>'sample processing comments'!C39</f>
        <v>E10</v>
      </c>
      <c r="D40" s="559" t="str">
        <f>'sample processing comments'!D39</f>
        <v>&lt;1</v>
      </c>
      <c r="E40" s="559">
        <f>'mass filt'!V47</f>
        <v>67.571428571428569</v>
      </c>
      <c r="F40" s="559">
        <v>0.5</v>
      </c>
      <c r="G40" s="559" t="str">
        <f>'sample processing comments'!H39</f>
        <v>IN2024_V02 carboy 1 11/04/2024 23:20 LAT: -47.487 LONG: 140.484</v>
      </c>
      <c r="H40" s="560">
        <f t="shared" si="10"/>
        <v>15</v>
      </c>
      <c r="I40" s="559">
        <f>E40/F40/(H40+H41)</f>
        <v>4.5047619047619047</v>
      </c>
      <c r="J40" s="559">
        <f>0.001*365.25*E40/F40/(H40+H41)</f>
        <v>1.6453642857142858</v>
      </c>
      <c r="L40" s="559">
        <v>1</v>
      </c>
      <c r="M40" s="561" t="s">
        <v>2328</v>
      </c>
      <c r="N40" s="561" t="s">
        <v>2328</v>
      </c>
      <c r="O40" s="561" t="s">
        <v>2328</v>
      </c>
      <c r="Q40" s="559" t="s">
        <v>1691</v>
      </c>
      <c r="R40" s="561">
        <f>pH_Sal!D33</f>
        <v>41.14</v>
      </c>
      <c r="S40" s="559">
        <f>pH_Sal!K33</f>
        <v>8.6300000000000008</v>
      </c>
      <c r="T40" s="562">
        <f>Schedule!B26</f>
        <v>45203</v>
      </c>
      <c r="U40" s="562">
        <f>Schedule!B27</f>
        <v>45218</v>
      </c>
      <c r="V40" s="562">
        <f t="shared" si="13"/>
        <v>45210.5</v>
      </c>
      <c r="W40" s="560">
        <f t="shared" si="14"/>
        <v>150</v>
      </c>
      <c r="X40" s="559">
        <f t="shared" si="17"/>
        <v>135</v>
      </c>
      <c r="Y40" s="559" t="s">
        <v>2328</v>
      </c>
      <c r="AB40" s="559" t="s">
        <v>2328</v>
      </c>
      <c r="AI40" s="561"/>
      <c r="AJ40" s="561"/>
      <c r="AK40" s="561"/>
    </row>
    <row r="41" spans="1:37">
      <c r="A41">
        <f>'sample processing comments'!A40</f>
        <v>2023</v>
      </c>
      <c r="B41" t="str">
        <f>'sample processing comments'!B40</f>
        <v>47_2000</v>
      </c>
      <c r="C41" t="str">
        <f>'sample processing comments'!C40</f>
        <v>E11</v>
      </c>
      <c r="D41" t="str">
        <f>'sample processing comments'!D40</f>
        <v>&lt;1</v>
      </c>
      <c r="E41" t="s">
        <v>2328</v>
      </c>
      <c r="F41">
        <v>0.5</v>
      </c>
      <c r="G41" t="str">
        <f>'sample processing comments'!H40</f>
        <v>IN2024_V02 carboy 1 11/04/2024 23:20 LAT: -47.487 LONG: 140.484</v>
      </c>
      <c r="H41" s="134">
        <f t="shared" si="10"/>
        <v>15</v>
      </c>
      <c r="I41" t="s">
        <v>2328</v>
      </c>
      <c r="J41" t="s">
        <v>2328</v>
      </c>
      <c r="L41">
        <v>0</v>
      </c>
      <c r="M41" s="122" t="s">
        <v>2328</v>
      </c>
      <c r="N41" s="122" t="s">
        <v>2328</v>
      </c>
      <c r="O41" s="122" t="s">
        <v>2328</v>
      </c>
      <c r="R41" s="122">
        <f>pH_Sal!D34</f>
        <v>41.1</v>
      </c>
      <c r="S41">
        <f>pH_Sal!K34</f>
        <v>8.6199999999999992</v>
      </c>
      <c r="T41" s="85">
        <f>Schedule!B27</f>
        <v>45218</v>
      </c>
      <c r="U41" s="85">
        <f>Schedule!B28</f>
        <v>45233</v>
      </c>
      <c r="V41" s="85">
        <f t="shared" si="13"/>
        <v>45225.5</v>
      </c>
      <c r="W41" s="134">
        <f t="shared" si="14"/>
        <v>165</v>
      </c>
      <c r="X41">
        <f t="shared" si="17"/>
        <v>150</v>
      </c>
      <c r="Y41" t="s">
        <v>2328</v>
      </c>
      <c r="AB41" t="s">
        <v>2328</v>
      </c>
      <c r="AI41" s="122"/>
      <c r="AJ41" s="122"/>
      <c r="AK41" s="122"/>
    </row>
    <row r="42" spans="1:37" s="559" customFormat="1">
      <c r="A42" s="559">
        <f>'sample processing comments'!A41</f>
        <v>2023</v>
      </c>
      <c r="B42" s="559" t="str">
        <f>'sample processing comments'!B41</f>
        <v>47_2000</v>
      </c>
      <c r="C42" s="559" t="str">
        <f>'sample processing comments'!C41</f>
        <v>E12</v>
      </c>
      <c r="D42" s="559" t="str">
        <f>'sample processing comments'!D41</f>
        <v>&lt;1</v>
      </c>
      <c r="E42" s="559">
        <f>'mass filt'!V49</f>
        <v>36.785714285714292</v>
      </c>
      <c r="F42" s="559">
        <v>0.5</v>
      </c>
      <c r="G42" s="559" t="str">
        <f>'sample processing comments'!H41</f>
        <v>IN2024_V02 carboy 1 11/04/2024 23:20 LAT: -47.487 LONG: 140.484</v>
      </c>
      <c r="H42" s="560">
        <f t="shared" si="10"/>
        <v>15</v>
      </c>
      <c r="I42" s="559">
        <f>E42/F42/(SUM(H42:H51))</f>
        <v>0.49047619047619057</v>
      </c>
      <c r="J42" s="559">
        <f>0.001*365.25*E42/F42/(SUM(H42:H51))</f>
        <v>0.17914642857142862</v>
      </c>
      <c r="L42" s="559">
        <v>1</v>
      </c>
      <c r="M42" s="561" t="s">
        <v>2328</v>
      </c>
      <c r="N42" s="561" t="s">
        <v>2328</v>
      </c>
      <c r="O42" s="561" t="s">
        <v>2328</v>
      </c>
      <c r="R42" s="561">
        <f>pH_Sal!D35</f>
        <v>41.16</v>
      </c>
      <c r="S42" s="559">
        <f>pH_Sal!K35</f>
        <v>8.68</v>
      </c>
      <c r="T42" s="562">
        <f>Schedule!B28</f>
        <v>45233</v>
      </c>
      <c r="U42" s="562">
        <f>Schedule!B29</f>
        <v>45248</v>
      </c>
      <c r="V42" s="562">
        <f t="shared" si="13"/>
        <v>45240.5</v>
      </c>
      <c r="W42" s="560">
        <f t="shared" si="14"/>
        <v>180</v>
      </c>
      <c r="X42" s="559">
        <f t="shared" si="17"/>
        <v>165</v>
      </c>
      <c r="Y42" s="559" t="s">
        <v>2328</v>
      </c>
      <c r="AB42" s="559" t="s">
        <v>2328</v>
      </c>
      <c r="AI42" s="561"/>
      <c r="AJ42" s="561"/>
      <c r="AK42" s="561"/>
    </row>
    <row r="43" spans="1:37">
      <c r="A43">
        <f>'sample processing comments'!A42</f>
        <v>2023</v>
      </c>
      <c r="B43" t="str">
        <f>'sample processing comments'!B42</f>
        <v>47_2000</v>
      </c>
      <c r="C43" t="str">
        <f>'sample processing comments'!C42</f>
        <v>E13</v>
      </c>
      <c r="D43" t="str">
        <f>'sample processing comments'!D42</f>
        <v>&lt;1</v>
      </c>
      <c r="E43" t="s">
        <v>2328</v>
      </c>
      <c r="F43">
        <v>0.5</v>
      </c>
      <c r="G43" t="str">
        <f>'sample processing comments'!H42</f>
        <v>IN2024_V02 carboy 1 11/04/2024 23:20 LAT: -47.487 LONG: 140.484</v>
      </c>
      <c r="H43" s="134">
        <f t="shared" si="10"/>
        <v>15</v>
      </c>
      <c r="I43" t="s">
        <v>2328</v>
      </c>
      <c r="J43" t="s">
        <v>2328</v>
      </c>
      <c r="L43">
        <v>0</v>
      </c>
      <c r="M43" s="122" t="s">
        <v>2328</v>
      </c>
      <c r="N43" s="122" t="s">
        <v>2328</v>
      </c>
      <c r="O43" s="122" t="s">
        <v>2328</v>
      </c>
      <c r="R43" s="122">
        <f>AVERAGE(pH_Sal!D36,pH_Sal!G36)</f>
        <v>41.269999999999996</v>
      </c>
      <c r="S43">
        <f>AVERAGE(pH_Sal!K36, pH_Sal!N36)</f>
        <v>8.6449999999999996</v>
      </c>
      <c r="T43" s="85">
        <f>Schedule!B29</f>
        <v>45248</v>
      </c>
      <c r="U43" s="85">
        <f>Schedule!B30</f>
        <v>45263</v>
      </c>
      <c r="V43" s="85">
        <f t="shared" si="13"/>
        <v>45255.5</v>
      </c>
      <c r="W43" s="134">
        <f t="shared" si="14"/>
        <v>195</v>
      </c>
      <c r="X43">
        <f t="shared" si="17"/>
        <v>180</v>
      </c>
      <c r="Y43" t="s">
        <v>2328</v>
      </c>
      <c r="AB43" t="s">
        <v>2328</v>
      </c>
      <c r="AI43" s="122"/>
      <c r="AJ43" s="122"/>
      <c r="AK43" s="122"/>
    </row>
    <row r="44" spans="1:37">
      <c r="A44">
        <f>'sample processing comments'!A43</f>
        <v>2023</v>
      </c>
      <c r="B44" t="str">
        <f>'sample processing comments'!B43</f>
        <v>47_2000</v>
      </c>
      <c r="C44" t="str">
        <f>'sample processing comments'!C43</f>
        <v>E14</v>
      </c>
      <c r="D44" t="str">
        <f>'sample processing comments'!D43</f>
        <v>&lt;1</v>
      </c>
      <c r="E44" t="s">
        <v>2328</v>
      </c>
      <c r="F44">
        <v>0.5</v>
      </c>
      <c r="G44" t="str">
        <f>'sample processing comments'!H43</f>
        <v>IN2024_V02 carboy 1 11/04/2024 23:20 LAT: -47.487 LONG: 140.484</v>
      </c>
      <c r="H44" s="134">
        <f t="shared" si="10"/>
        <v>15</v>
      </c>
      <c r="I44" t="s">
        <v>2328</v>
      </c>
      <c r="J44" t="s">
        <v>2328</v>
      </c>
      <c r="L44">
        <v>0</v>
      </c>
      <c r="M44" s="122" t="s">
        <v>2328</v>
      </c>
      <c r="N44" s="122" t="s">
        <v>2328</v>
      </c>
      <c r="O44" s="122" t="s">
        <v>2328</v>
      </c>
      <c r="R44" s="122">
        <f>pH_Sal!D37</f>
        <v>41.22</v>
      </c>
      <c r="S44">
        <f>pH_Sal!K37</f>
        <v>8.7100000000000009</v>
      </c>
      <c r="T44" s="85">
        <f>Schedule!B30</f>
        <v>45263</v>
      </c>
      <c r="U44" s="85">
        <f>Schedule!B31</f>
        <v>45278</v>
      </c>
      <c r="V44" s="85">
        <f t="shared" si="13"/>
        <v>45270.5</v>
      </c>
      <c r="W44" s="134">
        <f t="shared" si="14"/>
        <v>210</v>
      </c>
      <c r="X44">
        <f t="shared" si="17"/>
        <v>195</v>
      </c>
      <c r="Y44" t="s">
        <v>2328</v>
      </c>
      <c r="AB44" t="s">
        <v>2328</v>
      </c>
      <c r="AI44" s="122"/>
      <c r="AJ44" s="122"/>
      <c r="AK44" s="122"/>
    </row>
    <row r="45" spans="1:37">
      <c r="A45">
        <f>'sample processing comments'!A44</f>
        <v>2023</v>
      </c>
      <c r="B45" t="str">
        <f>'sample processing comments'!B44</f>
        <v>47_2000</v>
      </c>
      <c r="C45" t="str">
        <f>'sample processing comments'!C44</f>
        <v>E15</v>
      </c>
      <c r="D45" t="str">
        <f>'sample processing comments'!D44</f>
        <v>&lt;1</v>
      </c>
      <c r="E45" t="s">
        <v>2328</v>
      </c>
      <c r="F45">
        <v>0.5</v>
      </c>
      <c r="G45" t="str">
        <f>'sample processing comments'!H44</f>
        <v>IN2024_V02 carboy 1 11/04/2024 23:20 LAT: -47.487 LONG: 140.484</v>
      </c>
      <c r="H45" s="134">
        <f t="shared" si="10"/>
        <v>15</v>
      </c>
      <c r="I45" t="s">
        <v>2328</v>
      </c>
      <c r="J45" t="s">
        <v>2328</v>
      </c>
      <c r="L45">
        <v>0</v>
      </c>
      <c r="M45" s="122" t="s">
        <v>2328</v>
      </c>
      <c r="N45" s="122" t="s">
        <v>2328</v>
      </c>
      <c r="O45" s="122" t="s">
        <v>2328</v>
      </c>
      <c r="R45" s="122">
        <f>pH_Sal!D38</f>
        <v>41.32</v>
      </c>
      <c r="S45">
        <f>pH_Sal!K38</f>
        <v>8.66</v>
      </c>
      <c r="T45" s="85">
        <f>Schedule!B31</f>
        <v>45278</v>
      </c>
      <c r="U45" s="85">
        <f>Schedule!B32</f>
        <v>45293</v>
      </c>
      <c r="V45" s="85">
        <f t="shared" si="13"/>
        <v>45285.5</v>
      </c>
      <c r="W45" s="134">
        <f t="shared" si="14"/>
        <v>225</v>
      </c>
      <c r="X45">
        <f t="shared" si="17"/>
        <v>210</v>
      </c>
      <c r="Y45" t="s">
        <v>2328</v>
      </c>
      <c r="AB45" t="s">
        <v>2328</v>
      </c>
      <c r="AI45" s="122"/>
      <c r="AJ45" s="122"/>
      <c r="AK45" s="122"/>
    </row>
    <row r="46" spans="1:37">
      <c r="A46">
        <f>'sample processing comments'!A45</f>
        <v>2023</v>
      </c>
      <c r="B46" t="str">
        <f>'sample processing comments'!B45</f>
        <v>47_2000</v>
      </c>
      <c r="C46" t="str">
        <f>'sample processing comments'!C45</f>
        <v>E16</v>
      </c>
      <c r="D46" t="str">
        <f>'sample processing comments'!D45</f>
        <v>&lt;1</v>
      </c>
      <c r="E46" t="s">
        <v>2328</v>
      </c>
      <c r="F46">
        <v>0.5</v>
      </c>
      <c r="G46" t="str">
        <f>'sample processing comments'!H45</f>
        <v>IN2024_V02 carboy 1 11/04/2024 23:20 LAT: -47.487 LONG: 140.484</v>
      </c>
      <c r="H46" s="134">
        <f t="shared" si="10"/>
        <v>15</v>
      </c>
      <c r="I46" t="s">
        <v>2328</v>
      </c>
      <c r="J46" t="s">
        <v>2328</v>
      </c>
      <c r="L46">
        <v>0</v>
      </c>
      <c r="M46" s="122" t="s">
        <v>2328</v>
      </c>
      <c r="N46" s="122" t="s">
        <v>2328</v>
      </c>
      <c r="O46" s="122" t="s">
        <v>2328</v>
      </c>
      <c r="R46" s="122">
        <f>pH_Sal!D39</f>
        <v>41.23</v>
      </c>
      <c r="S46">
        <f>pH_Sal!K39</f>
        <v>8.64</v>
      </c>
      <c r="T46" s="85">
        <f>Schedule!B32</f>
        <v>45293</v>
      </c>
      <c r="U46" s="85">
        <f>Schedule!B33</f>
        <v>45308</v>
      </c>
      <c r="V46" s="85">
        <f t="shared" si="13"/>
        <v>45300.5</v>
      </c>
      <c r="W46" s="134">
        <f t="shared" si="14"/>
        <v>240</v>
      </c>
      <c r="X46">
        <f t="shared" si="17"/>
        <v>225</v>
      </c>
      <c r="Y46" t="s">
        <v>2328</v>
      </c>
      <c r="AB46" t="s">
        <v>2328</v>
      </c>
      <c r="AI46" s="122"/>
      <c r="AJ46" s="122"/>
      <c r="AK46" s="122"/>
    </row>
    <row r="47" spans="1:37">
      <c r="A47">
        <f>'sample processing comments'!A46</f>
        <v>2023</v>
      </c>
      <c r="B47" t="str">
        <f>'sample processing comments'!B46</f>
        <v>47_2000</v>
      </c>
      <c r="C47" t="str">
        <f>'sample processing comments'!C46</f>
        <v>E17</v>
      </c>
      <c r="D47" t="str">
        <f>'sample processing comments'!D46</f>
        <v>&lt;1</v>
      </c>
      <c r="E47" t="s">
        <v>2328</v>
      </c>
      <c r="F47">
        <v>0.5</v>
      </c>
      <c r="G47" t="str">
        <f>'sample processing comments'!H46</f>
        <v>IN2024_V02 carboy 1 11/04/2024 23:20 LAT: -47.487 LONG: 140.484</v>
      </c>
      <c r="H47" s="134">
        <f t="shared" si="10"/>
        <v>15</v>
      </c>
      <c r="I47" t="s">
        <v>2328</v>
      </c>
      <c r="J47" t="s">
        <v>2328</v>
      </c>
      <c r="L47">
        <v>0</v>
      </c>
      <c r="M47" s="122" t="s">
        <v>2328</v>
      </c>
      <c r="N47" s="122" t="s">
        <v>2328</v>
      </c>
      <c r="O47" s="122" t="s">
        <v>2328</v>
      </c>
      <c r="R47" s="122">
        <f>pH_Sal!D40</f>
        <v>40.94</v>
      </c>
      <c r="S47">
        <f>pH_Sal!K40</f>
        <v>8.64</v>
      </c>
      <c r="T47" s="85">
        <f>Schedule!B33</f>
        <v>45308</v>
      </c>
      <c r="U47" s="85">
        <f>Schedule!B34</f>
        <v>45323</v>
      </c>
      <c r="V47" s="85">
        <f t="shared" si="13"/>
        <v>45315.5</v>
      </c>
      <c r="W47" s="134">
        <f t="shared" si="14"/>
        <v>255</v>
      </c>
      <c r="X47">
        <f t="shared" si="17"/>
        <v>240</v>
      </c>
      <c r="Y47" t="s">
        <v>2328</v>
      </c>
      <c r="AB47" t="s">
        <v>2328</v>
      </c>
      <c r="AI47" s="122"/>
      <c r="AJ47" s="122"/>
      <c r="AK47" s="122"/>
    </row>
    <row r="48" spans="1:37">
      <c r="A48">
        <f>'sample processing comments'!A47</f>
        <v>2023</v>
      </c>
      <c r="B48" t="str">
        <f>'sample processing comments'!B47</f>
        <v>47_2000</v>
      </c>
      <c r="C48" t="str">
        <f>'sample processing comments'!C47</f>
        <v>E18</v>
      </c>
      <c r="D48" t="str">
        <f>'sample processing comments'!D47</f>
        <v>&lt;1</v>
      </c>
      <c r="E48" t="s">
        <v>2328</v>
      </c>
      <c r="F48">
        <v>0.5</v>
      </c>
      <c r="G48" t="str">
        <f>'sample processing comments'!H47</f>
        <v>IN2024_V02 carboy 1 11/04/2024 23:20 LAT: -47.487 LONG: 140.484</v>
      </c>
      <c r="H48" s="134">
        <f t="shared" si="10"/>
        <v>15</v>
      </c>
      <c r="I48" t="s">
        <v>2328</v>
      </c>
      <c r="J48" t="s">
        <v>2328</v>
      </c>
      <c r="L48">
        <v>0</v>
      </c>
      <c r="M48" s="122" t="s">
        <v>2328</v>
      </c>
      <c r="N48" s="122" t="s">
        <v>2328</v>
      </c>
      <c r="O48" s="122" t="s">
        <v>2328</v>
      </c>
      <c r="R48" s="122">
        <f>pH_Sal!D41</f>
        <v>41.03</v>
      </c>
      <c r="S48">
        <f>pH_Sal!K41</f>
        <v>8.5</v>
      </c>
      <c r="T48" s="85">
        <f>Schedule!B34</f>
        <v>45323</v>
      </c>
      <c r="U48" s="85">
        <f>Schedule!B35</f>
        <v>45338</v>
      </c>
      <c r="V48" s="85">
        <f t="shared" si="13"/>
        <v>45330.5</v>
      </c>
      <c r="W48" s="134">
        <f t="shared" si="14"/>
        <v>270</v>
      </c>
      <c r="X48">
        <f t="shared" si="17"/>
        <v>255</v>
      </c>
      <c r="Y48" t="s">
        <v>2328</v>
      </c>
      <c r="AB48" t="s">
        <v>2328</v>
      </c>
      <c r="AI48" s="122"/>
      <c r="AJ48" s="122"/>
      <c r="AK48" s="122"/>
    </row>
    <row r="49" spans="1:37">
      <c r="A49">
        <f>'sample processing comments'!A48</f>
        <v>2023</v>
      </c>
      <c r="B49" t="str">
        <f>'sample processing comments'!B48</f>
        <v>47_2000</v>
      </c>
      <c r="C49" t="str">
        <f>'sample processing comments'!C48</f>
        <v>E19</v>
      </c>
      <c r="D49" t="str">
        <f>'sample processing comments'!D48</f>
        <v>&lt;1</v>
      </c>
      <c r="E49" t="s">
        <v>2328</v>
      </c>
      <c r="F49">
        <v>0.5</v>
      </c>
      <c r="G49" t="str">
        <f>'sample processing comments'!H48</f>
        <v>IN2024_V02 carboy 1 11/04/2024 23:20 LAT: -47.487 LONG: 140.484</v>
      </c>
      <c r="H49" s="134">
        <f t="shared" si="10"/>
        <v>15</v>
      </c>
      <c r="I49" t="s">
        <v>2328</v>
      </c>
      <c r="J49" t="s">
        <v>2328</v>
      </c>
      <c r="L49">
        <v>0</v>
      </c>
      <c r="M49" s="122" t="s">
        <v>2328</v>
      </c>
      <c r="N49" s="122" t="s">
        <v>2328</v>
      </c>
      <c r="O49" s="122" t="s">
        <v>2328</v>
      </c>
      <c r="R49" s="122">
        <f>pH_Sal!D42</f>
        <v>41.04</v>
      </c>
      <c r="S49">
        <f>pH_Sal!K42</f>
        <v>8.67</v>
      </c>
      <c r="T49" s="85">
        <f>Schedule!B35</f>
        <v>45338</v>
      </c>
      <c r="U49" s="85">
        <f>Schedule!B36</f>
        <v>45353</v>
      </c>
      <c r="V49" s="85">
        <f t="shared" si="13"/>
        <v>45345.5</v>
      </c>
      <c r="W49" s="134">
        <f t="shared" si="14"/>
        <v>285</v>
      </c>
      <c r="X49">
        <f t="shared" si="17"/>
        <v>270</v>
      </c>
      <c r="Y49" t="s">
        <v>2328</v>
      </c>
      <c r="AB49" t="s">
        <v>2328</v>
      </c>
      <c r="AI49" s="122"/>
      <c r="AJ49" s="122"/>
      <c r="AK49" s="122"/>
    </row>
    <row r="50" spans="1:37">
      <c r="A50">
        <f>'sample processing comments'!A49</f>
        <v>2023</v>
      </c>
      <c r="B50" t="str">
        <f>'sample processing comments'!B49</f>
        <v>47_2000</v>
      </c>
      <c r="C50" t="str">
        <f>'sample processing comments'!C49</f>
        <v>E20</v>
      </c>
      <c r="D50" t="str">
        <f>'sample processing comments'!D49</f>
        <v>&lt;1</v>
      </c>
      <c r="E50" t="s">
        <v>2328</v>
      </c>
      <c r="F50">
        <v>0.5</v>
      </c>
      <c r="G50" t="str">
        <f>'sample processing comments'!H49</f>
        <v>IN2024_V02 carboy 1 11/04/2024 23:20 LAT: -47.487 LONG: 140.484</v>
      </c>
      <c r="H50" s="134">
        <f t="shared" si="10"/>
        <v>15</v>
      </c>
      <c r="I50" t="s">
        <v>2328</v>
      </c>
      <c r="J50" t="s">
        <v>2328</v>
      </c>
      <c r="L50">
        <v>0</v>
      </c>
      <c r="M50" s="122" t="s">
        <v>2328</v>
      </c>
      <c r="N50" s="122" t="s">
        <v>2328</v>
      </c>
      <c r="O50" s="122" t="s">
        <v>2328</v>
      </c>
      <c r="R50" s="122">
        <f>pH_Sal!D43</f>
        <v>41.19</v>
      </c>
      <c r="S50">
        <f>pH_Sal!K43</f>
        <v>8.65</v>
      </c>
      <c r="T50" s="85">
        <f>Schedule!B36</f>
        <v>45353</v>
      </c>
      <c r="U50" s="85">
        <f>Schedule!B37</f>
        <v>45368</v>
      </c>
      <c r="V50" s="85">
        <f t="shared" si="13"/>
        <v>45360.5</v>
      </c>
      <c r="W50" s="134">
        <f t="shared" si="14"/>
        <v>300</v>
      </c>
      <c r="X50">
        <f t="shared" si="17"/>
        <v>285</v>
      </c>
      <c r="Y50" t="s">
        <v>2328</v>
      </c>
      <c r="AB50" t="s">
        <v>2328</v>
      </c>
      <c r="AI50" s="122"/>
      <c r="AJ50" s="122"/>
      <c r="AK50" s="122"/>
    </row>
    <row r="51" spans="1:37">
      <c r="A51">
        <f>'sample processing comments'!A50</f>
        <v>2023</v>
      </c>
      <c r="B51" t="str">
        <f>'sample processing comments'!B50</f>
        <v>47_2000</v>
      </c>
      <c r="C51" t="str">
        <f>'sample processing comments'!C50</f>
        <v>E21</v>
      </c>
      <c r="D51" t="str">
        <f>'sample processing comments'!D50</f>
        <v>&lt;1</v>
      </c>
      <c r="E51" t="s">
        <v>2328</v>
      </c>
      <c r="F51">
        <v>0.5</v>
      </c>
      <c r="G51" t="str">
        <f>'sample processing comments'!H50</f>
        <v>IN2024_V02 carboy 1 11/04/2024 23:20 LAT: -47.487 LONG: 140.484</v>
      </c>
      <c r="H51" s="134">
        <f t="shared" si="10"/>
        <v>15</v>
      </c>
      <c r="I51" t="s">
        <v>2328</v>
      </c>
      <c r="J51" t="s">
        <v>2328</v>
      </c>
      <c r="L51">
        <v>0</v>
      </c>
      <c r="M51" s="122" t="s">
        <v>2328</v>
      </c>
      <c r="N51" s="122" t="s">
        <v>2328</v>
      </c>
      <c r="O51" s="122" t="s">
        <v>2328</v>
      </c>
      <c r="R51" s="122">
        <f>pH_Sal!D44</f>
        <v>41.27</v>
      </c>
      <c r="S51">
        <f>pH_Sal!K44</f>
        <v>8.48</v>
      </c>
      <c r="T51" s="85">
        <f>Schedule!B37</f>
        <v>45368</v>
      </c>
      <c r="U51" s="85">
        <f>Schedule!B38</f>
        <v>45383</v>
      </c>
      <c r="V51" s="85">
        <f t="shared" si="13"/>
        <v>45375.5</v>
      </c>
      <c r="W51" s="134">
        <f t="shared" si="14"/>
        <v>315</v>
      </c>
      <c r="X51">
        <f t="shared" si="17"/>
        <v>300</v>
      </c>
      <c r="Y51" t="s">
        <v>2328</v>
      </c>
      <c r="AB51" t="s">
        <v>2328</v>
      </c>
      <c r="AI51" s="122"/>
      <c r="AJ51" s="122"/>
      <c r="AK51" s="122"/>
    </row>
    <row r="52" spans="1:37">
      <c r="A52" s="37" t="str">
        <f>'sample processing comments'!A51</f>
        <v>Pick up 11/04/2024 IN2024_V02</v>
      </c>
      <c r="V52" s="85"/>
      <c r="W52" s="134"/>
    </row>
    <row r="54" spans="1:37" s="175" customFormat="1">
      <c r="A54" s="175" t="str">
        <f>'sample processing comments'!A53</f>
        <v>Deployment 18/5/2023 IN2023_V03</v>
      </c>
      <c r="B54" s="175" t="str">
        <f>'[2]sample processing comments'!B53</f>
        <v>McLane-PARFLUX-Mark78H-21 ; frame# 10705, controller# 11649-01 and Motor # 11649-01 Cup set Lx21</v>
      </c>
      <c r="C54" s="175" t="str">
        <f>'sample processing comments'!B53</f>
        <v>McLane-PARFLUX-Mark78H-21 ; frame# 10705, controller# 11649-01 and Motor # 11649-01 Cup set Lx21</v>
      </c>
      <c r="W54" s="183">
        <v>0</v>
      </c>
      <c r="X54" s="184"/>
    </row>
    <row r="55" spans="1:37">
      <c r="A55">
        <f>'sample processing comments'!A54</f>
        <v>2023</v>
      </c>
      <c r="B55" t="str">
        <f>'sample processing comments'!B54</f>
        <v>47_3800</v>
      </c>
      <c r="C55" t="str">
        <f>'sample processing comments'!C54</f>
        <v>L1</v>
      </c>
      <c r="D55">
        <f>'sample processing comments'!D54</f>
        <v>15</v>
      </c>
      <c r="E55">
        <f>'mass filt'!V61</f>
        <v>798.97142857142853</v>
      </c>
      <c r="F55">
        <v>0.5</v>
      </c>
      <c r="G55" t="str">
        <f>'sample processing comments'!H54</f>
        <v>IN2024_V02 carboy 2 12/4/2024 01:30 LAT: -47.501 LONG: 140.321</v>
      </c>
      <c r="H55" s="134">
        <f t="shared" ref="H55:H75" si="18">U55-T55</f>
        <v>15</v>
      </c>
      <c r="I55">
        <f t="shared" ref="I55:I75" si="19">E55/F55/H55</f>
        <v>106.52952380952381</v>
      </c>
      <c r="J55">
        <f t="shared" ref="J55:J64" si="20">0.001*365.25*E55/F55/H55</f>
        <v>38.909908571428574</v>
      </c>
      <c r="L55">
        <v>1</v>
      </c>
      <c r="M55" s="122">
        <f>'CHN data'!F30</f>
        <v>14.708972930908203</v>
      </c>
      <c r="N55" s="122">
        <f>'CHN data'!G30</f>
        <v>1.1312117576599121</v>
      </c>
      <c r="O55" s="122">
        <f>'CHN data'!E30</f>
        <v>1.0882322788238525</v>
      </c>
      <c r="R55" s="122">
        <f>pH_Sal!D45</f>
        <v>39.47</v>
      </c>
      <c r="S55">
        <f>pH_Sal!K45</f>
        <v>8.5</v>
      </c>
      <c r="T55" s="85">
        <f>Schedule!B17</f>
        <v>45068</v>
      </c>
      <c r="U55" s="85">
        <f>Schedule!B18</f>
        <v>45083</v>
      </c>
      <c r="V55" s="85">
        <f t="shared" ref="V55:V75" si="21">AVERAGE(T55:U55)</f>
        <v>45075.5</v>
      </c>
      <c r="W55" s="134">
        <f>H55+W54</f>
        <v>15</v>
      </c>
      <c r="X55">
        <v>0</v>
      </c>
      <c r="Y55">
        <f>D55/0.5/H55</f>
        <v>2</v>
      </c>
      <c r="AB55">
        <f>'BSi data'!T58</f>
        <v>6.1639201969283812</v>
      </c>
      <c r="AC55">
        <f>'BSi data'!U58</f>
        <v>13.185829997629989</v>
      </c>
      <c r="AF55" cm="1">
        <f t="array" ref="AF55:AF75">'PIC data'!AF31:AF51</f>
        <v>64.111804256835711</v>
      </c>
      <c r="AG55">
        <f t="shared" ref="AG55:AG75" si="22">AF55*12.01/100.0869</f>
        <v>7.6931423505433463</v>
      </c>
      <c r="AH55" s="122">
        <f t="shared" ref="AH55:AH75" si="23">M55-AG55</f>
        <v>7.0158305803648568</v>
      </c>
      <c r="AI55" s="122">
        <f>AF55+(AC55*1.11)+(AH55*2.2)+3.7</f>
        <v>97.882902831007684</v>
      </c>
      <c r="AJ55" s="122"/>
      <c r="AK55" s="122">
        <f>report_47_flagged!AY48</f>
        <v>7.5206021975060695</v>
      </c>
    </row>
    <row r="56" spans="1:37">
      <c r="A56">
        <f>'sample processing comments'!A55</f>
        <v>2023</v>
      </c>
      <c r="B56" t="str">
        <f>'sample processing comments'!B55</f>
        <v>47_3800</v>
      </c>
      <c r="C56" t="str">
        <f>'sample processing comments'!C55</f>
        <v>L2</v>
      </c>
      <c r="D56">
        <f>'sample processing comments'!D55</f>
        <v>7</v>
      </c>
      <c r="E56">
        <f>'mass filt'!V63</f>
        <v>258.91428571428571</v>
      </c>
      <c r="F56">
        <v>0.5</v>
      </c>
      <c r="G56" t="str">
        <f>'sample processing comments'!H55</f>
        <v>IN2024_V02 carboy 2 12/4/2024 01:30 LAT: -47.501 LONG: 140.321</v>
      </c>
      <c r="H56" s="134">
        <f t="shared" si="18"/>
        <v>15</v>
      </c>
      <c r="I56">
        <f t="shared" si="19"/>
        <v>34.521904761904764</v>
      </c>
      <c r="J56">
        <f t="shared" si="20"/>
        <v>12.609125714285714</v>
      </c>
      <c r="L56">
        <v>1</v>
      </c>
      <c r="M56" s="122">
        <f>'CHN data'!F31</f>
        <v>13.25831413269043</v>
      </c>
      <c r="N56" s="122">
        <f>'CHN data'!G31</f>
        <v>0.79678642749786377</v>
      </c>
      <c r="O56" s="122">
        <f>'CHN data'!E31</f>
        <v>0.66240662336349487</v>
      </c>
      <c r="R56" s="122">
        <f>pH_Sal!D46</f>
        <v>39.590000000000003</v>
      </c>
      <c r="S56">
        <f>pH_Sal!K46</f>
        <v>8.66</v>
      </c>
      <c r="T56" s="85">
        <f>Schedule!B18</f>
        <v>45083</v>
      </c>
      <c r="U56" s="85">
        <f>Schedule!B19</f>
        <v>45098</v>
      </c>
      <c r="V56" s="85">
        <f t="shared" si="21"/>
        <v>45090.5</v>
      </c>
      <c r="W56" s="134">
        <f t="shared" ref="W56:W75" si="24">H56+W55</f>
        <v>30</v>
      </c>
      <c r="X56">
        <f>X55+H56</f>
        <v>15</v>
      </c>
      <c r="Y56">
        <f t="shared" ref="Y56:Y75" si="25">D56/0.5/H56</f>
        <v>0.93333333333333335</v>
      </c>
      <c r="AB56">
        <f>'BSi data'!T60</f>
        <v>5.2068795361780396</v>
      </c>
      <c r="AC56">
        <f>'BSi data'!U60</f>
        <v>11.138532977178297</v>
      </c>
      <c r="AF56">
        <v>73.037669159249134</v>
      </c>
      <c r="AG56">
        <f t="shared" si="22"/>
        <v>8.7642079693004984</v>
      </c>
      <c r="AH56" s="122">
        <f t="shared" si="23"/>
        <v>4.4941061633899313</v>
      </c>
      <c r="AI56" s="122">
        <f t="shared" ref="AI56:AI75" si="26">AF56+(AC56*1.11)+(AH56*2.2)+3.7</f>
        <v>98.988474323374888</v>
      </c>
      <c r="AJ56" s="122"/>
      <c r="AK56" s="122">
        <f>report_47_flagged!AY49</f>
        <v>7.9143233335665686</v>
      </c>
    </row>
    <row r="57" spans="1:37">
      <c r="A57">
        <f>'sample processing comments'!A56</f>
        <v>2023</v>
      </c>
      <c r="B57" t="str">
        <f>'sample processing comments'!B56</f>
        <v>47_3800</v>
      </c>
      <c r="C57" t="str">
        <f>'sample processing comments'!C56</f>
        <v>L3</v>
      </c>
      <c r="D57">
        <f>'sample processing comments'!D56</f>
        <v>2</v>
      </c>
      <c r="E57">
        <f>'mass filt'!V64</f>
        <v>111.45714285714288</v>
      </c>
      <c r="F57">
        <v>0.5</v>
      </c>
      <c r="G57" t="str">
        <f>'sample processing comments'!H56</f>
        <v>IN2024_V02 carboy 2 12/4/2024 01:30 LAT: -47.501 LONG: 140.321</v>
      </c>
      <c r="H57" s="134">
        <f t="shared" si="18"/>
        <v>15</v>
      </c>
      <c r="I57">
        <f t="shared" si="19"/>
        <v>14.860952380952385</v>
      </c>
      <c r="J57">
        <f t="shared" si="20"/>
        <v>5.4279628571428589</v>
      </c>
      <c r="L57">
        <v>1</v>
      </c>
      <c r="M57" s="122">
        <f>'CHN data'!F32</f>
        <v>14.330452919006348</v>
      </c>
      <c r="N57" s="122">
        <f>'CHN data'!G32</f>
        <v>0.90867650508880615</v>
      </c>
      <c r="O57" s="122">
        <f>'CHN data'!E32</f>
        <v>0.82626485824584961</v>
      </c>
      <c r="R57" s="122">
        <f>AVERAGE(pH_Sal!D47,pH_Sal!G47)</f>
        <v>40.1</v>
      </c>
      <c r="S57">
        <f>AVERAGE(pH_Sal!K47, pH_Sal!N47)</f>
        <v>8.6999999999999993</v>
      </c>
      <c r="T57" s="85">
        <f>Schedule!B19</f>
        <v>45098</v>
      </c>
      <c r="U57" s="85">
        <f>Schedule!B20</f>
        <v>45113</v>
      </c>
      <c r="V57" s="85">
        <f t="shared" si="21"/>
        <v>45105.5</v>
      </c>
      <c r="W57" s="134">
        <f t="shared" si="24"/>
        <v>45</v>
      </c>
      <c r="X57">
        <f t="shared" ref="X57:X74" si="27">X56+H57</f>
        <v>30</v>
      </c>
      <c r="Y57">
        <f t="shared" si="25"/>
        <v>0.26666666666666666</v>
      </c>
      <c r="AB57">
        <f>'BSi data'!T64</f>
        <v>4.2687705903628839</v>
      </c>
      <c r="AC57">
        <f>'BSi data'!U64</f>
        <v>9.1317345950482647</v>
      </c>
      <c r="AF57">
        <v>72.444641581025849</v>
      </c>
      <c r="AG57">
        <f t="shared" si="22"/>
        <v>8.6930471958679956</v>
      </c>
      <c r="AH57" s="122">
        <f t="shared" si="23"/>
        <v>5.6374057231383521</v>
      </c>
      <c r="AI57" s="122">
        <f t="shared" si="26"/>
        <v>98.683159572433809</v>
      </c>
      <c r="AJ57" s="122"/>
      <c r="AK57" s="122">
        <f>report_47_flagged!AY50</f>
        <v>7.9589382955723407</v>
      </c>
    </row>
    <row r="58" spans="1:37">
      <c r="A58">
        <f>'sample processing comments'!A57</f>
        <v>2023</v>
      </c>
      <c r="B58" t="str">
        <f>'sample processing comments'!B57</f>
        <v>47_3800</v>
      </c>
      <c r="C58" t="str">
        <f>'sample processing comments'!C57</f>
        <v>L4</v>
      </c>
      <c r="D58">
        <f>'sample processing comments'!D57</f>
        <v>4</v>
      </c>
      <c r="E58">
        <f>'mass filt'!V65</f>
        <v>233.84285714285713</v>
      </c>
      <c r="F58">
        <v>0.5</v>
      </c>
      <c r="G58" t="str">
        <f>'sample processing comments'!H57</f>
        <v>IN2024_V02 carboy 3 12/4/2024 03:15 LAT: -47.514 LONG: 140.162</v>
      </c>
      <c r="H58" s="134">
        <f t="shared" si="18"/>
        <v>15</v>
      </c>
      <c r="I58">
        <f t="shared" si="19"/>
        <v>31.179047619047616</v>
      </c>
      <c r="J58">
        <f t="shared" si="20"/>
        <v>11.388147142857143</v>
      </c>
      <c r="L58">
        <v>1</v>
      </c>
      <c r="M58" s="122">
        <f>AVERAGE('CHN data'!F33,'CHN data'!F46)</f>
        <v>12.345164775848389</v>
      </c>
      <c r="N58" s="122">
        <f>AVERAGE('CHN data'!G33,'CHN data'!G46)</f>
        <v>0.57558616995811462</v>
      </c>
      <c r="O58" s="122">
        <f>AVERAGE('CHN data'!E33,'CHN data'!E46)</f>
        <v>0.43261502683162689</v>
      </c>
      <c r="R58" s="122">
        <f>pH_Sal!D48</f>
        <v>39.65</v>
      </c>
      <c r="S58">
        <f>pH_Sal!K48</f>
        <v>8.67</v>
      </c>
      <c r="T58" s="85">
        <f>Schedule!B20</f>
        <v>45113</v>
      </c>
      <c r="U58" s="85">
        <f>Schedule!B21</f>
        <v>45128</v>
      </c>
      <c r="V58" s="85">
        <f t="shared" si="21"/>
        <v>45120.5</v>
      </c>
      <c r="W58" s="134">
        <f t="shared" si="24"/>
        <v>60</v>
      </c>
      <c r="X58">
        <f t="shared" si="27"/>
        <v>45</v>
      </c>
      <c r="Y58">
        <f t="shared" si="25"/>
        <v>0.53333333333333333</v>
      </c>
      <c r="AB58">
        <f>'BSi data'!T66</f>
        <v>5.0101056207442376</v>
      </c>
      <c r="AC58">
        <f>'BSi data'!U66</f>
        <v>10.717595113938103</v>
      </c>
      <c r="AF58">
        <v>77.126100462947051</v>
      </c>
      <c r="AG58">
        <f t="shared" si="22"/>
        <v>9.2548022424512499</v>
      </c>
      <c r="AH58" s="122">
        <f t="shared" si="23"/>
        <v>3.0903625333971387</v>
      </c>
      <c r="AI58" s="122">
        <f t="shared" si="26"/>
        <v>99.521428612892052</v>
      </c>
      <c r="AJ58" s="122"/>
      <c r="AK58" s="122">
        <f>report_47_flagged!AY51</f>
        <v>8.3330302287385756</v>
      </c>
    </row>
    <row r="59" spans="1:37">
      <c r="A59">
        <f>'sample processing comments'!A58</f>
        <v>2023</v>
      </c>
      <c r="B59" t="str">
        <f>'sample processing comments'!B58</f>
        <v>47_3800</v>
      </c>
      <c r="C59" t="str">
        <f>'sample processing comments'!C58</f>
        <v>L5</v>
      </c>
      <c r="D59">
        <f>'sample processing comments'!D58</f>
        <v>3</v>
      </c>
      <c r="E59">
        <f>'mass filt'!V66</f>
        <v>161.41428571428571</v>
      </c>
      <c r="F59">
        <v>0.5</v>
      </c>
      <c r="G59" t="str">
        <f>'sample processing comments'!H58</f>
        <v>IN2024_V02 carboy 3 12/4/2024 03:15 LAT: -47.514 LONG: 140.162</v>
      </c>
      <c r="H59" s="134">
        <f t="shared" si="18"/>
        <v>15</v>
      </c>
      <c r="I59">
        <f t="shared" si="19"/>
        <v>21.521904761904761</v>
      </c>
      <c r="J59">
        <f t="shared" si="20"/>
        <v>7.8608757142857142</v>
      </c>
      <c r="L59">
        <v>1</v>
      </c>
      <c r="M59" s="122">
        <f>'CHN data'!F69</f>
        <v>12.082046508789063</v>
      </c>
      <c r="N59" s="122">
        <f>'CHN data'!G69</f>
        <v>0.55220925807952881</v>
      </c>
      <c r="O59" s="122">
        <f>'CHN data'!E69</f>
        <v>0.45895856618881226</v>
      </c>
      <c r="R59" s="122">
        <f>pH_Sal!D49</f>
        <v>39.54</v>
      </c>
      <c r="S59">
        <f>pH_Sal!K49</f>
        <v>8.65</v>
      </c>
      <c r="T59" s="85">
        <f>Schedule!B21</f>
        <v>45128</v>
      </c>
      <c r="U59" s="85">
        <f>Schedule!B22</f>
        <v>45143</v>
      </c>
      <c r="V59" s="85">
        <f t="shared" si="21"/>
        <v>45135.5</v>
      </c>
      <c r="W59" s="134">
        <f t="shared" si="24"/>
        <v>75</v>
      </c>
      <c r="X59">
        <f t="shared" si="27"/>
        <v>60</v>
      </c>
      <c r="Y59">
        <f t="shared" si="25"/>
        <v>0.4</v>
      </c>
      <c r="AB59">
        <f>'BSi data'!T68</f>
        <v>5.0193551141446857</v>
      </c>
      <c r="AC59">
        <f>'BSi data'!U68</f>
        <v>10.737381588072415</v>
      </c>
      <c r="AF59">
        <v>74.410123616801727</v>
      </c>
      <c r="AG59">
        <f t="shared" si="22"/>
        <v>8.9288966352018964</v>
      </c>
      <c r="AH59" s="122">
        <f t="shared" si="23"/>
        <v>3.1531498735871661</v>
      </c>
      <c r="AI59" s="122">
        <f t="shared" si="26"/>
        <v>96.965546901453891</v>
      </c>
      <c r="AJ59" s="122"/>
      <c r="AK59" s="122">
        <f>report_47_flagged!AY52</f>
        <v>8.0143122945149461</v>
      </c>
    </row>
    <row r="60" spans="1:37">
      <c r="A60">
        <f>'sample processing comments'!A59</f>
        <v>2023</v>
      </c>
      <c r="B60" t="str">
        <f>'sample processing comments'!B59</f>
        <v>47_3800</v>
      </c>
      <c r="C60" t="str">
        <f>'sample processing comments'!C59</f>
        <v>L6</v>
      </c>
      <c r="D60">
        <f>'sample processing comments'!D59</f>
        <v>3</v>
      </c>
      <c r="E60">
        <f>'mass filt'!V67</f>
        <v>174.12857142857146</v>
      </c>
      <c r="F60">
        <v>0.5</v>
      </c>
      <c r="G60" t="str">
        <f>'sample processing comments'!H59</f>
        <v>IN2024_V02 carboy 3 12/4/2024 03:15 LAT: -47.514 LONG: 140.162</v>
      </c>
      <c r="H60" s="134">
        <f t="shared" si="18"/>
        <v>15</v>
      </c>
      <c r="I60">
        <f t="shared" si="19"/>
        <v>23.217142857142861</v>
      </c>
      <c r="J60">
        <f t="shared" si="20"/>
        <v>8.48006142857143</v>
      </c>
      <c r="L60">
        <v>1</v>
      </c>
      <c r="M60" s="122">
        <f>'CHN data'!F34</f>
        <v>13.242649078369141</v>
      </c>
      <c r="N60" s="122">
        <f>'CHN data'!G34</f>
        <v>0.7122313380241394</v>
      </c>
      <c r="O60" s="122">
        <f>'CHN data'!E34</f>
        <v>0.65128165483474731</v>
      </c>
      <c r="R60" s="122">
        <f>pH_Sal!D50</f>
        <v>39.82</v>
      </c>
      <c r="S60">
        <f>pH_Sal!K50</f>
        <v>8.68</v>
      </c>
      <c r="T60" s="85">
        <f>Schedule!B22</f>
        <v>45143</v>
      </c>
      <c r="U60" s="85">
        <f>Schedule!B23</f>
        <v>45158</v>
      </c>
      <c r="V60" s="85">
        <f t="shared" si="21"/>
        <v>45150.5</v>
      </c>
      <c r="W60" s="134">
        <f t="shared" si="24"/>
        <v>90</v>
      </c>
      <c r="X60">
        <f t="shared" si="27"/>
        <v>75</v>
      </c>
      <c r="Y60">
        <f t="shared" si="25"/>
        <v>0.4</v>
      </c>
      <c r="AB60">
        <f>'BSi data'!T70</f>
        <v>4.4344260593336244</v>
      </c>
      <c r="AC60">
        <f>'BSi data'!U70</f>
        <v>9.4861040194146504</v>
      </c>
      <c r="AF60">
        <v>74.752033588136442</v>
      </c>
      <c r="AG60">
        <f t="shared" si="22"/>
        <v>8.9699243696579547</v>
      </c>
      <c r="AH60" s="122">
        <f t="shared" si="23"/>
        <v>4.2727247087111859</v>
      </c>
      <c r="AI60" s="122">
        <f t="shared" si="26"/>
        <v>98.381603408851319</v>
      </c>
      <c r="AJ60" s="122"/>
      <c r="AK60" s="122">
        <f>report_47_flagged!AY53</f>
        <v>7.6529908629013965</v>
      </c>
    </row>
    <row r="61" spans="1:37">
      <c r="A61">
        <f>'sample processing comments'!A60</f>
        <v>2023</v>
      </c>
      <c r="B61" t="str">
        <f>'sample processing comments'!B60</f>
        <v>47_3800</v>
      </c>
      <c r="C61" t="str">
        <f>'sample processing comments'!C60</f>
        <v>L7</v>
      </c>
      <c r="D61">
        <f>'sample processing comments'!D60</f>
        <v>3</v>
      </c>
      <c r="E61">
        <f>'mass filt'!V68</f>
        <v>142.79999999999998</v>
      </c>
      <c r="F61">
        <v>0.5</v>
      </c>
      <c r="G61" t="str">
        <f>'sample processing comments'!H60</f>
        <v>IN2024_V02 carboy 3 12/4/2024 03:15 LAT: -47.514 LONG: 140.162</v>
      </c>
      <c r="H61" s="134">
        <f t="shared" si="18"/>
        <v>15</v>
      </c>
      <c r="I61">
        <f t="shared" si="19"/>
        <v>19.04</v>
      </c>
      <c r="J61">
        <f t="shared" si="20"/>
        <v>6.9543599999999994</v>
      </c>
      <c r="L61">
        <v>1</v>
      </c>
      <c r="M61" s="122">
        <f>'CHN data'!F35</f>
        <v>12.876192092895508</v>
      </c>
      <c r="N61" s="122">
        <f>'CHN data'!G35</f>
        <v>0.67171305418014526</v>
      </c>
      <c r="O61" s="122">
        <f>'CHN data'!E35</f>
        <v>0.54511123895645142</v>
      </c>
      <c r="R61" s="122">
        <f>pH_Sal!D51</f>
        <v>39.54</v>
      </c>
      <c r="S61">
        <f>pH_Sal!K51</f>
        <v>8.66</v>
      </c>
      <c r="T61" s="85">
        <f>Schedule!B23</f>
        <v>45158</v>
      </c>
      <c r="U61" s="85">
        <f>Schedule!B24</f>
        <v>45173</v>
      </c>
      <c r="V61" s="85">
        <f t="shared" si="21"/>
        <v>45165.5</v>
      </c>
      <c r="W61" s="134">
        <f t="shared" si="24"/>
        <v>105</v>
      </c>
      <c r="X61">
        <f t="shared" si="27"/>
        <v>90</v>
      </c>
      <c r="Y61">
        <f t="shared" si="25"/>
        <v>0.4</v>
      </c>
      <c r="AB61">
        <f>'BSi data'!T72</f>
        <v>4.5929593926033796</v>
      </c>
      <c r="AC61">
        <f>'BSi data'!U72</f>
        <v>9.8252378035435086</v>
      </c>
      <c r="AF61">
        <v>74.931311872385535</v>
      </c>
      <c r="AG61">
        <f t="shared" si="22"/>
        <v>8.991436997123003</v>
      </c>
      <c r="AH61" s="122">
        <f t="shared" si="23"/>
        <v>3.8847550957725048</v>
      </c>
      <c r="AI61" s="122">
        <f t="shared" si="26"/>
        <v>98.083787045018354</v>
      </c>
      <c r="AJ61" s="122"/>
      <c r="AK61" s="122">
        <f>report_47_flagged!AY54</f>
        <v>8.3133035139906344</v>
      </c>
    </row>
    <row r="62" spans="1:37">
      <c r="A62">
        <f>'sample processing comments'!A61</f>
        <v>2023</v>
      </c>
      <c r="B62" t="str">
        <f>'sample processing comments'!B61</f>
        <v>47_3800</v>
      </c>
      <c r="C62" t="str">
        <f>'sample processing comments'!C61</f>
        <v>L8</v>
      </c>
      <c r="D62">
        <f>'sample processing comments'!D61</f>
        <v>4</v>
      </c>
      <c r="E62">
        <f>'mass filt'!V69</f>
        <v>205.8</v>
      </c>
      <c r="F62">
        <v>0.5</v>
      </c>
      <c r="G62" t="str">
        <f>'sample processing comments'!H61</f>
        <v>IN2024_V02 carboy 3 12/4/2024 03:15 LAT: -47.514 LONG: 140.162</v>
      </c>
      <c r="H62" s="134">
        <f t="shared" si="18"/>
        <v>15</v>
      </c>
      <c r="I62">
        <f t="shared" si="19"/>
        <v>27.44</v>
      </c>
      <c r="J62">
        <f t="shared" si="20"/>
        <v>10.022460000000001</v>
      </c>
      <c r="L62">
        <v>1</v>
      </c>
      <c r="M62" s="122">
        <f>'CHN data'!F36</f>
        <v>12.361801147460938</v>
      </c>
      <c r="N62" s="122">
        <f>'CHN data'!G36</f>
        <v>0.63714158535003662</v>
      </c>
      <c r="O62" s="122">
        <f>'CHN data'!E36</f>
        <v>0.44688236713409424</v>
      </c>
      <c r="R62" s="122">
        <f>pH_Sal!D52</f>
        <v>39.71</v>
      </c>
      <c r="S62">
        <f>pH_Sal!K52</f>
        <v>8.73</v>
      </c>
      <c r="T62" s="85">
        <f>Schedule!B24</f>
        <v>45173</v>
      </c>
      <c r="U62" s="85">
        <f>Schedule!B25</f>
        <v>45188</v>
      </c>
      <c r="V62" s="85">
        <f t="shared" si="21"/>
        <v>45180.5</v>
      </c>
      <c r="W62" s="134">
        <f t="shared" si="24"/>
        <v>120</v>
      </c>
      <c r="X62">
        <f t="shared" si="27"/>
        <v>105</v>
      </c>
      <c r="Y62">
        <f t="shared" si="25"/>
        <v>0.53333333333333333</v>
      </c>
      <c r="AB62">
        <f>'BSi data'!T76</f>
        <v>5.1715275437005124</v>
      </c>
      <c r="AC62">
        <f>'BSi data'!U76</f>
        <v>11.062908155961688</v>
      </c>
      <c r="AF62">
        <v>74.282443019335858</v>
      </c>
      <c r="AG62">
        <f t="shared" si="22"/>
        <v>8.9135755095044775</v>
      </c>
      <c r="AH62" s="122">
        <f t="shared" si="23"/>
        <v>3.44822563795646</v>
      </c>
      <c r="AI62" s="122">
        <f t="shared" si="26"/>
        <v>97.848367475957545</v>
      </c>
      <c r="AJ62" s="122"/>
      <c r="AK62" s="122">
        <f>report_47_flagged!AY55</f>
        <v>9.0011414307662569</v>
      </c>
    </row>
    <row r="63" spans="1:37">
      <c r="A63">
        <f>'sample processing comments'!A62</f>
        <v>2023</v>
      </c>
      <c r="B63" t="str">
        <f>'sample processing comments'!B62</f>
        <v>47_3800</v>
      </c>
      <c r="C63" t="str">
        <f>'sample processing comments'!C62</f>
        <v>L9</v>
      </c>
      <c r="D63">
        <f>'sample processing comments'!D62</f>
        <v>2</v>
      </c>
      <c r="E63">
        <f>'mass filt'!V70</f>
        <v>146.2714285714286</v>
      </c>
      <c r="F63">
        <v>0.5</v>
      </c>
      <c r="G63" t="str">
        <f>'sample processing comments'!H62</f>
        <v>IN2024_V02 carboy 3 12/4/2024 03:15 LAT: -47.514 LONG: 140.162</v>
      </c>
      <c r="H63" s="134">
        <f t="shared" si="18"/>
        <v>15</v>
      </c>
      <c r="I63">
        <f t="shared" si="19"/>
        <v>19.502857142857145</v>
      </c>
      <c r="J63">
        <f t="shared" si="20"/>
        <v>7.1234185714285729</v>
      </c>
      <c r="L63">
        <v>1</v>
      </c>
      <c r="M63" s="122">
        <f>'CHN data'!F37</f>
        <v>12.352426528930664</v>
      </c>
      <c r="N63" s="122">
        <f>'CHN data'!G37</f>
        <v>0.54593873023986816</v>
      </c>
      <c r="O63" s="122">
        <f>'CHN data'!E37</f>
        <v>0.39903417229652405</v>
      </c>
      <c r="R63" s="122">
        <f>pH_Sal!D53</f>
        <v>39.619999999999997</v>
      </c>
      <c r="S63">
        <f>pH_Sal!K53</f>
        <v>8.73</v>
      </c>
      <c r="T63" s="85">
        <f>Schedule!B25</f>
        <v>45188</v>
      </c>
      <c r="U63" s="85">
        <f>Schedule!B26</f>
        <v>45203</v>
      </c>
      <c r="V63" s="85">
        <f t="shared" si="21"/>
        <v>45195.5</v>
      </c>
      <c r="W63" s="134">
        <f t="shared" si="24"/>
        <v>135</v>
      </c>
      <c r="X63">
        <f t="shared" si="27"/>
        <v>120</v>
      </c>
      <c r="Y63">
        <f t="shared" si="25"/>
        <v>0.26666666666666666</v>
      </c>
      <c r="AB63">
        <f>'BSi data'!T78</f>
        <v>4.75447923665525</v>
      </c>
      <c r="AC63">
        <f>'BSi data'!U78</f>
        <v>10.170760317928588</v>
      </c>
      <c r="AF63">
        <v>76.992719209210293</v>
      </c>
      <c r="AG63">
        <f t="shared" si="22"/>
        <v>9.2387970623789482</v>
      </c>
      <c r="AH63" s="122">
        <f t="shared" si="23"/>
        <v>3.1136294665517159</v>
      </c>
      <c r="AI63" s="122">
        <f t="shared" si="26"/>
        <v>98.832247988524799</v>
      </c>
      <c r="AJ63" s="122"/>
      <c r="AK63" s="122">
        <f>report_47_flagged!AY56</f>
        <v>9.1023172316546468</v>
      </c>
    </row>
    <row r="64" spans="1:37">
      <c r="A64">
        <f>'sample processing comments'!A63</f>
        <v>2023</v>
      </c>
      <c r="B64" t="str">
        <f>'sample processing comments'!B63</f>
        <v>47_3800</v>
      </c>
      <c r="C64" t="str">
        <f>'sample processing comments'!C63</f>
        <v>L10</v>
      </c>
      <c r="D64">
        <f>'sample processing comments'!D63</f>
        <v>3</v>
      </c>
      <c r="E64">
        <f>'mass filt'!V71</f>
        <v>323.22857142857146</v>
      </c>
      <c r="F64">
        <v>0.5</v>
      </c>
      <c r="G64" t="str">
        <f>'sample processing comments'!H63</f>
        <v>IN2024_V02 carboy 3 12/4/2024 03:15 LAT: -47.514 LONG: 140.162</v>
      </c>
      <c r="H64" s="134">
        <f t="shared" si="18"/>
        <v>15</v>
      </c>
      <c r="I64">
        <f t="shared" si="19"/>
        <v>43.097142857142863</v>
      </c>
      <c r="J64">
        <f t="shared" si="20"/>
        <v>15.741231428571432</v>
      </c>
      <c r="L64">
        <v>1</v>
      </c>
      <c r="M64" s="122">
        <f>'CHN data'!F42</f>
        <v>12.193502426147461</v>
      </c>
      <c r="N64" s="122">
        <f>'CHN data'!G42</f>
        <v>0.53581982851028442</v>
      </c>
      <c r="O64" s="122">
        <f>'CHN data'!E42</f>
        <v>0.36282044649124146</v>
      </c>
      <c r="R64" s="122">
        <f>pH_Sal!D54</f>
        <v>39.659999999999997</v>
      </c>
      <c r="S64">
        <f>pH_Sal!K54</f>
        <v>8.39</v>
      </c>
      <c r="T64" s="85">
        <f>Schedule!B26</f>
        <v>45203</v>
      </c>
      <c r="U64" s="85">
        <f>Schedule!B27</f>
        <v>45218</v>
      </c>
      <c r="V64" s="85">
        <f t="shared" si="21"/>
        <v>45210.5</v>
      </c>
      <c r="W64" s="134">
        <f t="shared" si="24"/>
        <v>150</v>
      </c>
      <c r="X64">
        <f t="shared" si="27"/>
        <v>135</v>
      </c>
      <c r="Y64">
        <f t="shared" si="25"/>
        <v>0.4</v>
      </c>
      <c r="AB64">
        <f>'BSi data'!T80</f>
        <v>4.8360228066795798</v>
      </c>
      <c r="AC64">
        <f>'BSi data'!U80</f>
        <v>10.345197951348378</v>
      </c>
      <c r="AF64">
        <v>77.951479092145476</v>
      </c>
      <c r="AG64">
        <f t="shared" si="22"/>
        <v>9.3538441484017092</v>
      </c>
      <c r="AH64" s="122">
        <f t="shared" si="23"/>
        <v>2.8396582777457517</v>
      </c>
      <c r="AI64" s="122">
        <f t="shared" si="26"/>
        <v>99.381897029182838</v>
      </c>
      <c r="AJ64" s="122"/>
      <c r="AK64" s="122">
        <f>report_47_flagged!AY57</f>
        <v>9.1299721964745526</v>
      </c>
    </row>
    <row r="65" spans="1:37">
      <c r="A65">
        <f>'sample processing comments'!A64</f>
        <v>2023</v>
      </c>
      <c r="B65" t="str">
        <f>'sample processing comments'!B64</f>
        <v>47_3800</v>
      </c>
      <c r="C65" t="str">
        <f>'sample processing comments'!C64</f>
        <v>L11</v>
      </c>
      <c r="D65">
        <f>'sample processing comments'!D64</f>
        <v>3</v>
      </c>
      <c r="E65">
        <f>'mass filt'!V72</f>
        <v>399.3</v>
      </c>
      <c r="F65">
        <v>0.5</v>
      </c>
      <c r="G65" t="str">
        <f>'sample processing comments'!H64</f>
        <v>IN2024_V02 carboy 3 12/4/2024 03:15 LAT: -47.514 LONG: 140.162</v>
      </c>
      <c r="H65" s="134">
        <f t="shared" si="18"/>
        <v>15</v>
      </c>
      <c r="I65">
        <f t="shared" si="19"/>
        <v>53.24</v>
      </c>
      <c r="J65">
        <f t="shared" ref="J65:J75" si="28">0.001*365.25*E65/F65/H65</f>
        <v>19.445910000000001</v>
      </c>
      <c r="L65">
        <v>1</v>
      </c>
      <c r="M65" s="122">
        <f>'CHN data'!F43</f>
        <v>12.338925361633301</v>
      </c>
      <c r="N65" s="122">
        <f>'CHN data'!G43</f>
        <v>0.58071780204772949</v>
      </c>
      <c r="O65" s="122">
        <f>'CHN data'!E43</f>
        <v>0.41840517520904541</v>
      </c>
      <c r="R65" s="122">
        <f>pH_Sal!D55</f>
        <v>39.799999999999997</v>
      </c>
      <c r="S65">
        <f>pH_Sal!K55</f>
        <v>8.66</v>
      </c>
      <c r="T65" s="85">
        <f>Schedule!B27</f>
        <v>45218</v>
      </c>
      <c r="U65" s="85">
        <f>Schedule!B28</f>
        <v>45233</v>
      </c>
      <c r="V65" s="85">
        <f t="shared" si="21"/>
        <v>45225.5</v>
      </c>
      <c r="W65" s="134">
        <f t="shared" si="24"/>
        <v>165</v>
      </c>
      <c r="X65">
        <f t="shared" si="27"/>
        <v>150</v>
      </c>
      <c r="Y65">
        <f t="shared" si="25"/>
        <v>0.4</v>
      </c>
      <c r="AB65">
        <f>'BSi data'!T82</f>
        <v>4.9558574752183464</v>
      </c>
      <c r="AC65">
        <f>'BSi data'!U82</f>
        <v>10.601547728226073</v>
      </c>
      <c r="AF65">
        <v>76.809847280003325</v>
      </c>
      <c r="AG65">
        <f t="shared" si="22"/>
        <v>9.2168532128864005</v>
      </c>
      <c r="AH65" s="122">
        <f t="shared" si="23"/>
        <v>3.1220721487469003</v>
      </c>
      <c r="AI65" s="122">
        <f t="shared" si="26"/>
        <v>99.146123985577447</v>
      </c>
      <c r="AJ65" s="122"/>
      <c r="AK65" s="122">
        <f>report_47_flagged!AY58</f>
        <v>8.7044435933902022</v>
      </c>
    </row>
    <row r="66" spans="1:37">
      <c r="A66">
        <f>'sample processing comments'!A65</f>
        <v>2023</v>
      </c>
      <c r="B66" t="str">
        <f>'sample processing comments'!B65</f>
        <v>47_3800</v>
      </c>
      <c r="C66" t="str">
        <f>'sample processing comments'!C65</f>
        <v>L12</v>
      </c>
      <c r="D66">
        <f>'sample processing comments'!D65</f>
        <v>5</v>
      </c>
      <c r="E66">
        <f>'mass filt'!V73</f>
        <v>410.7</v>
      </c>
      <c r="F66">
        <v>0.5</v>
      </c>
      <c r="G66" t="str">
        <f>'sample processing comments'!H65</f>
        <v>IN2024_V02 carboy 3 12/4/2024 03:15 LAT: -47.514 LONG: 140.162</v>
      </c>
      <c r="H66" s="134">
        <f t="shared" si="18"/>
        <v>15</v>
      </c>
      <c r="I66">
        <f t="shared" si="19"/>
        <v>54.76</v>
      </c>
      <c r="J66">
        <f t="shared" si="28"/>
        <v>20.001089999999998</v>
      </c>
      <c r="L66">
        <v>1</v>
      </c>
      <c r="M66" s="122">
        <f>'CHN data'!F44</f>
        <v>13.286656379699707</v>
      </c>
      <c r="N66" s="122">
        <f>'CHN data'!G44</f>
        <v>0.74582141637802124</v>
      </c>
      <c r="O66" s="122">
        <f>'CHN data'!E44</f>
        <v>0.60423123836517334</v>
      </c>
      <c r="R66" s="122">
        <f>AVERAGE(pH_Sal!D56,pH_Sal!G56)</f>
        <v>39.715000000000003</v>
      </c>
      <c r="S66">
        <f>AVERAGE(pH_Sal!K56, pH_Sal!N56)</f>
        <v>8.6649999999999991</v>
      </c>
      <c r="T66" s="85">
        <f>Schedule!B28</f>
        <v>45233</v>
      </c>
      <c r="U66" s="85">
        <f>Schedule!B29</f>
        <v>45248</v>
      </c>
      <c r="V66" s="85">
        <f t="shared" si="21"/>
        <v>45240.5</v>
      </c>
      <c r="W66" s="134">
        <f t="shared" si="24"/>
        <v>180</v>
      </c>
      <c r="X66">
        <f t="shared" si="27"/>
        <v>165</v>
      </c>
      <c r="Y66">
        <f t="shared" si="25"/>
        <v>0.66666666666666663</v>
      </c>
      <c r="AB66">
        <f>'BSi data'!T84</f>
        <v>4.9262419441444081</v>
      </c>
      <c r="AC66">
        <f>'BSi data'!U84</f>
        <v>10.538194319104218</v>
      </c>
      <c r="AF66">
        <v>73.529149351928837</v>
      </c>
      <c r="AG66">
        <f t="shared" si="22"/>
        <v>8.8231834907132232</v>
      </c>
      <c r="AH66" s="122">
        <f t="shared" si="23"/>
        <v>4.4634728889864839</v>
      </c>
      <c r="AI66" s="122">
        <f t="shared" si="26"/>
        <v>98.746185401904782</v>
      </c>
      <c r="AJ66" s="122"/>
      <c r="AK66" s="122">
        <f>report_47_flagged!AY59</f>
        <v>8.6171738499053099</v>
      </c>
    </row>
    <row r="67" spans="1:37">
      <c r="A67">
        <f>'sample processing comments'!A66</f>
        <v>2023</v>
      </c>
      <c r="B67" t="str">
        <f>'sample processing comments'!B66</f>
        <v>47_3800</v>
      </c>
      <c r="C67" t="str">
        <f>'sample processing comments'!C66</f>
        <v>L13</v>
      </c>
      <c r="D67">
        <f>'sample processing comments'!D66</f>
        <v>18</v>
      </c>
      <c r="E67">
        <f>'mass filt'!V74</f>
        <v>1258.4428571428571</v>
      </c>
      <c r="F67">
        <v>0.5</v>
      </c>
      <c r="G67" t="str">
        <f>'sample processing comments'!H66</f>
        <v>IN2024_V02 carboy 3 12/4/2024 03:15 LAT: -47.514 LONG: 140.162</v>
      </c>
      <c r="H67" s="134">
        <f t="shared" si="18"/>
        <v>15</v>
      </c>
      <c r="I67">
        <f t="shared" si="19"/>
        <v>167.79238095238094</v>
      </c>
      <c r="J67">
        <f>0.001*365.25*E67/F67/H67</f>
        <v>61.286167142857146</v>
      </c>
      <c r="L67">
        <v>1</v>
      </c>
      <c r="M67" s="122">
        <f>'CHN data'!F45</f>
        <v>13.127504348754883</v>
      </c>
      <c r="N67" s="122">
        <f>'CHN data'!G45</f>
        <v>0.95550441741943359</v>
      </c>
      <c r="O67" s="122">
        <f>'CHN data'!E45</f>
        <v>0.69014662504196167</v>
      </c>
      <c r="R67" s="122">
        <f>pH_Sal!D57</f>
        <v>39.49</v>
      </c>
      <c r="S67">
        <f>pH_Sal!K57</f>
        <v>8.49</v>
      </c>
      <c r="T67" s="85">
        <f>Schedule!B29</f>
        <v>45248</v>
      </c>
      <c r="U67" s="85">
        <f>Schedule!B30</f>
        <v>45263</v>
      </c>
      <c r="V67" s="85">
        <f t="shared" si="21"/>
        <v>45255.5</v>
      </c>
      <c r="W67" s="134">
        <f t="shared" si="24"/>
        <v>195</v>
      </c>
      <c r="X67">
        <f t="shared" si="27"/>
        <v>180</v>
      </c>
      <c r="Y67">
        <f t="shared" si="25"/>
        <v>2.4</v>
      </c>
      <c r="AB67">
        <f>'BSi data'!T88</f>
        <v>8.2995230023769722</v>
      </c>
      <c r="AC67">
        <f>'BSi data'!U88</f>
        <v>17.75430178756968</v>
      </c>
      <c r="AF67">
        <v>64.590771084804572</v>
      </c>
      <c r="AG67">
        <f t="shared" si="22"/>
        <v>7.7506163217014707</v>
      </c>
      <c r="AH67" s="122">
        <f t="shared" si="23"/>
        <v>5.3768880270534121</v>
      </c>
      <c r="AI67" s="122">
        <f t="shared" si="26"/>
        <v>99.82719972852442</v>
      </c>
      <c r="AJ67" s="122"/>
      <c r="AK67" s="122">
        <f>report_47_flagged!AY60</f>
        <v>9.0883438906681988</v>
      </c>
    </row>
    <row r="68" spans="1:37">
      <c r="A68">
        <f>'sample processing comments'!A67</f>
        <v>2023</v>
      </c>
      <c r="B68" t="str">
        <f>'sample processing comments'!B67</f>
        <v>47_3800</v>
      </c>
      <c r="C68" t="str">
        <f>'sample processing comments'!C67</f>
        <v>L14</v>
      </c>
      <c r="D68">
        <f>'sample processing comments'!D67</f>
        <v>23</v>
      </c>
      <c r="E68">
        <f>'mass filt'!V76</f>
        <v>1290.1428571428571</v>
      </c>
      <c r="F68">
        <v>0.5</v>
      </c>
      <c r="G68" t="str">
        <f>'sample processing comments'!H67</f>
        <v>IN2024_V02 carboy 3 12/4/2024 03:15 LAT: -47.514 LONG: 140.162</v>
      </c>
      <c r="H68" s="134">
        <f t="shared" si="18"/>
        <v>15</v>
      </c>
      <c r="I68">
        <f t="shared" si="19"/>
        <v>172.01904761904763</v>
      </c>
      <c r="J68">
        <f t="shared" si="28"/>
        <v>62.82995714285714</v>
      </c>
      <c r="L68">
        <v>1</v>
      </c>
      <c r="M68" s="122">
        <f>'CHN data'!F76</f>
        <v>11.583279609680176</v>
      </c>
      <c r="N68" s="122">
        <f>'CHN data'!G76</f>
        <v>0.87043583393096924</v>
      </c>
      <c r="O68" s="122">
        <f>'CHN data'!E76</f>
        <v>0.62558716535568237</v>
      </c>
      <c r="R68" s="122">
        <f>pH_Sal!D58</f>
        <v>39.15</v>
      </c>
      <c r="S68">
        <f>pH_Sal!K58</f>
        <v>8.5399999999999991</v>
      </c>
      <c r="T68" s="85">
        <f>Schedule!B30</f>
        <v>45263</v>
      </c>
      <c r="U68" s="85">
        <f>Schedule!B31</f>
        <v>45278</v>
      </c>
      <c r="V68" s="85">
        <f t="shared" si="21"/>
        <v>45270.5</v>
      </c>
      <c r="W68" s="134">
        <f t="shared" si="24"/>
        <v>210</v>
      </c>
      <c r="X68">
        <f t="shared" si="27"/>
        <v>195</v>
      </c>
      <c r="Y68">
        <f t="shared" si="25"/>
        <v>3.0666666666666669</v>
      </c>
      <c r="AB68">
        <f>'BSi data'!T90</f>
        <v>10.758794629562725</v>
      </c>
      <c r="AC68">
        <f>'BSi data'!U90</f>
        <v>23.015164446081315</v>
      </c>
      <c r="AF68">
        <v>60.122097947580741</v>
      </c>
      <c r="AG68">
        <f t="shared" si="22"/>
        <v>7.2143946545496433</v>
      </c>
      <c r="AH68" s="122">
        <f t="shared" si="23"/>
        <v>4.3688849551305324</v>
      </c>
      <c r="AI68" s="122">
        <f t="shared" si="26"/>
        <v>98.980477384018172</v>
      </c>
      <c r="AJ68" s="122"/>
      <c r="AK68" s="122">
        <f>report_47_flagged!AY61</f>
        <v>8.1466283925670435</v>
      </c>
    </row>
    <row r="69" spans="1:37">
      <c r="A69">
        <f>'sample processing comments'!A68</f>
        <v>2023</v>
      </c>
      <c r="B69" t="str">
        <f>'sample processing comments'!B68</f>
        <v>47_3800</v>
      </c>
      <c r="C69" t="str">
        <f>'sample processing comments'!C68</f>
        <v>L15</v>
      </c>
      <c r="D69">
        <f>'sample processing comments'!D68</f>
        <v>17</v>
      </c>
      <c r="E69">
        <f>'mass filt'!V78</f>
        <v>996.25714285714275</v>
      </c>
      <c r="F69">
        <v>0.5</v>
      </c>
      <c r="G69" t="str">
        <f>'sample processing comments'!H68</f>
        <v>IN2024_V02 carboy 3 12/4/2024 03:15 LAT: -47.514 LONG: 140.162</v>
      </c>
      <c r="H69" s="134">
        <f t="shared" si="18"/>
        <v>15</v>
      </c>
      <c r="I69">
        <f t="shared" si="19"/>
        <v>132.8342857142857</v>
      </c>
      <c r="J69">
        <f t="shared" si="28"/>
        <v>48.517722857142857</v>
      </c>
      <c r="L69">
        <v>1</v>
      </c>
      <c r="M69" s="122">
        <f>'CHN data'!F47</f>
        <v>11.752729415893555</v>
      </c>
      <c r="N69" s="122">
        <f>'CHN data'!G47</f>
        <v>0.900532066822052</v>
      </c>
      <c r="O69" s="122">
        <f>'CHN data'!E47</f>
        <v>0.60996341705322266</v>
      </c>
      <c r="R69" s="122">
        <f>pH_Sal!D59</f>
        <v>39.31</v>
      </c>
      <c r="S69">
        <f>pH_Sal!K59</f>
        <v>8.58</v>
      </c>
      <c r="T69" s="85">
        <f>Schedule!B31</f>
        <v>45278</v>
      </c>
      <c r="U69" s="85">
        <f>Schedule!B32</f>
        <v>45293</v>
      </c>
      <c r="V69" s="85">
        <f t="shared" si="21"/>
        <v>45285.5</v>
      </c>
      <c r="W69" s="134">
        <f t="shared" si="24"/>
        <v>225</v>
      </c>
      <c r="X69">
        <f t="shared" si="27"/>
        <v>210</v>
      </c>
      <c r="Y69">
        <f t="shared" si="25"/>
        <v>2.2666666666666666</v>
      </c>
      <c r="AB69">
        <f>'BSi data'!T92</f>
        <v>10.548169766895079</v>
      </c>
      <c r="AC69">
        <f>'BSi data'!U92</f>
        <v>22.564596699634222</v>
      </c>
      <c r="AF69">
        <v>59.931755101875503</v>
      </c>
      <c r="AG69">
        <f t="shared" si="22"/>
        <v>7.1915543270250621</v>
      </c>
      <c r="AH69" s="122">
        <f t="shared" si="23"/>
        <v>4.5611750888684925</v>
      </c>
      <c r="AI69" s="122">
        <f t="shared" si="26"/>
        <v>98.71304263398018</v>
      </c>
      <c r="AJ69" s="122"/>
      <c r="AK69" s="122">
        <f>report_47_flagged!AY62</f>
        <v>8.7230443977316074</v>
      </c>
    </row>
    <row r="70" spans="1:37">
      <c r="A70">
        <f>'sample processing comments'!A69</f>
        <v>2023</v>
      </c>
      <c r="B70" t="str">
        <f>'sample processing comments'!B69</f>
        <v>47_3800</v>
      </c>
      <c r="C70" t="str">
        <f>'sample processing comments'!C69</f>
        <v>L16</v>
      </c>
      <c r="D70">
        <f>'sample processing comments'!D69</f>
        <v>6</v>
      </c>
      <c r="E70">
        <f>'mass filt'!V80</f>
        <v>385.32857142857148</v>
      </c>
      <c r="F70">
        <v>0.5</v>
      </c>
      <c r="G70" t="str">
        <f>'sample processing comments'!H69</f>
        <v>IN2024_V02 carboy 3 12/4/2024 03:15 LAT: -47.514 LONG: 140.162</v>
      </c>
      <c r="H70" s="134">
        <f t="shared" si="18"/>
        <v>15</v>
      </c>
      <c r="I70">
        <f t="shared" si="19"/>
        <v>51.377142857142864</v>
      </c>
      <c r="J70">
        <f t="shared" si="28"/>
        <v>18.765501428571433</v>
      </c>
      <c r="L70">
        <v>1</v>
      </c>
      <c r="M70" s="122">
        <f>AVERAGE('CHN data'!F67,'CHN data'!F74)</f>
        <v>12.215057373046875</v>
      </c>
      <c r="N70" s="122">
        <f>AVERAGE('CHN data'!G67,'CHN data'!G74)</f>
        <v>0.73929283022880554</v>
      </c>
      <c r="O70" s="122">
        <f>AVERAGE('CHN data'!E67,'CHN data'!E74)</f>
        <v>0.59540712833404541</v>
      </c>
      <c r="R70" s="122">
        <f>pH_Sal!D60</f>
        <v>39.659999999999997</v>
      </c>
      <c r="S70">
        <f>pH_Sal!K60</f>
        <v>8.67</v>
      </c>
      <c r="T70" s="85">
        <f>Schedule!B32</f>
        <v>45293</v>
      </c>
      <c r="U70" s="85">
        <f>Schedule!B33</f>
        <v>45308</v>
      </c>
      <c r="V70" s="85">
        <f t="shared" si="21"/>
        <v>45300.5</v>
      </c>
      <c r="W70" s="134">
        <f t="shared" si="24"/>
        <v>240</v>
      </c>
      <c r="X70">
        <f t="shared" si="27"/>
        <v>225</v>
      </c>
      <c r="Y70">
        <f t="shared" si="25"/>
        <v>0.8</v>
      </c>
      <c r="AB70">
        <f>'BSi data'!T94</f>
        <v>7.0820878037999151</v>
      </c>
      <c r="AC70">
        <f>'BSi data'!U94</f>
        <v>15.149969958360161</v>
      </c>
      <c r="AF70">
        <v>69.633516813843912</v>
      </c>
      <c r="AG70">
        <f t="shared" si="22"/>
        <v>8.3557242449737714</v>
      </c>
      <c r="AH70" s="122">
        <f t="shared" si="23"/>
        <v>3.8593331280731036</v>
      </c>
      <c r="AI70" s="122">
        <f t="shared" si="26"/>
        <v>98.640516349384527</v>
      </c>
      <c r="AJ70" s="122"/>
      <c r="AK70" s="122">
        <f>report_47_flagged!AY63</f>
        <v>7.5612459603937205</v>
      </c>
    </row>
    <row r="71" spans="1:37">
      <c r="A71">
        <f>'sample processing comments'!A70</f>
        <v>2023</v>
      </c>
      <c r="B71" t="str">
        <f>'sample processing comments'!B70</f>
        <v>47_3800</v>
      </c>
      <c r="C71" t="str">
        <f>'sample processing comments'!C70</f>
        <v>L17</v>
      </c>
      <c r="D71">
        <f>'sample processing comments'!D70</f>
        <v>8</v>
      </c>
      <c r="E71">
        <f>'mass filt'!V81</f>
        <v>466.67142857142858</v>
      </c>
      <c r="F71">
        <v>0.5</v>
      </c>
      <c r="G71" t="str">
        <f>'sample processing comments'!H70</f>
        <v>IN2024_V02 carboy 3 12/4/2024 03:15 LAT: -47.514 LONG: 140.162</v>
      </c>
      <c r="H71" s="134">
        <f t="shared" si="18"/>
        <v>15</v>
      </c>
      <c r="I71">
        <f t="shared" si="19"/>
        <v>62.222857142857144</v>
      </c>
      <c r="J71">
        <f t="shared" si="28"/>
        <v>22.726898571428574</v>
      </c>
      <c r="L71">
        <v>1</v>
      </c>
      <c r="M71" s="122">
        <f>'CHN data'!F50</f>
        <v>12.282519340515137</v>
      </c>
      <c r="N71" s="122">
        <f>'CHN data'!G50</f>
        <v>0.72017723321914673</v>
      </c>
      <c r="O71" s="122">
        <f>'CHN data'!E50</f>
        <v>0.52007579803466797</v>
      </c>
      <c r="R71" s="122">
        <f>pH_Sal!D61</f>
        <v>39.4</v>
      </c>
      <c r="S71">
        <f>pH_Sal!K61</f>
        <v>8.67</v>
      </c>
      <c r="T71" s="85">
        <f>Schedule!B33</f>
        <v>45308</v>
      </c>
      <c r="U71" s="85">
        <f>Schedule!B34</f>
        <v>45323</v>
      </c>
      <c r="V71" s="85">
        <f t="shared" si="21"/>
        <v>45315.5</v>
      </c>
      <c r="W71" s="134">
        <f t="shared" si="24"/>
        <v>255</v>
      </c>
      <c r="X71">
        <f t="shared" si="27"/>
        <v>240</v>
      </c>
      <c r="Y71">
        <f t="shared" si="25"/>
        <v>1.0666666666666667</v>
      </c>
      <c r="AB71">
        <f>'BSi data'!O96</f>
        <v>6.7905727351027068</v>
      </c>
      <c r="AC71">
        <f>'BSi data'!P96</f>
        <v>14.526362251773644</v>
      </c>
      <c r="AF71">
        <v>71.007655938794088</v>
      </c>
      <c r="AG71">
        <f t="shared" si="22"/>
        <v>8.520615063758763</v>
      </c>
      <c r="AH71" s="122">
        <f t="shared" si="23"/>
        <v>3.7619042767563737</v>
      </c>
      <c r="AI71" s="122">
        <f t="shared" si="26"/>
        <v>99.108107447126869</v>
      </c>
      <c r="AJ71" s="122"/>
      <c r="AK71" s="122">
        <f>report_47_flagged!AY64</f>
        <v>8.4379359466518711</v>
      </c>
    </row>
    <row r="72" spans="1:37">
      <c r="A72">
        <f>'sample processing comments'!A71</f>
        <v>2023</v>
      </c>
      <c r="B72" t="str">
        <f>'sample processing comments'!B71</f>
        <v>47_3800</v>
      </c>
      <c r="C72" t="str">
        <f>'sample processing comments'!C71</f>
        <v>L18</v>
      </c>
      <c r="D72">
        <f>'sample processing comments'!D71</f>
        <v>5</v>
      </c>
      <c r="E72">
        <f>'mass filt'!V82</f>
        <v>330.79999999999995</v>
      </c>
      <c r="F72">
        <v>0.5</v>
      </c>
      <c r="G72" t="str">
        <f>'sample processing comments'!H71</f>
        <v>IN2024_V02 carboy 3 12/4/2024 03:15 LAT: -47.514 LONG: 140.162</v>
      </c>
      <c r="H72" s="134">
        <f t="shared" si="18"/>
        <v>15</v>
      </c>
      <c r="I72">
        <f t="shared" si="19"/>
        <v>44.106666666666662</v>
      </c>
      <c r="J72">
        <f>0.001*365.25*E72/F72/H72</f>
        <v>16.109959999999997</v>
      </c>
      <c r="L72">
        <v>1</v>
      </c>
      <c r="M72" s="122">
        <f>'CHN data'!F51</f>
        <v>12.192169189453125</v>
      </c>
      <c r="N72" s="122">
        <f>'CHN data'!G51</f>
        <v>0.58532810211181641</v>
      </c>
      <c r="O72" s="122">
        <f>'CHN data'!E51</f>
        <v>0.41507834196090698</v>
      </c>
      <c r="R72" s="122">
        <f>pH_Sal!D62</f>
        <v>39.42</v>
      </c>
      <c r="S72">
        <f>pH_Sal!K62</f>
        <v>8.6999999999999993</v>
      </c>
      <c r="T72" s="85">
        <f>Schedule!B34</f>
        <v>45323</v>
      </c>
      <c r="U72" s="85">
        <f>Schedule!B35</f>
        <v>45338</v>
      </c>
      <c r="V72" s="85">
        <f t="shared" si="21"/>
        <v>45330.5</v>
      </c>
      <c r="W72" s="134">
        <f t="shared" si="24"/>
        <v>270</v>
      </c>
      <c r="X72">
        <f t="shared" si="27"/>
        <v>255</v>
      </c>
      <c r="Y72">
        <f t="shared" si="25"/>
        <v>0.66666666666666663</v>
      </c>
      <c r="AB72">
        <f>'BSi data'!T100</f>
        <v>5.6802096079029036</v>
      </c>
      <c r="AC72">
        <f>'BSi data'!U100</f>
        <v>12.151078509750285</v>
      </c>
      <c r="AF72">
        <v>73.175592708371099</v>
      </c>
      <c r="AG72">
        <f t="shared" si="22"/>
        <v>8.7807582053948803</v>
      </c>
      <c r="AH72" s="122">
        <f t="shared" si="23"/>
        <v>3.4114109840582447</v>
      </c>
      <c r="AI72" s="122">
        <f t="shared" si="26"/>
        <v>97.868394019122064</v>
      </c>
      <c r="AJ72" s="122"/>
      <c r="AK72" s="122">
        <f>report_47_flagged!AY65</f>
        <v>9.5873613882880964</v>
      </c>
    </row>
    <row r="73" spans="1:37">
      <c r="A73">
        <f>'sample processing comments'!A72</f>
        <v>2023</v>
      </c>
      <c r="B73" t="str">
        <f>'sample processing comments'!B72</f>
        <v>47_3800</v>
      </c>
      <c r="C73" t="str">
        <f>'sample processing comments'!C72</f>
        <v>L19</v>
      </c>
      <c r="D73">
        <f>'sample processing comments'!D72</f>
        <v>4</v>
      </c>
      <c r="E73">
        <f>'mass filt'!V83</f>
        <v>474.2285714285714</v>
      </c>
      <c r="F73">
        <v>0.5</v>
      </c>
      <c r="G73" t="str">
        <f>'sample processing comments'!H72</f>
        <v>IN2024_V02 carboy 3 12/4/2024 03:15 LAT: -47.514 LONG: 140.162</v>
      </c>
      <c r="H73" s="134">
        <f t="shared" si="18"/>
        <v>15</v>
      </c>
      <c r="I73">
        <f t="shared" si="19"/>
        <v>63.230476190476189</v>
      </c>
      <c r="J73">
        <f t="shared" si="28"/>
        <v>23.094931428571428</v>
      </c>
      <c r="L73">
        <v>1</v>
      </c>
      <c r="M73" s="122">
        <f>'CHN data'!F53</f>
        <v>12.442910194396973</v>
      </c>
      <c r="N73" s="122">
        <f>'CHN data'!G53</f>
        <v>0.48796674609184265</v>
      </c>
      <c r="O73" s="122">
        <f>'CHN data'!E53</f>
        <v>0.40945658087730408</v>
      </c>
      <c r="R73" s="122">
        <f>pH_Sal!D63</f>
        <v>37.79</v>
      </c>
      <c r="S73">
        <f>pH_Sal!K63</f>
        <v>8.67</v>
      </c>
      <c r="T73" s="85">
        <f>Schedule!B35</f>
        <v>45338</v>
      </c>
      <c r="U73" s="85">
        <f>Schedule!B36</f>
        <v>45353</v>
      </c>
      <c r="V73" s="85">
        <f t="shared" si="21"/>
        <v>45345.5</v>
      </c>
      <c r="W73" s="134">
        <f t="shared" si="24"/>
        <v>285</v>
      </c>
      <c r="X73">
        <f t="shared" si="27"/>
        <v>270</v>
      </c>
      <c r="Y73">
        <f t="shared" si="25"/>
        <v>0.53333333333333333</v>
      </c>
      <c r="AB73">
        <f>'BSi data'!T102</f>
        <v>4.2321698656129758</v>
      </c>
      <c r="AC73">
        <f>'BSi data'!U102</f>
        <v>9.0534384914447745</v>
      </c>
      <c r="AF73">
        <v>80.567666009343725</v>
      </c>
      <c r="AG73">
        <f t="shared" si="22"/>
        <v>9.6677753909074831</v>
      </c>
      <c r="AH73" s="122">
        <f t="shared" si="23"/>
        <v>2.7751348034894896</v>
      </c>
      <c r="AI73" s="122">
        <f t="shared" si="26"/>
        <v>100.4222793025243</v>
      </c>
      <c r="AJ73" s="122"/>
      <c r="AK73" s="122">
        <f>report_47_flagged!AY66</f>
        <v>7.9062648091792367</v>
      </c>
    </row>
    <row r="74" spans="1:37">
      <c r="A74">
        <f>'sample processing comments'!A73</f>
        <v>2023</v>
      </c>
      <c r="B74" t="str">
        <f>'sample processing comments'!B73</f>
        <v>47_3800</v>
      </c>
      <c r="C74" t="str">
        <f>'sample processing comments'!C73</f>
        <v>L20</v>
      </c>
      <c r="D74">
        <f>'sample processing comments'!D73</f>
        <v>3</v>
      </c>
      <c r="E74">
        <f>'mass filt'!V84</f>
        <v>507.17142857142852</v>
      </c>
      <c r="F74">
        <v>0.5</v>
      </c>
      <c r="G74" t="str">
        <f>'sample processing comments'!H73</f>
        <v>IN2024_V02 carboy 3 12/4/2024 03:15 LAT: -47.514 LONG: 140.162</v>
      </c>
      <c r="H74" s="134">
        <f t="shared" si="18"/>
        <v>15</v>
      </c>
      <c r="I74">
        <f t="shared" si="19"/>
        <v>67.622857142857143</v>
      </c>
      <c r="J74">
        <f t="shared" si="28"/>
        <v>24.699248571428573</v>
      </c>
      <c r="L74">
        <v>1</v>
      </c>
      <c r="M74" s="122">
        <f>'CHN data'!F55</f>
        <v>12.380021095275879</v>
      </c>
      <c r="N74" s="122">
        <f>'CHN data'!G55</f>
        <v>0.44822016358375549</v>
      </c>
      <c r="O74" s="122">
        <f>'CHN data'!E55</f>
        <v>0.30700737237930298</v>
      </c>
      <c r="R74" s="122">
        <f>pH_Sal!D64</f>
        <v>38.840000000000003</v>
      </c>
      <c r="S74">
        <f>pH_Sal!K64</f>
        <v>8.52</v>
      </c>
      <c r="T74" s="85">
        <f>Schedule!B36</f>
        <v>45353</v>
      </c>
      <c r="U74" s="85">
        <f>Schedule!B37</f>
        <v>45368</v>
      </c>
      <c r="V74" s="85">
        <f t="shared" si="21"/>
        <v>45360.5</v>
      </c>
      <c r="W74" s="134">
        <f t="shared" si="24"/>
        <v>300</v>
      </c>
      <c r="X74">
        <f t="shared" si="27"/>
        <v>285</v>
      </c>
      <c r="Y74">
        <f t="shared" si="25"/>
        <v>0.4</v>
      </c>
      <c r="AB74">
        <f>'BSi data'!T104</f>
        <v>3.4350290601162907</v>
      </c>
      <c r="AC74">
        <f>'BSi data'!U104</f>
        <v>7.3481985127229592</v>
      </c>
      <c r="AF74">
        <v>83.120682042415268</v>
      </c>
      <c r="AG74">
        <f t="shared" si="22"/>
        <v>9.9741263974546843</v>
      </c>
      <c r="AH74" s="122">
        <f t="shared" si="23"/>
        <v>2.4058946978211946</v>
      </c>
      <c r="AI74" s="122">
        <f t="shared" si="26"/>
        <v>100.27015072674438</v>
      </c>
      <c r="AJ74" s="122"/>
      <c r="AK74" s="122">
        <f>report_47_flagged!AY67</f>
        <v>9.1416152384035652</v>
      </c>
    </row>
    <row r="75" spans="1:37">
      <c r="A75">
        <f>'sample processing comments'!A74</f>
        <v>2023</v>
      </c>
      <c r="B75" t="str">
        <f>'sample processing comments'!B74</f>
        <v>47_3800</v>
      </c>
      <c r="C75" t="str">
        <f>'sample processing comments'!C74</f>
        <v>L21</v>
      </c>
      <c r="D75">
        <f>'sample processing comments'!D74</f>
        <v>4</v>
      </c>
      <c r="E75">
        <f>'mass filt'!V85</f>
        <v>459.5428571428572</v>
      </c>
      <c r="F75">
        <v>0.5</v>
      </c>
      <c r="G75" t="str">
        <f>'sample processing comments'!H74</f>
        <v>IN2024_V02 carboy 3 12/4/2024 03:15 LAT: -47.514 LONG: 140.162</v>
      </c>
      <c r="H75" s="134">
        <f t="shared" si="18"/>
        <v>15</v>
      </c>
      <c r="I75">
        <f t="shared" si="19"/>
        <v>61.272380952380963</v>
      </c>
      <c r="J75">
        <f t="shared" si="28"/>
        <v>22.379737142857149</v>
      </c>
      <c r="L75">
        <v>1</v>
      </c>
      <c r="M75" s="122">
        <f>AVERAGE('CHN data'!F52,'CHN data'!F56)</f>
        <v>12.553975582122803</v>
      </c>
      <c r="N75" s="122">
        <f>AVERAGE('CHN data'!G52,'CHN data'!G56)</f>
        <v>0.47873641550540924</v>
      </c>
      <c r="O75" s="122">
        <f>AVERAGE('CHN data'!E52,'CHN data'!E56)</f>
        <v>0.36767220497131348</v>
      </c>
      <c r="R75" s="122">
        <f>pH_Sal!D65</f>
        <v>39.369999999999997</v>
      </c>
      <c r="S75">
        <f>pH_Sal!K65</f>
        <v>8.6999999999999993</v>
      </c>
      <c r="T75" s="85">
        <f>Schedule!B37</f>
        <v>45368</v>
      </c>
      <c r="U75" s="85">
        <f>Schedule!B38</f>
        <v>45383</v>
      </c>
      <c r="V75" s="85">
        <f t="shared" si="21"/>
        <v>45375.5</v>
      </c>
      <c r="W75" s="134">
        <f t="shared" si="24"/>
        <v>315</v>
      </c>
      <c r="X75" s="134">
        <f>X74+H75</f>
        <v>300</v>
      </c>
      <c r="Y75">
        <f t="shared" si="25"/>
        <v>0.53333333333333333</v>
      </c>
      <c r="AB75">
        <f>'BSi data'!T106</f>
        <v>3.4583152898644407</v>
      </c>
      <c r="AC75">
        <f>'BSi data'!U106</f>
        <v>7.3980123092899346</v>
      </c>
      <c r="AF75">
        <v>82.788216515817822</v>
      </c>
      <c r="AG75">
        <f t="shared" si="22"/>
        <v>9.934231955979973</v>
      </c>
      <c r="AH75" s="122">
        <f t="shared" si="23"/>
        <v>2.6197436261428297</v>
      </c>
      <c r="AI75" s="122">
        <f t="shared" si="26"/>
        <v>100.46344615664387</v>
      </c>
      <c r="AJ75" s="122"/>
      <c r="AK75" s="122">
        <f>report_47_flagged!AY68</f>
        <v>8.3117624127962841</v>
      </c>
    </row>
    <row r="76" spans="1:37">
      <c r="A76" s="37" t="str">
        <f>'sample processing comments'!A75</f>
        <v>Pick up 11/04/2024 IN2024_V02</v>
      </c>
      <c r="T76" s="85"/>
      <c r="U76" s="85"/>
      <c r="V76" s="85"/>
      <c r="W76" s="134"/>
    </row>
    <row r="78" spans="1:37">
      <c r="E78" s="37"/>
    </row>
    <row r="79" spans="1:37">
      <c r="A79" s="161"/>
      <c r="B79" s="161" t="s">
        <v>357</v>
      </c>
      <c r="C79" s="52"/>
      <c r="D79" s="162" t="s">
        <v>358</v>
      </c>
      <c r="E79" s="116"/>
      <c r="F79" s="160"/>
      <c r="G79" s="163"/>
      <c r="H79" s="164"/>
      <c r="I79" s="164"/>
      <c r="J79" s="164"/>
    </row>
    <row r="80" spans="1:37">
      <c r="A80" s="160" t="s">
        <v>37</v>
      </c>
      <c r="B80" s="52"/>
      <c r="C80" s="52"/>
      <c r="D80" s="162">
        <f>COUNT(F7:F27)</f>
        <v>21</v>
      </c>
      <c r="E80" s="116"/>
      <c r="F80" s="52"/>
      <c r="G80" s="163"/>
      <c r="H80" s="121"/>
      <c r="I80" s="164"/>
      <c r="J80" s="164"/>
    </row>
    <row r="81" spans="1:12">
      <c r="A81" s="160" t="s">
        <v>40</v>
      </c>
      <c r="B81" s="52"/>
      <c r="C81" s="52"/>
      <c r="D81" s="162">
        <f>COUNT(F31:F51)</f>
        <v>21</v>
      </c>
      <c r="E81" s="116"/>
      <c r="F81" s="52"/>
      <c r="G81" s="163"/>
      <c r="H81" s="121"/>
      <c r="I81" s="164"/>
      <c r="J81" s="164"/>
    </row>
    <row r="82" spans="1:12">
      <c r="A82" s="160" t="s">
        <v>41</v>
      </c>
      <c r="B82" s="52"/>
      <c r="C82" s="52"/>
      <c r="D82" s="162">
        <f>COUNT(F55:F75)</f>
        <v>21</v>
      </c>
      <c r="E82" s="116"/>
      <c r="F82" s="52"/>
      <c r="G82" s="163"/>
      <c r="H82" s="121"/>
      <c r="I82" s="164"/>
      <c r="J82" s="164"/>
    </row>
    <row r="83" spans="1:12">
      <c r="A83" s="161" t="s">
        <v>359</v>
      </c>
      <c r="B83" s="52"/>
      <c r="C83" s="52"/>
      <c r="D83" s="165">
        <f>SUM(D80:D82)</f>
        <v>63</v>
      </c>
      <c r="E83" s="116"/>
      <c r="F83" s="160"/>
      <c r="G83" s="163"/>
      <c r="H83" s="164"/>
      <c r="I83" s="164"/>
      <c r="J83" s="121"/>
    </row>
    <row r="84" spans="1:12">
      <c r="A84" s="161" t="s">
        <v>360</v>
      </c>
      <c r="B84" s="52"/>
      <c r="C84" s="52"/>
      <c r="D84" s="165">
        <f>SUM(D80:D82)</f>
        <v>63</v>
      </c>
      <c r="E84" s="116"/>
      <c r="F84" s="160"/>
      <c r="G84" s="163"/>
      <c r="H84" s="164"/>
      <c r="I84" s="164"/>
      <c r="J84" s="121"/>
    </row>
    <row r="85" spans="1:12">
      <c r="A85" s="52"/>
      <c r="B85" s="52"/>
      <c r="C85" s="52"/>
      <c r="D85" s="165" t="s">
        <v>361</v>
      </c>
      <c r="E85" s="116" t="s">
        <v>362</v>
      </c>
      <c r="F85" s="160" t="s">
        <v>99</v>
      </c>
      <c r="G85" s="163"/>
      <c r="H85" s="164"/>
      <c r="I85" s="164"/>
      <c r="J85" s="164"/>
    </row>
    <row r="86" spans="1:12">
      <c r="A86" s="52" t="s">
        <v>363</v>
      </c>
      <c r="B86" s="52"/>
      <c r="C86" s="160"/>
      <c r="D86" s="165">
        <f>F86-E86</f>
        <v>63</v>
      </c>
      <c r="E86" s="124">
        <v>0</v>
      </c>
      <c r="F86" s="166">
        <f>COUNT(F7:F75)</f>
        <v>63</v>
      </c>
      <c r="G86" s="163"/>
      <c r="H86" s="167"/>
      <c r="I86" s="164"/>
      <c r="J86" s="164"/>
    </row>
    <row r="87" spans="1:12">
      <c r="A87" s="168"/>
      <c r="B87" s="168"/>
      <c r="C87" s="169"/>
      <c r="D87" s="167"/>
      <c r="E87" s="170"/>
      <c r="F87" s="167"/>
      <c r="G87" s="163"/>
      <c r="H87" s="167"/>
      <c r="I87" s="164"/>
      <c r="J87" s="164"/>
    </row>
    <row r="88" spans="1:12">
      <c r="A88" s="168"/>
      <c r="B88" s="168"/>
      <c r="C88" s="168"/>
      <c r="D88" s="167"/>
      <c r="E88" s="116" t="s">
        <v>364</v>
      </c>
      <c r="F88" s="160" t="s">
        <v>299</v>
      </c>
      <c r="G88" s="161"/>
      <c r="H88" s="52" t="s">
        <v>365</v>
      </c>
      <c r="I88" s="160" t="s">
        <v>366</v>
      </c>
      <c r="J88" s="52" t="s">
        <v>365</v>
      </c>
    </row>
    <row r="89" spans="1:12">
      <c r="A89" s="168"/>
      <c r="B89" s="168"/>
      <c r="C89" s="168"/>
      <c r="D89" s="167"/>
      <c r="E89" s="116" t="s">
        <v>367</v>
      </c>
      <c r="F89" s="160" t="s">
        <v>345</v>
      </c>
      <c r="G89" s="161"/>
      <c r="H89" s="52" t="s">
        <v>346</v>
      </c>
      <c r="I89" s="160" t="s">
        <v>348</v>
      </c>
      <c r="J89" s="160" t="s">
        <v>368</v>
      </c>
    </row>
    <row r="90" spans="1:12">
      <c r="A90" s="160" t="s">
        <v>37</v>
      </c>
      <c r="B90" s="168"/>
      <c r="C90" s="168"/>
      <c r="D90" s="167"/>
      <c r="E90" s="116">
        <f>SUM(E7:E27)</f>
        <v>9626.3000000000011</v>
      </c>
      <c r="F90" s="161">
        <v>0.5</v>
      </c>
      <c r="G90" s="161"/>
      <c r="H90" s="160">
        <f>SUM(H7:H27)</f>
        <v>315</v>
      </c>
      <c r="I90" s="160">
        <f>0.001*365.25*E90/F90/H90</f>
        <v>22.323848095238098</v>
      </c>
      <c r="J90" s="160">
        <f>100*H90/365</f>
        <v>86.301369863013704</v>
      </c>
    </row>
    <row r="91" spans="1:12">
      <c r="A91" s="52" t="s">
        <v>40</v>
      </c>
      <c r="B91" s="168"/>
      <c r="C91" s="168"/>
      <c r="D91" s="167"/>
      <c r="E91" s="116">
        <f>SUM(E31:E51)</f>
        <v>1880.7714285714285</v>
      </c>
      <c r="F91" s="161">
        <v>0.5</v>
      </c>
      <c r="G91" s="161"/>
      <c r="H91" s="160">
        <f>SUM(H31:H51)</f>
        <v>315</v>
      </c>
      <c r="I91" s="160">
        <f>0.001*365.25*E91/F91/H91</f>
        <v>4.3615985034013605</v>
      </c>
      <c r="J91" s="160">
        <f>100*H91/365</f>
        <v>86.301369863013704</v>
      </c>
    </row>
    <row r="92" spans="1:12">
      <c r="A92" s="160" t="s">
        <v>41</v>
      </c>
      <c r="B92" s="168"/>
      <c r="C92" s="168"/>
      <c r="D92" s="167"/>
      <c r="E92" s="116">
        <f>SUM(E55:E75)</f>
        <v>9535.4142857142833</v>
      </c>
      <c r="F92" s="161">
        <v>0.5</v>
      </c>
      <c r="G92" s="161"/>
      <c r="H92" s="160">
        <f>SUM(H55:H75)</f>
        <v>315</v>
      </c>
      <c r="I92" s="160">
        <f>0.001*365.25*E92/F92/H92</f>
        <v>22.113079795918363</v>
      </c>
      <c r="J92" s="160">
        <f>100*H92/365</f>
        <v>86.301369863013704</v>
      </c>
      <c r="K92" s="43"/>
      <c r="L92" s="43"/>
    </row>
    <row r="93" spans="1:12">
      <c r="A93" s="168"/>
      <c r="B93" s="168"/>
      <c r="C93" s="168"/>
      <c r="D93" s="167"/>
      <c r="E93" s="170"/>
      <c r="F93" s="164"/>
      <c r="G93" s="163"/>
      <c r="H93" s="164"/>
      <c r="I93" s="164"/>
      <c r="J93" s="164"/>
    </row>
  </sheetData>
  <conditionalFormatting sqref="AI7:AI27">
    <cfRule type="cellIs" dxfId="5" priority="11" operator="lessThan">
      <formula>90</formula>
    </cfRule>
    <cfRule type="cellIs" dxfId="4" priority="12" operator="greaterThan">
      <formula>110</formula>
    </cfRule>
  </conditionalFormatting>
  <conditionalFormatting sqref="AI31:AI51">
    <cfRule type="cellIs" dxfId="3" priority="3" operator="lessThan">
      <formula>90</formula>
    </cfRule>
    <cfRule type="cellIs" dxfId="2" priority="4" operator="greaterThan">
      <formula>110</formula>
    </cfRule>
  </conditionalFormatting>
  <conditionalFormatting sqref="AI55:AI75">
    <cfRule type="cellIs" dxfId="1" priority="1" operator="lessThan">
      <formula>90</formula>
    </cfRule>
    <cfRule type="cellIs" dxfId="0" priority="2" operator="greaterThan">
      <formula>110</formula>
    </cfRule>
  </conditionalFormatting>
  <pageMargins left="0.7" right="0.7" top="0.75" bottom="0.75" header="0.3" footer="0.3"/>
  <headerFooter>
    <oddHeader>&amp;C&amp;"Aptos"&amp;12&amp;KFF0000 UNOFFICIAL&amp;1#_x000D_</oddHeader>
    <oddFooter>&amp;C_x000D_&amp;1#&amp;"Aptos"&amp;12&amp;KFF0000 UNOFFICIAL</oddFooter>
  </headerFooter>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0E38-AFD8-451B-ACE1-631951588A73}">
  <dimension ref="A1:BD68"/>
  <sheetViews>
    <sheetView workbookViewId="0">
      <pane xSplit="3" topLeftCell="D1" activePane="topRight" state="frozen"/>
      <selection activeCell="A30" sqref="A30"/>
      <selection pane="topRight" activeCell="AA72" sqref="AA72"/>
    </sheetView>
  </sheetViews>
  <sheetFormatPr defaultRowHeight="15"/>
  <cols>
    <col min="4" max="4" width="97.28515625" bestFit="1" customWidth="1"/>
    <col min="6" max="6" width="9.140625" style="289"/>
    <col min="8" max="8" width="11.28515625" bestFit="1" customWidth="1"/>
    <col min="10" max="10" width="8.28515625" style="391" customWidth="1"/>
    <col min="13" max="13" width="3.7109375" style="391" customWidth="1"/>
    <col min="15" max="15" width="3.7109375" style="391" bestFit="1" customWidth="1"/>
    <col min="17" max="17" width="3.7109375" style="391" customWidth="1"/>
    <col min="19" max="19" width="9.42578125" style="391" customWidth="1"/>
    <col min="21" max="21" width="3.7109375" style="391" customWidth="1"/>
    <col min="29" max="31" width="10.7109375" bestFit="1" customWidth="1"/>
    <col min="41" max="41" width="32.7109375" customWidth="1"/>
    <col min="42" max="42" width="7.7109375" style="391" customWidth="1"/>
    <col min="44" max="44" width="3.7109375" style="391" customWidth="1"/>
    <col min="46" max="46" width="3.7109375" style="391" bestFit="1" customWidth="1"/>
    <col min="48" max="48" width="3.7109375" style="391" customWidth="1"/>
    <col min="50" max="50" width="3.7109375" style="391" customWidth="1"/>
  </cols>
  <sheetData>
    <row r="1" spans="1:56" s="61" customFormat="1">
      <c r="A1" s="61" t="s">
        <v>2338</v>
      </c>
      <c r="B1" s="61" t="s">
        <v>216</v>
      </c>
      <c r="C1" s="61" t="s">
        <v>215</v>
      </c>
      <c r="D1" s="61" t="s">
        <v>84</v>
      </c>
      <c r="E1" s="61" t="s">
        <v>1712</v>
      </c>
      <c r="F1" s="499" t="s">
        <v>2339</v>
      </c>
      <c r="G1" s="61" t="s">
        <v>2340</v>
      </c>
      <c r="H1" s="61" t="s">
        <v>2341</v>
      </c>
      <c r="I1" s="61" t="s">
        <v>2341</v>
      </c>
      <c r="J1" s="500" t="s">
        <v>303</v>
      </c>
      <c r="K1" s="61" t="s">
        <v>317</v>
      </c>
      <c r="L1" s="61" t="s">
        <v>318</v>
      </c>
      <c r="M1" s="500" t="s">
        <v>2342</v>
      </c>
      <c r="N1" s="61" t="s">
        <v>327</v>
      </c>
      <c r="O1" s="500" t="s">
        <v>2343</v>
      </c>
      <c r="P1" s="61" t="s">
        <v>328</v>
      </c>
      <c r="Q1" s="500" t="s">
        <v>2344</v>
      </c>
      <c r="R1" s="61" t="s">
        <v>319</v>
      </c>
      <c r="S1" s="500" t="s">
        <v>2345</v>
      </c>
      <c r="T1" s="61" t="s">
        <v>332</v>
      </c>
      <c r="U1" s="500" t="s">
        <v>2346</v>
      </c>
      <c r="V1" s="61" t="s">
        <v>333</v>
      </c>
      <c r="W1" s="61" t="s">
        <v>317</v>
      </c>
      <c r="X1" s="61" t="s">
        <v>318</v>
      </c>
      <c r="Y1" s="61" t="s">
        <v>327</v>
      </c>
      <c r="Z1" s="61" t="s">
        <v>328</v>
      </c>
      <c r="AA1" s="61" t="s">
        <v>319</v>
      </c>
      <c r="AB1" s="61" t="s">
        <v>333</v>
      </c>
      <c r="AC1" s="501" t="s">
        <v>301</v>
      </c>
      <c r="AD1" s="501" t="s">
        <v>301</v>
      </c>
      <c r="AE1" s="501" t="s">
        <v>301</v>
      </c>
      <c r="AF1" s="61" t="s">
        <v>301</v>
      </c>
      <c r="AG1" s="61" t="s">
        <v>332</v>
      </c>
      <c r="AH1" s="61" t="s">
        <v>2347</v>
      </c>
      <c r="AI1" s="61" t="s">
        <v>2348</v>
      </c>
      <c r="AJ1" s="61" t="s">
        <v>2349</v>
      </c>
      <c r="AK1" s="61" t="s">
        <v>2350</v>
      </c>
      <c r="AL1" s="61" t="s">
        <v>2351</v>
      </c>
      <c r="AM1" s="37" t="s">
        <v>83</v>
      </c>
      <c r="AO1" s="61" t="s">
        <v>2347</v>
      </c>
      <c r="AP1" s="500" t="s">
        <v>2352</v>
      </c>
      <c r="AQ1" s="61" t="s">
        <v>2348</v>
      </c>
      <c r="AR1" s="500" t="s">
        <v>2353</v>
      </c>
      <c r="AS1" s="61" t="s">
        <v>2349</v>
      </c>
      <c r="AT1" s="500" t="s">
        <v>2354</v>
      </c>
      <c r="AU1" s="61" t="s">
        <v>2350</v>
      </c>
      <c r="AV1" s="500" t="s">
        <v>2355</v>
      </c>
      <c r="AW1" s="61" t="s">
        <v>2351</v>
      </c>
      <c r="AX1" s="500" t="s">
        <v>2356</v>
      </c>
      <c r="AY1" s="61" t="s">
        <v>322</v>
      </c>
      <c r="AZ1" s="61" t="s">
        <v>2357</v>
      </c>
      <c r="BA1" s="61" t="s">
        <v>2358</v>
      </c>
      <c r="BB1" s="61" t="s">
        <v>2359</v>
      </c>
      <c r="BC1" s="61" t="s">
        <v>311</v>
      </c>
      <c r="BD1" s="61" t="s">
        <v>2360</v>
      </c>
    </row>
    <row r="2" spans="1:56" s="43" customFormat="1">
      <c r="A2" s="43" t="s">
        <v>2361</v>
      </c>
      <c r="E2" s="43" t="s">
        <v>2362</v>
      </c>
      <c r="F2" s="502"/>
      <c r="H2" s="43" t="s">
        <v>366</v>
      </c>
      <c r="I2" s="43" t="s">
        <v>366</v>
      </c>
      <c r="J2" s="88"/>
      <c r="K2" s="43" t="s">
        <v>314</v>
      </c>
      <c r="L2" s="43" t="s">
        <v>314</v>
      </c>
      <c r="M2" s="88"/>
      <c r="N2" s="43" t="s">
        <v>314</v>
      </c>
      <c r="O2" s="88"/>
      <c r="P2" s="43" t="s">
        <v>314</v>
      </c>
      <c r="Q2" s="88"/>
      <c r="R2" s="43" t="s">
        <v>314</v>
      </c>
      <c r="S2" s="88"/>
      <c r="T2" s="43" t="s">
        <v>314</v>
      </c>
      <c r="U2" s="88"/>
      <c r="V2" s="43" t="s">
        <v>314</v>
      </c>
      <c r="W2" s="43" t="s">
        <v>366</v>
      </c>
      <c r="X2" s="43" t="s">
        <v>366</v>
      </c>
      <c r="Y2" s="43" t="s">
        <v>366</v>
      </c>
      <c r="Z2" s="43" t="s">
        <v>366</v>
      </c>
      <c r="AA2" s="43" t="s">
        <v>366</v>
      </c>
      <c r="AB2" s="43" t="s">
        <v>366</v>
      </c>
      <c r="AC2" s="43" t="s">
        <v>2363</v>
      </c>
      <c r="AD2" s="43" t="s">
        <v>2364</v>
      </c>
      <c r="AE2" s="43" t="s">
        <v>2365</v>
      </c>
      <c r="AF2" s="43" t="s">
        <v>2366</v>
      </c>
      <c r="AG2" s="43" t="s">
        <v>366</v>
      </c>
      <c r="AH2" s="43" t="s">
        <v>2367</v>
      </c>
      <c r="AI2" s="43" t="s">
        <v>2368</v>
      </c>
      <c r="AJ2" s="43" t="s">
        <v>2369</v>
      </c>
      <c r="AK2" s="43" t="s">
        <v>2370</v>
      </c>
      <c r="AL2" s="43" t="s">
        <v>2371</v>
      </c>
      <c r="AM2" t="s">
        <v>2372</v>
      </c>
      <c r="AO2" s="43" t="s">
        <v>2367</v>
      </c>
      <c r="AP2" s="88"/>
      <c r="AQ2" s="43" t="s">
        <v>2368</v>
      </c>
      <c r="AR2" s="88"/>
      <c r="AS2" s="43" t="s">
        <v>2369</v>
      </c>
      <c r="AT2" s="88"/>
      <c r="AU2" s="43" t="s">
        <v>2370</v>
      </c>
      <c r="AV2" s="88"/>
      <c r="AW2" s="43" t="s">
        <v>2371</v>
      </c>
      <c r="AX2" s="88"/>
    </row>
    <row r="3" spans="1:56" s="43" customFormat="1">
      <c r="F3" s="502"/>
      <c r="G3" s="43" t="s">
        <v>337</v>
      </c>
      <c r="H3" s="43" t="s">
        <v>337</v>
      </c>
      <c r="I3" s="43" t="s">
        <v>337</v>
      </c>
      <c r="J3" s="88"/>
      <c r="K3" s="43" t="s">
        <v>337</v>
      </c>
      <c r="L3" s="43" t="s">
        <v>337</v>
      </c>
      <c r="M3" s="88"/>
      <c r="N3" s="43" t="s">
        <v>337</v>
      </c>
      <c r="O3" s="88"/>
      <c r="P3" s="43" t="s">
        <v>337</v>
      </c>
      <c r="Q3" s="88"/>
      <c r="R3" s="43" t="s">
        <v>337</v>
      </c>
      <c r="S3" s="88"/>
      <c r="T3" s="43" t="s">
        <v>337</v>
      </c>
      <c r="U3" s="88"/>
      <c r="V3" s="43" t="s">
        <v>337</v>
      </c>
      <c r="W3" s="43" t="s">
        <v>337</v>
      </c>
      <c r="X3" s="43" t="s">
        <v>337</v>
      </c>
      <c r="Y3" s="43" t="s">
        <v>337</v>
      </c>
      <c r="Z3" s="43" t="s">
        <v>337</v>
      </c>
      <c r="AA3" s="43" t="s">
        <v>337</v>
      </c>
      <c r="AB3" s="43" t="s">
        <v>337</v>
      </c>
      <c r="AE3" s="43">
        <v>1</v>
      </c>
      <c r="AG3" s="43" t="s">
        <v>337</v>
      </c>
      <c r="AH3" s="43" t="s">
        <v>2373</v>
      </c>
      <c r="AI3" s="43" t="s">
        <v>2373</v>
      </c>
      <c r="AJ3" s="43" t="s">
        <v>2373</v>
      </c>
      <c r="AK3" s="43" t="s">
        <v>2373</v>
      </c>
      <c r="AL3" s="43" t="s">
        <v>2373</v>
      </c>
      <c r="AM3" t="s">
        <v>2374</v>
      </c>
      <c r="AO3" s="43" t="s">
        <v>2375</v>
      </c>
      <c r="AP3" s="88"/>
      <c r="AQ3" s="43" t="s">
        <v>2375</v>
      </c>
      <c r="AR3" s="88"/>
      <c r="AS3" s="43" t="s">
        <v>2375</v>
      </c>
      <c r="AT3" s="88"/>
      <c r="AU3" s="43" t="s">
        <v>2375</v>
      </c>
      <c r="AV3" s="88"/>
      <c r="AW3" s="43" t="s">
        <v>2375</v>
      </c>
      <c r="AX3" s="88"/>
      <c r="AY3" s="43" t="s">
        <v>2376</v>
      </c>
    </row>
    <row r="4" spans="1:56" s="43" customFormat="1">
      <c r="E4" s="43" t="s">
        <v>2377</v>
      </c>
      <c r="F4" s="502"/>
      <c r="G4" s="43" t="s">
        <v>204</v>
      </c>
      <c r="H4" s="43" t="s">
        <v>347</v>
      </c>
      <c r="I4" s="43" t="s">
        <v>348</v>
      </c>
      <c r="J4" s="88"/>
      <c r="K4" s="43" t="s">
        <v>353</v>
      </c>
      <c r="L4" s="43" t="s">
        <v>353</v>
      </c>
      <c r="M4" s="88"/>
      <c r="N4" s="43" t="s">
        <v>353</v>
      </c>
      <c r="O4" s="88"/>
      <c r="P4" s="43" t="s">
        <v>353</v>
      </c>
      <c r="Q4" s="88"/>
      <c r="R4" s="43" t="s">
        <v>353</v>
      </c>
      <c r="S4" s="88"/>
      <c r="T4" s="43" t="s">
        <v>353</v>
      </c>
      <c r="U4" s="88"/>
      <c r="V4" s="43" t="s">
        <v>353</v>
      </c>
      <c r="W4" s="43" t="s">
        <v>348</v>
      </c>
      <c r="X4" s="43" t="s">
        <v>348</v>
      </c>
      <c r="Y4" s="43" t="s">
        <v>348</v>
      </c>
      <c r="Z4" s="43" t="s">
        <v>348</v>
      </c>
      <c r="AA4" s="43" t="s">
        <v>348</v>
      </c>
      <c r="AB4" s="43" t="s">
        <v>348</v>
      </c>
      <c r="AC4" s="43" t="s">
        <v>1660</v>
      </c>
      <c r="AD4" s="43" t="s">
        <v>1660</v>
      </c>
      <c r="AE4" s="43" t="s">
        <v>2378</v>
      </c>
      <c r="AF4" s="43" t="s">
        <v>346</v>
      </c>
      <c r="AG4" s="43" t="s">
        <v>348</v>
      </c>
      <c r="AH4" s="43" t="s">
        <v>337</v>
      </c>
      <c r="AI4" s="43" t="s">
        <v>337</v>
      </c>
      <c r="AJ4" s="43" t="s">
        <v>337</v>
      </c>
      <c r="AK4" s="43" t="s">
        <v>337</v>
      </c>
      <c r="AL4" s="43" t="s">
        <v>337</v>
      </c>
      <c r="AM4"/>
      <c r="AO4" s="43" t="s">
        <v>337</v>
      </c>
      <c r="AP4" s="88"/>
      <c r="AQ4" s="43" t="s">
        <v>337</v>
      </c>
      <c r="AR4" s="88"/>
      <c r="AS4" s="43" t="s">
        <v>337</v>
      </c>
      <c r="AT4" s="88"/>
      <c r="AU4" s="43" t="s">
        <v>337</v>
      </c>
      <c r="AV4" s="88"/>
      <c r="AW4" s="43" t="s">
        <v>337</v>
      </c>
      <c r="AX4" s="88"/>
    </row>
    <row r="5" spans="1:56" s="43" customFormat="1">
      <c r="F5" s="502"/>
      <c r="J5" s="88"/>
      <c r="M5" s="88"/>
      <c r="O5" s="88"/>
      <c r="Q5" s="88"/>
      <c r="S5" s="88"/>
      <c r="U5" s="88"/>
      <c r="AM5"/>
      <c r="AP5" s="88"/>
      <c r="AR5" s="88"/>
      <c r="AT5" s="88"/>
      <c r="AV5" s="88"/>
      <c r="AX5" s="88"/>
    </row>
    <row r="6" spans="1:56" s="43" customFormat="1">
      <c r="A6" s="43">
        <f>main!A7</f>
        <v>2023</v>
      </c>
      <c r="B6" s="43" t="str">
        <f>main!B7</f>
        <v>47_1000</v>
      </c>
      <c r="C6" s="43">
        <v>1</v>
      </c>
      <c r="D6" s="43" t="str">
        <f>main!$B$6</f>
        <v>McLane-PARFLUX-Mark78H-21 ; frame# 2241, controller# 11640-01 and Motor # 11640-01 Cup set Dx21</v>
      </c>
      <c r="E6" s="43">
        <v>1000</v>
      </c>
      <c r="F6" s="502">
        <v>1</v>
      </c>
      <c r="G6" s="503">
        <f>main!E7</f>
        <v>494.67142857142858</v>
      </c>
      <c r="H6" s="193">
        <f>main!I7</f>
        <v>65.956190476190471</v>
      </c>
      <c r="I6" s="193">
        <f>main!J7</f>
        <v>24.090498571428572</v>
      </c>
      <c r="J6" s="504">
        <v>1</v>
      </c>
      <c r="K6" s="505">
        <f>main!AF7</f>
        <v>67.89796153799513</v>
      </c>
      <c r="L6" s="505">
        <f>main!AG7</f>
        <v>8.1474650335990173</v>
      </c>
      <c r="M6" s="504">
        <v>1</v>
      </c>
      <c r="N6" s="505">
        <f>main!M7</f>
        <v>14.71473217010498</v>
      </c>
      <c r="O6" s="504">
        <v>1</v>
      </c>
      <c r="P6" s="505">
        <f>main!O7</f>
        <v>1.0731297731399536</v>
      </c>
      <c r="Q6" s="504">
        <v>1</v>
      </c>
      <c r="R6" s="505">
        <f>main!AH7</f>
        <v>6.5672671365059632</v>
      </c>
      <c r="S6" s="504">
        <v>1</v>
      </c>
      <c r="T6" s="505">
        <f>main!AB7</f>
        <v>5.4428935725350263</v>
      </c>
      <c r="U6" s="504">
        <v>1</v>
      </c>
      <c r="V6" s="505">
        <f>main!AC7</f>
        <v>11.643413128288707</v>
      </c>
      <c r="W6" s="505">
        <f>(K6/100)*$I6</f>
        <v>16.356957454339838</v>
      </c>
      <c r="X6" s="505">
        <f>(L6/100)*$I6</f>
        <v>1.9627649475268139</v>
      </c>
      <c r="Y6" s="505">
        <f>(N6/100)*$I6</f>
        <v>3.5448523432286807</v>
      </c>
      <c r="Z6" s="505">
        <f>(P6/100)*$I6</f>
        <v>0.25852231266785519</v>
      </c>
      <c r="AA6" s="505">
        <f>(R6/100)*$I6</f>
        <v>1.5820873957018673</v>
      </c>
      <c r="AB6" s="505">
        <f>(V6/100)*$I6</f>
        <v>2.8049562733359177</v>
      </c>
      <c r="AC6" s="89">
        <f>main!T7</f>
        <v>45068</v>
      </c>
      <c r="AD6" s="89">
        <f>main!U7</f>
        <v>45083</v>
      </c>
      <c r="AE6" s="89">
        <f>main!V7</f>
        <v>45075.5</v>
      </c>
      <c r="AF6" s="503">
        <f>main!H7</f>
        <v>15</v>
      </c>
      <c r="AG6" s="193">
        <f>(T6/100)*$I6</f>
        <v>1.3112201983359282</v>
      </c>
      <c r="AH6" s="193">
        <f>Y6/12.01</f>
        <v>0.29515839660521903</v>
      </c>
      <c r="AI6" s="193">
        <f>Z6/14.01</f>
        <v>1.845269897700608E-2</v>
      </c>
      <c r="AJ6" s="193">
        <f>AA6/12.01</f>
        <v>0.13173084060798229</v>
      </c>
      <c r="AK6" s="193">
        <f>X6/12.01</f>
        <v>0.1634275559972368</v>
      </c>
      <c r="AL6" s="193">
        <f>AG6/28.09</f>
        <v>4.6679252343749665E-2</v>
      </c>
      <c r="AM6" s="138">
        <f>depths!$B$2</f>
        <v>1076.5</v>
      </c>
      <c r="AO6" s="505">
        <f>AH6*1000</f>
        <v>295.15839660521902</v>
      </c>
      <c r="AP6" s="504">
        <v>1</v>
      </c>
      <c r="AQ6" s="505">
        <f>AI6*1000</f>
        <v>18.452698977006079</v>
      </c>
      <c r="AR6" s="504">
        <v>1</v>
      </c>
      <c r="AS6" s="505">
        <f>AJ6*1000</f>
        <v>131.73084060798229</v>
      </c>
      <c r="AT6" s="504">
        <v>1</v>
      </c>
      <c r="AU6" s="505">
        <f>AK6*1000</f>
        <v>163.42755599723679</v>
      </c>
      <c r="AV6" s="504">
        <v>1</v>
      </c>
      <c r="AW6" s="505">
        <f>AL6*1000</f>
        <v>46.679252343749667</v>
      </c>
      <c r="AX6" s="504">
        <v>1</v>
      </c>
      <c r="AY6" s="505">
        <f>AS6/AQ6</f>
        <v>7.1388386475134169</v>
      </c>
      <c r="AZ6" s="505">
        <f>AU6/AQ6</f>
        <v>8.85656652183423</v>
      </c>
      <c r="BA6" s="505">
        <f>main!R7</f>
        <v>40.659999999999997</v>
      </c>
      <c r="BB6" s="506">
        <v>1</v>
      </c>
      <c r="BC6" s="505">
        <f>main!S7</f>
        <v>8.49</v>
      </c>
      <c r="BD6" s="506">
        <v>1</v>
      </c>
    </row>
    <row r="7" spans="1:56">
      <c r="A7" s="43">
        <f>main!A8</f>
        <v>2023</v>
      </c>
      <c r="B7" s="43" t="str">
        <f>main!B8</f>
        <v>47_1000</v>
      </c>
      <c r="C7" s="43">
        <v>2</v>
      </c>
      <c r="D7" s="43" t="str">
        <f>main!$B$6</f>
        <v>McLane-PARFLUX-Mark78H-21 ; frame# 2241, controller# 11640-01 and Motor # 11640-01 Cup set Dx21</v>
      </c>
      <c r="E7" s="43">
        <v>1000</v>
      </c>
      <c r="F7" s="502">
        <v>1</v>
      </c>
      <c r="G7" s="503">
        <f>main!E8</f>
        <v>306.55714285714288</v>
      </c>
      <c r="H7" s="193">
        <f>main!I8</f>
        <v>40.874285714285719</v>
      </c>
      <c r="I7" s="193">
        <f>main!J8</f>
        <v>14.92933285714286</v>
      </c>
      <c r="J7" s="504">
        <v>1</v>
      </c>
      <c r="K7" s="505">
        <f>main!AF8</f>
        <v>71.854113247498631</v>
      </c>
      <c r="L7" s="505">
        <f>main!AG8</f>
        <v>8.6221863211115402</v>
      </c>
      <c r="M7" s="504">
        <v>1</v>
      </c>
      <c r="N7" s="505">
        <f>main!M8</f>
        <v>14.187359809875488</v>
      </c>
      <c r="O7" s="504">
        <v>1</v>
      </c>
      <c r="P7" s="505">
        <f>main!O8</f>
        <v>0.8994293212890625</v>
      </c>
      <c r="Q7" s="504">
        <v>1</v>
      </c>
      <c r="R7" s="505">
        <f>main!AH8</f>
        <v>5.5651734887639481</v>
      </c>
      <c r="S7" s="504">
        <v>1</v>
      </c>
      <c r="T7" s="505">
        <f>main!AB8</f>
        <v>4.0843706259634178</v>
      </c>
      <c r="U7" s="504">
        <v>1</v>
      </c>
      <c r="V7" s="505">
        <f>main!AC8</f>
        <v>8.7372670314753229</v>
      </c>
      <c r="W7" s="505">
        <f t="shared" ref="W7:W24" si="0">(K7/100)*$I7</f>
        <v>10.727339738267453</v>
      </c>
      <c r="X7" s="505">
        <f t="shared" ref="X7:X24" si="1">(L7/100)*$I7</f>
        <v>1.2872348954417823</v>
      </c>
      <c r="Y7" s="505">
        <f t="shared" ref="Y7:Y24" si="2">(N7/100)*$I7</f>
        <v>2.1180781696568221</v>
      </c>
      <c r="Z7" s="505">
        <f t="shared" ref="Z7:Z24" si="3">(P7/100)*$I7</f>
        <v>0.13427879718998503</v>
      </c>
      <c r="AA7" s="505">
        <f t="shared" ref="AA7:AA24" si="4">(R7/100)*$I7</f>
        <v>0.83084327421503978</v>
      </c>
      <c r="AB7" s="505">
        <f t="shared" ref="AB7:AB24" si="5">(V7/100)*$I7</f>
        <v>1.3044156777463558</v>
      </c>
      <c r="AC7" s="89">
        <f>main!T8</f>
        <v>45083</v>
      </c>
      <c r="AD7" s="89">
        <f>main!U8</f>
        <v>45098</v>
      </c>
      <c r="AE7" s="89">
        <f>main!V8</f>
        <v>45090.5</v>
      </c>
      <c r="AF7" s="503">
        <f>main!H8</f>
        <v>15</v>
      </c>
      <c r="AG7" s="193">
        <f t="shared" ref="AG7:AG68" si="6">(T7/100)*$I7</f>
        <v>0.60976928586944801</v>
      </c>
      <c r="AH7" s="193">
        <f t="shared" ref="AH7:AH68" si="7">Y7/12.01</f>
        <v>0.17635954784819502</v>
      </c>
      <c r="AI7" s="193">
        <f t="shared" ref="AI7:AI68" si="8">Z7/14.01</f>
        <v>9.5844965874364758E-3</v>
      </c>
      <c r="AJ7" s="193">
        <f t="shared" ref="AJ7:AJ68" si="9">AA7/12.01</f>
        <v>6.9179290109495403E-2</v>
      </c>
      <c r="AK7" s="193">
        <f t="shared" ref="AK7:AK68" si="10">X7/12.01</f>
        <v>0.1071802577386996</v>
      </c>
      <c r="AL7" s="193">
        <f t="shared" ref="AL7:AL68" si="11">AG7/28.09</f>
        <v>2.1707699746153365E-2</v>
      </c>
      <c r="AM7" s="138">
        <f>depths!$B$2</f>
        <v>1076.5</v>
      </c>
      <c r="AN7" s="43"/>
      <c r="AO7" s="505">
        <f t="shared" ref="AO7:AO26" si="12">AH7*1000</f>
        <v>176.35954784819501</v>
      </c>
      <c r="AP7" s="504">
        <v>1</v>
      </c>
      <c r="AQ7" s="505">
        <f t="shared" ref="AQ7:AQ26" si="13">AI7*1000</f>
        <v>9.584496587436476</v>
      </c>
      <c r="AR7" s="504">
        <v>1</v>
      </c>
      <c r="AS7" s="505">
        <f t="shared" ref="AS7:AS26" si="14">AJ7*1000</f>
        <v>69.179290109495398</v>
      </c>
      <c r="AT7" s="504">
        <v>1</v>
      </c>
      <c r="AU7" s="505">
        <f t="shared" ref="AU7:AU25" si="15">AK7*1000</f>
        <v>107.18025773869961</v>
      </c>
      <c r="AV7" s="504">
        <v>1</v>
      </c>
      <c r="AW7" s="505">
        <f t="shared" ref="AW7:AW26" si="16">AL7*1000</f>
        <v>21.707699746153367</v>
      </c>
      <c r="AX7" s="504">
        <v>1</v>
      </c>
      <c r="AY7" s="505">
        <f t="shared" ref="AY7:AY26" si="17">AS7/AQ7</f>
        <v>7.2178324107472482</v>
      </c>
      <c r="AZ7" s="505">
        <f t="shared" ref="AZ7:AZ26" si="18">AU7/AQ7</f>
        <v>11.182669508088024</v>
      </c>
      <c r="BA7" s="505">
        <f>main!R8</f>
        <v>39.58</v>
      </c>
      <c r="BB7" s="506">
        <v>1</v>
      </c>
      <c r="BC7" s="505">
        <f>main!S8</f>
        <v>8.59</v>
      </c>
      <c r="BD7" s="506">
        <v>1</v>
      </c>
    </row>
    <row r="8" spans="1:56">
      <c r="A8" s="43">
        <f>main!A9</f>
        <v>2023</v>
      </c>
      <c r="B8" s="43" t="str">
        <f>main!B9</f>
        <v>47_1000</v>
      </c>
      <c r="C8" s="43">
        <v>3</v>
      </c>
      <c r="D8" s="43" t="str">
        <f>main!$B$6</f>
        <v>McLane-PARFLUX-Mark78H-21 ; frame# 2241, controller# 11640-01 and Motor # 11640-01 Cup set Dx21</v>
      </c>
      <c r="E8" s="43">
        <v>1000</v>
      </c>
      <c r="F8" s="502">
        <v>1</v>
      </c>
      <c r="G8" s="503">
        <f>main!E9</f>
        <v>130.12857142857143</v>
      </c>
      <c r="H8" s="193">
        <f>main!I9</f>
        <v>17.35047619047619</v>
      </c>
      <c r="I8" s="193">
        <f>main!J9</f>
        <v>6.3372614285714288</v>
      </c>
      <c r="J8" s="504">
        <v>1</v>
      </c>
      <c r="K8" s="505">
        <f>main!AF9</f>
        <v>70.994697892961668</v>
      </c>
      <c r="L8" s="505">
        <f>main!AG9</f>
        <v>8.5190601536711554</v>
      </c>
      <c r="M8" s="504">
        <v>1</v>
      </c>
      <c r="N8" s="505">
        <f>main!M9</f>
        <v>15.580052375793457</v>
      </c>
      <c r="O8" s="504">
        <v>1</v>
      </c>
      <c r="P8" s="505">
        <f>main!O9</f>
        <v>1.2202469110488892</v>
      </c>
      <c r="Q8" s="504">
        <v>1</v>
      </c>
      <c r="R8" s="505">
        <f>main!AH9</f>
        <v>7.0609922221223016</v>
      </c>
      <c r="S8" s="504">
        <v>1</v>
      </c>
      <c r="T8" s="505">
        <f>main!AB9</f>
        <v>3.0975058461657268</v>
      </c>
      <c r="U8" s="504">
        <v>1</v>
      </c>
      <c r="V8" s="505">
        <f>main!AC9</f>
        <v>6.6261703914595405</v>
      </c>
      <c r="W8" s="505">
        <f t="shared" si="0"/>
        <v>4.4991196059014724</v>
      </c>
      <c r="X8" s="505">
        <f t="shared" si="1"/>
        <v>0.53987511319540005</v>
      </c>
      <c r="Y8" s="505">
        <f t="shared" si="2"/>
        <v>0.98734864976238523</v>
      </c>
      <c r="Z8" s="505">
        <f t="shared" si="3"/>
        <v>7.7330236827235568E-2</v>
      </c>
      <c r="AA8" s="505">
        <f t="shared" si="4"/>
        <v>0.44747353656698524</v>
      </c>
      <c r="AB8" s="505">
        <f t="shared" si="5"/>
        <v>0.4199177404093859</v>
      </c>
      <c r="AC8" s="89">
        <f>main!T9</f>
        <v>45098</v>
      </c>
      <c r="AD8" s="89">
        <f>main!U9</f>
        <v>45113</v>
      </c>
      <c r="AE8" s="89">
        <f>main!V9</f>
        <v>45105.5</v>
      </c>
      <c r="AF8" s="503">
        <f>main!H9</f>
        <v>15</v>
      </c>
      <c r="AG8" s="193">
        <f t="shared" si="6"/>
        <v>0.19629704323680566</v>
      </c>
      <c r="AH8" s="193">
        <f t="shared" si="7"/>
        <v>8.2210545359066217E-2</v>
      </c>
      <c r="AI8" s="193">
        <f t="shared" si="8"/>
        <v>5.5196457407020389E-3</v>
      </c>
      <c r="AJ8" s="193">
        <f t="shared" si="9"/>
        <v>3.725841270332933E-2</v>
      </c>
      <c r="AK8" s="193">
        <f t="shared" si="10"/>
        <v>4.4952132655736887E-2</v>
      </c>
      <c r="AL8" s="193">
        <f t="shared" si="11"/>
        <v>6.9881467866431349E-3</v>
      </c>
      <c r="AM8" s="138">
        <f>depths!$B$2</f>
        <v>1076.5</v>
      </c>
      <c r="AN8" s="43"/>
      <c r="AO8" s="505">
        <f t="shared" si="12"/>
        <v>82.210545359066217</v>
      </c>
      <c r="AP8" s="504">
        <v>1</v>
      </c>
      <c r="AQ8" s="505">
        <f t="shared" si="13"/>
        <v>5.5196457407020389</v>
      </c>
      <c r="AR8" s="504">
        <v>1</v>
      </c>
      <c r="AS8" s="505">
        <f t="shared" si="14"/>
        <v>37.258412703329327</v>
      </c>
      <c r="AT8" s="504">
        <v>1</v>
      </c>
      <c r="AU8" s="505">
        <f t="shared" si="15"/>
        <v>44.952132655736889</v>
      </c>
      <c r="AV8" s="504">
        <v>1</v>
      </c>
      <c r="AW8" s="505">
        <f t="shared" si="16"/>
        <v>6.988146786643135</v>
      </c>
      <c r="AX8" s="504">
        <v>1</v>
      </c>
      <c r="AY8" s="505">
        <f t="shared" si="17"/>
        <v>6.7501456531140462</v>
      </c>
      <c r="AZ8" s="505">
        <f t="shared" si="18"/>
        <v>8.1440249551268238</v>
      </c>
      <c r="BA8" s="505">
        <f>main!R9</f>
        <v>38.844999999999999</v>
      </c>
      <c r="BB8" s="506">
        <v>1</v>
      </c>
      <c r="BC8" s="505">
        <f>main!S9</f>
        <v>8.4700000000000006</v>
      </c>
      <c r="BD8" s="506">
        <v>1</v>
      </c>
    </row>
    <row r="9" spans="1:56">
      <c r="A9" s="43">
        <f>main!A10</f>
        <v>2023</v>
      </c>
      <c r="B9" s="43" t="str">
        <f>main!B10</f>
        <v>47_1000</v>
      </c>
      <c r="C9" s="43">
        <v>4</v>
      </c>
      <c r="D9" s="43" t="str">
        <f>main!$B$6</f>
        <v>McLane-PARFLUX-Mark78H-21 ; frame# 2241, controller# 11640-01 and Motor # 11640-01 Cup set Dx21</v>
      </c>
      <c r="E9" s="43">
        <v>1000</v>
      </c>
      <c r="F9" s="502">
        <v>1</v>
      </c>
      <c r="G9" s="503">
        <f>main!E10</f>
        <v>172.42857142857139</v>
      </c>
      <c r="H9" s="193">
        <f>main!I10</f>
        <v>22.990476190476183</v>
      </c>
      <c r="I9" s="193">
        <f>main!J10</f>
        <v>8.3972714285714272</v>
      </c>
      <c r="J9" s="504">
        <v>1</v>
      </c>
      <c r="K9" s="505">
        <f>main!AF10</f>
        <v>64.348223374202803</v>
      </c>
      <c r="L9" s="505">
        <f>main!AG10</f>
        <v>7.7215116336321303</v>
      </c>
      <c r="M9" s="504">
        <v>1</v>
      </c>
      <c r="N9" s="505">
        <f>main!M10</f>
        <v>16.941841125488281</v>
      </c>
      <c r="O9" s="504">
        <v>1</v>
      </c>
      <c r="P9" s="505">
        <f>main!O10</f>
        <v>1.4989533424377441</v>
      </c>
      <c r="Q9" s="504">
        <v>1</v>
      </c>
      <c r="R9" s="505">
        <f>main!AH10</f>
        <v>9.2203294918561518</v>
      </c>
      <c r="S9" s="504">
        <v>1</v>
      </c>
      <c r="T9" s="505">
        <f>main!AB10</f>
        <v>3.4736117628248202</v>
      </c>
      <c r="U9" s="504">
        <v>1</v>
      </c>
      <c r="V9" s="505">
        <f>main!AC10</f>
        <v>7.4307344545440905</v>
      </c>
      <c r="W9" s="505">
        <f t="shared" si="0"/>
        <v>5.4034949761952529</v>
      </c>
      <c r="X9" s="505">
        <f t="shared" si="1"/>
        <v>0.64839629026480972</v>
      </c>
      <c r="Y9" s="505">
        <f t="shared" si="2"/>
        <v>1.4226523843045913</v>
      </c>
      <c r="Z9" s="505">
        <f t="shared" si="3"/>
        <v>0.12587118075214113</v>
      </c>
      <c r="AA9" s="505">
        <f t="shared" si="4"/>
        <v>0.77425609403978168</v>
      </c>
      <c r="AB9" s="505">
        <f t="shared" si="5"/>
        <v>0.62397894128444387</v>
      </c>
      <c r="AC9" s="89">
        <f>main!T10</f>
        <v>45113</v>
      </c>
      <c r="AD9" s="89">
        <f>main!U10</f>
        <v>45128</v>
      </c>
      <c r="AE9" s="89">
        <f>main!V10</f>
        <v>45120.5</v>
      </c>
      <c r="AF9" s="503">
        <f>main!H10</f>
        <v>15</v>
      </c>
      <c r="AG9" s="193">
        <f t="shared" si="6"/>
        <v>0.2916886080991849</v>
      </c>
      <c r="AH9" s="193">
        <f t="shared" si="7"/>
        <v>0.11845565231512001</v>
      </c>
      <c r="AI9" s="193">
        <f t="shared" si="8"/>
        <v>8.9843812100029348E-3</v>
      </c>
      <c r="AJ9" s="193">
        <f t="shared" si="9"/>
        <v>6.446761815485276E-2</v>
      </c>
      <c r="AK9" s="193">
        <f t="shared" si="10"/>
        <v>5.3988034160267255E-2</v>
      </c>
      <c r="AL9" s="193">
        <f t="shared" si="11"/>
        <v>1.0384072912039334E-2</v>
      </c>
      <c r="AM9" s="138">
        <f>depths!$B$2</f>
        <v>1076.5</v>
      </c>
      <c r="AN9" s="43"/>
      <c r="AO9" s="505">
        <f t="shared" si="12"/>
        <v>118.45565231512001</v>
      </c>
      <c r="AP9" s="504">
        <v>1</v>
      </c>
      <c r="AQ9" s="505">
        <f t="shared" si="13"/>
        <v>8.984381210002935</v>
      </c>
      <c r="AR9" s="504">
        <v>1</v>
      </c>
      <c r="AS9" s="505">
        <f t="shared" si="14"/>
        <v>64.467618154852758</v>
      </c>
      <c r="AT9" s="504">
        <v>1</v>
      </c>
      <c r="AU9" s="505">
        <f t="shared" si="15"/>
        <v>53.988034160267254</v>
      </c>
      <c r="AV9" s="504">
        <v>1</v>
      </c>
      <c r="AW9" s="505">
        <f t="shared" si="16"/>
        <v>10.384072912039334</v>
      </c>
      <c r="AX9" s="504">
        <v>1</v>
      </c>
      <c r="AY9" s="505">
        <f t="shared" si="17"/>
        <v>7.1755212349044681</v>
      </c>
      <c r="AZ9" s="505">
        <f t="shared" si="18"/>
        <v>6.0090987791300119</v>
      </c>
      <c r="BA9" s="505">
        <f>main!R10</f>
        <v>40.18</v>
      </c>
      <c r="BB9" s="506">
        <v>1</v>
      </c>
      <c r="BC9" s="505">
        <f>main!S10</f>
        <v>8.5</v>
      </c>
      <c r="BD9" s="506">
        <v>1</v>
      </c>
    </row>
    <row r="10" spans="1:56">
      <c r="A10" s="43">
        <f>main!A11</f>
        <v>2023</v>
      </c>
      <c r="B10" s="43" t="str">
        <f>main!B11</f>
        <v>47_1000</v>
      </c>
      <c r="C10" s="43">
        <v>5</v>
      </c>
      <c r="D10" s="43" t="str">
        <f>main!$B$6</f>
        <v>McLane-PARFLUX-Mark78H-21 ; frame# 2241, controller# 11640-01 and Motor # 11640-01 Cup set Dx21</v>
      </c>
      <c r="E10" s="43">
        <v>1000</v>
      </c>
      <c r="F10" s="502">
        <v>1</v>
      </c>
      <c r="G10" s="503">
        <f>main!E11</f>
        <v>144.08571428571429</v>
      </c>
      <c r="H10" s="193">
        <f>main!I11</f>
        <v>19.211428571428574</v>
      </c>
      <c r="I10" s="193">
        <f>main!J11</f>
        <v>7.0169742857142863</v>
      </c>
      <c r="J10" s="504">
        <v>1</v>
      </c>
      <c r="K10" s="505">
        <f>main!AF11</f>
        <v>63.169767863417746</v>
      </c>
      <c r="L10" s="505">
        <f>main!AG11</f>
        <v>7.580102011748262</v>
      </c>
      <c r="M10" s="504">
        <v>1</v>
      </c>
      <c r="N10" s="505">
        <f>main!M11</f>
        <v>16.899506568908691</v>
      </c>
      <c r="O10" s="504">
        <v>1</v>
      </c>
      <c r="P10" s="505">
        <f>main!O11</f>
        <v>1.4970347881317139</v>
      </c>
      <c r="Q10" s="504">
        <v>1</v>
      </c>
      <c r="R10" s="505">
        <f>main!AH11</f>
        <v>9.3194045571604285</v>
      </c>
      <c r="S10" s="504">
        <v>1</v>
      </c>
      <c r="T10" s="505">
        <f>main!AB11</f>
        <v>4.0695577039929836</v>
      </c>
      <c r="U10" s="504">
        <v>1</v>
      </c>
      <c r="V10" s="505">
        <f>main!AC11</f>
        <v>8.7055792962954222</v>
      </c>
      <c r="W10" s="505">
        <f t="shared" si="0"/>
        <v>4.43260636732143</v>
      </c>
      <c r="X10" s="505">
        <f t="shared" si="1"/>
        <v>0.53189380899528682</v>
      </c>
      <c r="Y10" s="505">
        <f t="shared" si="2"/>
        <v>1.1858340303529196</v>
      </c>
      <c r="Z10" s="505">
        <f t="shared" si="3"/>
        <v>0.10504654613139972</v>
      </c>
      <c r="AA10" s="505">
        <f t="shared" si="4"/>
        <v>0.65394022135763263</v>
      </c>
      <c r="AB10" s="505">
        <f t="shared" si="5"/>
        <v>0.61086826064351651</v>
      </c>
      <c r="AC10" s="89">
        <f>main!T11</f>
        <v>45128</v>
      </c>
      <c r="AD10" s="89">
        <f>main!U11</f>
        <v>45143</v>
      </c>
      <c r="AE10" s="89">
        <f>main!V11</f>
        <v>45135.5</v>
      </c>
      <c r="AF10" s="503">
        <f>main!H11</f>
        <v>15</v>
      </c>
      <c r="AG10" s="193">
        <f t="shared" si="6"/>
        <v>0.28555981763149235</v>
      </c>
      <c r="AH10" s="193">
        <f t="shared" si="7"/>
        <v>9.873722151148373E-2</v>
      </c>
      <c r="AI10" s="193">
        <f t="shared" si="8"/>
        <v>7.4979690315060471E-3</v>
      </c>
      <c r="AJ10" s="193">
        <f t="shared" si="9"/>
        <v>5.4449643743349929E-2</v>
      </c>
      <c r="AK10" s="193">
        <f t="shared" si="10"/>
        <v>4.4287577768133794E-2</v>
      </c>
      <c r="AL10" s="193">
        <f t="shared" si="11"/>
        <v>1.0165888844125752E-2</v>
      </c>
      <c r="AM10" s="138">
        <f>depths!$B$2</f>
        <v>1076.5</v>
      </c>
      <c r="AN10" s="43"/>
      <c r="AO10" s="505">
        <f t="shared" si="12"/>
        <v>98.737221511483725</v>
      </c>
      <c r="AP10" s="504">
        <v>1</v>
      </c>
      <c r="AQ10" s="505">
        <f t="shared" si="13"/>
        <v>7.497969031506047</v>
      </c>
      <c r="AR10" s="504">
        <v>1</v>
      </c>
      <c r="AS10" s="505">
        <f t="shared" si="14"/>
        <v>54.449643743349931</v>
      </c>
      <c r="AT10" s="504">
        <v>1</v>
      </c>
      <c r="AU10" s="505">
        <f t="shared" si="15"/>
        <v>44.287577768133794</v>
      </c>
      <c r="AV10" s="504">
        <v>1</v>
      </c>
      <c r="AW10" s="505">
        <f t="shared" si="16"/>
        <v>10.165888844125751</v>
      </c>
      <c r="AX10" s="504">
        <v>1</v>
      </c>
      <c r="AY10" s="505">
        <f t="shared" si="17"/>
        <v>7.2619189962716</v>
      </c>
      <c r="AZ10" s="505">
        <f t="shared" si="18"/>
        <v>5.9066098542205054</v>
      </c>
      <c r="BA10" s="505">
        <f>main!R11</f>
        <v>40.21</v>
      </c>
      <c r="BB10" s="506">
        <v>1</v>
      </c>
      <c r="BC10" s="505">
        <f>main!S11</f>
        <v>8.5399999999999991</v>
      </c>
      <c r="BD10" s="506">
        <v>1</v>
      </c>
    </row>
    <row r="11" spans="1:56">
      <c r="A11" s="43">
        <f>main!A12</f>
        <v>2023</v>
      </c>
      <c r="B11" s="43" t="str">
        <f>main!B12</f>
        <v>47_1000</v>
      </c>
      <c r="C11" s="43">
        <v>6</v>
      </c>
      <c r="D11" s="43" t="str">
        <f>main!$B$6</f>
        <v>McLane-PARFLUX-Mark78H-21 ; frame# 2241, controller# 11640-01 and Motor # 11640-01 Cup set Dx21</v>
      </c>
      <c r="E11" s="43">
        <v>1000</v>
      </c>
      <c r="F11" s="502">
        <v>1</v>
      </c>
      <c r="G11" s="503">
        <f>main!E12</f>
        <v>160.67142857142858</v>
      </c>
      <c r="H11" s="193">
        <f>main!I12</f>
        <v>21.422857142857143</v>
      </c>
      <c r="I11" s="193">
        <f>main!J12</f>
        <v>7.8246985714285717</v>
      </c>
      <c r="J11" s="504">
        <v>1</v>
      </c>
      <c r="K11" s="505">
        <f>main!AF12</f>
        <v>66.814093851219866</v>
      </c>
      <c r="L11" s="505">
        <f>main!AG12</f>
        <v>8.0174055461119345</v>
      </c>
      <c r="M11" s="504">
        <v>1</v>
      </c>
      <c r="N11" s="505">
        <f>main!M12</f>
        <v>15.826993942260742</v>
      </c>
      <c r="O11" s="504">
        <v>1</v>
      </c>
      <c r="P11" s="505">
        <f>main!O12</f>
        <v>1.2040331363677979</v>
      </c>
      <c r="Q11" s="504">
        <v>1</v>
      </c>
      <c r="R11" s="505">
        <f>main!AH12</f>
        <v>7.8095883961488077</v>
      </c>
      <c r="S11" s="504">
        <v>1</v>
      </c>
      <c r="T11" s="505">
        <f>main!AB12</f>
        <v>4.5270138724510112</v>
      </c>
      <c r="U11" s="504">
        <v>1</v>
      </c>
      <c r="V11" s="505">
        <f>main!AC12</f>
        <v>9.6841674473329036</v>
      </c>
      <c r="W11" s="505">
        <f t="shared" si="0"/>
        <v>5.2280014470893459</v>
      </c>
      <c r="X11" s="505">
        <f t="shared" si="1"/>
        <v>0.62733781723225557</v>
      </c>
      <c r="Y11" s="505">
        <f t="shared" si="2"/>
        <v>1.2384145689001629</v>
      </c>
      <c r="Z11" s="505">
        <f t="shared" si="3"/>
        <v>9.4211963620897704E-2</v>
      </c>
      <c r="AA11" s="505">
        <f t="shared" si="4"/>
        <v>0.6110767516679072</v>
      </c>
      <c r="AB11" s="505">
        <f t="shared" si="5"/>
        <v>0.75775691190620842</v>
      </c>
      <c r="AC11" s="89">
        <f>main!T12</f>
        <v>45143</v>
      </c>
      <c r="AD11" s="89">
        <f>main!U12</f>
        <v>45158</v>
      </c>
      <c r="AE11" s="89">
        <f>main!V12</f>
        <v>45150.5</v>
      </c>
      <c r="AF11" s="503">
        <f>main!H12</f>
        <v>15</v>
      </c>
      <c r="AG11" s="193">
        <f t="shared" si="6"/>
        <v>0.35422518980604756</v>
      </c>
      <c r="AH11" s="193">
        <f t="shared" si="7"/>
        <v>0.10311528467112098</v>
      </c>
      <c r="AI11" s="193">
        <f t="shared" si="8"/>
        <v>6.724622671013398E-3</v>
      </c>
      <c r="AJ11" s="193">
        <f t="shared" si="9"/>
        <v>5.0880662087252893E-2</v>
      </c>
      <c r="AK11" s="193">
        <f t="shared" si="10"/>
        <v>5.2234622583868073E-2</v>
      </c>
      <c r="AL11" s="193">
        <f t="shared" si="11"/>
        <v>1.261036631563003E-2</v>
      </c>
      <c r="AM11" s="138">
        <f>depths!$B$2</f>
        <v>1076.5</v>
      </c>
      <c r="AN11" s="43"/>
      <c r="AO11" s="505">
        <f t="shared" si="12"/>
        <v>103.11528467112097</v>
      </c>
      <c r="AP11" s="504">
        <v>1</v>
      </c>
      <c r="AQ11" s="505">
        <f t="shared" si="13"/>
        <v>6.7246226710133978</v>
      </c>
      <c r="AR11" s="504">
        <v>1</v>
      </c>
      <c r="AS11" s="505">
        <f t="shared" si="14"/>
        <v>50.880662087252894</v>
      </c>
      <c r="AT11" s="504">
        <v>1</v>
      </c>
      <c r="AU11" s="505">
        <f t="shared" si="15"/>
        <v>52.234622583868074</v>
      </c>
      <c r="AV11" s="504">
        <v>1</v>
      </c>
      <c r="AW11" s="505">
        <f t="shared" si="16"/>
        <v>12.61036631563003</v>
      </c>
      <c r="AX11" s="504">
        <v>1</v>
      </c>
      <c r="AY11" s="505">
        <f t="shared" si="17"/>
        <v>7.5663222423727756</v>
      </c>
      <c r="AZ11" s="505">
        <f t="shared" si="18"/>
        <v>7.7676659552998144</v>
      </c>
      <c r="BA11" s="505">
        <f>main!R12</f>
        <v>39.94</v>
      </c>
      <c r="BB11" s="506">
        <v>1</v>
      </c>
      <c r="BC11" s="505">
        <f>main!S12</f>
        <v>8.5399999999999991</v>
      </c>
      <c r="BD11" s="506">
        <v>1</v>
      </c>
    </row>
    <row r="12" spans="1:56">
      <c r="A12" s="43">
        <f>main!A13</f>
        <v>2023</v>
      </c>
      <c r="B12" s="43" t="str">
        <f>main!B13</f>
        <v>47_1000</v>
      </c>
      <c r="C12" s="43">
        <v>7</v>
      </c>
      <c r="D12" s="43" t="str">
        <f>main!$B$6</f>
        <v>McLane-PARFLUX-Mark78H-21 ; frame# 2241, controller# 11640-01 and Motor # 11640-01 Cup set Dx21</v>
      </c>
      <c r="E12" s="43">
        <v>1000</v>
      </c>
      <c r="F12" s="502">
        <v>1</v>
      </c>
      <c r="G12" s="503">
        <f>main!E13</f>
        <v>130.68571428571428</v>
      </c>
      <c r="H12" s="193">
        <f>main!I13</f>
        <v>17.424761904761905</v>
      </c>
      <c r="I12" s="193">
        <f>main!J13</f>
        <v>6.3643942857142859</v>
      </c>
      <c r="J12" s="504">
        <v>1</v>
      </c>
      <c r="K12" s="505">
        <f>main!AF13</f>
        <v>61.976807031448239</v>
      </c>
      <c r="L12" s="505">
        <f>main!AG13</f>
        <v>7.436951813351131</v>
      </c>
      <c r="M12" s="504">
        <v>1</v>
      </c>
      <c r="N12" s="505">
        <f>main!M13</f>
        <v>16.646936416625977</v>
      </c>
      <c r="O12" s="504">
        <v>1</v>
      </c>
      <c r="P12" s="505">
        <f>main!O13</f>
        <v>1.6078505516052246</v>
      </c>
      <c r="Q12" s="504">
        <v>1</v>
      </c>
      <c r="R12" s="505">
        <f>main!AH13</f>
        <v>9.2099846032748456</v>
      </c>
      <c r="S12" s="504">
        <v>1</v>
      </c>
      <c r="T12" s="505">
        <f>main!AB13</f>
        <v>4.6826134822467935</v>
      </c>
      <c r="U12" s="504">
        <v>1</v>
      </c>
      <c r="V12" s="505">
        <f>main!AC13</f>
        <v>10.017025423574577</v>
      </c>
      <c r="W12" s="505">
        <f t="shared" si="0"/>
        <v>3.944448365177661</v>
      </c>
      <c r="X12" s="505">
        <f t="shared" si="1"/>
        <v>0.47331693624024435</v>
      </c>
      <c r="Y12" s="505">
        <f t="shared" si="2"/>
        <v>1.0594766700462341</v>
      </c>
      <c r="Z12" s="505">
        <f t="shared" si="3"/>
        <v>0.10232994862918854</v>
      </c>
      <c r="AA12" s="505">
        <f t="shared" si="4"/>
        <v>0.58615973380598985</v>
      </c>
      <c r="AB12" s="505">
        <f t="shared" si="5"/>
        <v>0.63752299365652765</v>
      </c>
      <c r="AC12" s="89">
        <f>main!T13</f>
        <v>45158</v>
      </c>
      <c r="AD12" s="89">
        <f>main!U13</f>
        <v>45173</v>
      </c>
      <c r="AE12" s="89">
        <f>main!V13</f>
        <v>45165.5</v>
      </c>
      <c r="AF12" s="503">
        <f>main!H13</f>
        <v>15</v>
      </c>
      <c r="AG12" s="193">
        <f t="shared" si="6"/>
        <v>0.29801998488620163</v>
      </c>
      <c r="AH12" s="193">
        <f t="shared" si="7"/>
        <v>8.8216208996355877E-2</v>
      </c>
      <c r="AI12" s="193">
        <f t="shared" si="8"/>
        <v>7.304064855759353E-3</v>
      </c>
      <c r="AJ12" s="193">
        <f t="shared" si="9"/>
        <v>4.8805972839799323E-2</v>
      </c>
      <c r="AK12" s="193">
        <f t="shared" si="10"/>
        <v>3.9410236156556568E-2</v>
      </c>
      <c r="AL12" s="193">
        <f t="shared" si="11"/>
        <v>1.0609469024072681E-2</v>
      </c>
      <c r="AM12" s="138">
        <f>depths!$B$2</f>
        <v>1076.5</v>
      </c>
      <c r="AN12" s="43"/>
      <c r="AO12" s="505">
        <f t="shared" si="12"/>
        <v>88.216208996355874</v>
      </c>
      <c r="AP12" s="504">
        <v>1</v>
      </c>
      <c r="AQ12" s="505">
        <f t="shared" si="13"/>
        <v>7.3040648557593526</v>
      </c>
      <c r="AR12" s="504">
        <v>1</v>
      </c>
      <c r="AS12" s="505">
        <f t="shared" si="14"/>
        <v>48.805972839799324</v>
      </c>
      <c r="AT12" s="504">
        <v>1</v>
      </c>
      <c r="AU12" s="505">
        <f t="shared" si="15"/>
        <v>39.410236156556564</v>
      </c>
      <c r="AV12" s="504">
        <v>1</v>
      </c>
      <c r="AW12" s="505">
        <f t="shared" si="16"/>
        <v>10.609469024072681</v>
      </c>
      <c r="AX12" s="504">
        <v>1</v>
      </c>
      <c r="AY12" s="505">
        <f t="shared" si="17"/>
        <v>6.6820289528665899</v>
      </c>
      <c r="AZ12" s="505">
        <f t="shared" si="18"/>
        <v>5.3956580253365454</v>
      </c>
      <c r="BA12" s="505">
        <f>main!R13</f>
        <v>40.35</v>
      </c>
      <c r="BB12" s="506">
        <v>1</v>
      </c>
      <c r="BC12" s="505">
        <f>main!S13</f>
        <v>8.58</v>
      </c>
      <c r="BD12" s="506">
        <v>1</v>
      </c>
    </row>
    <row r="13" spans="1:56">
      <c r="A13" s="43">
        <f>main!A14</f>
        <v>2023</v>
      </c>
      <c r="B13" s="43" t="str">
        <f>main!B14</f>
        <v>47_1000</v>
      </c>
      <c r="C13" s="43">
        <v>8</v>
      </c>
      <c r="D13" s="43" t="str">
        <f>main!$B$6</f>
        <v>McLane-PARFLUX-Mark78H-21 ; frame# 2241, controller# 11640-01 and Motor # 11640-01 Cup set Dx21</v>
      </c>
      <c r="E13" s="43">
        <v>1000</v>
      </c>
      <c r="F13" s="502">
        <v>1</v>
      </c>
      <c r="G13" s="503">
        <f>main!E14</f>
        <v>239.04285714285714</v>
      </c>
      <c r="H13" s="193">
        <f>main!I14</f>
        <v>31.872380952380954</v>
      </c>
      <c r="I13" s="193">
        <f>main!J14</f>
        <v>11.641387142857145</v>
      </c>
      <c r="J13" s="504">
        <v>1</v>
      </c>
      <c r="K13" s="505">
        <f>main!AF14</f>
        <v>62.602120009255792</v>
      </c>
      <c r="L13" s="505">
        <f>main!AG14</f>
        <v>7.5119866966722126</v>
      </c>
      <c r="M13" s="504">
        <v>1</v>
      </c>
      <c r="N13" s="505">
        <f>main!M14</f>
        <v>15.056515693664551</v>
      </c>
      <c r="O13" s="504">
        <v>1</v>
      </c>
      <c r="P13" s="505">
        <f>main!O14</f>
        <v>1.24662184715271</v>
      </c>
      <c r="Q13" s="504">
        <v>1</v>
      </c>
      <c r="R13" s="505">
        <f>main!AH14</f>
        <v>7.5445289969923381</v>
      </c>
      <c r="S13" s="504">
        <v>1</v>
      </c>
      <c r="T13" s="505">
        <f>main!AB14</f>
        <v>6.2231245896270231</v>
      </c>
      <c r="U13" s="504">
        <v>1</v>
      </c>
      <c r="V13" s="505">
        <f>main!AC14</f>
        <v>13.31247976470943</v>
      </c>
      <c r="W13" s="505">
        <f t="shared" si="0"/>
        <v>7.2877551499135036</v>
      </c>
      <c r="X13" s="505">
        <f t="shared" si="1"/>
        <v>0.87449945347953806</v>
      </c>
      <c r="Y13" s="505">
        <f t="shared" si="2"/>
        <v>1.7527872821245334</v>
      </c>
      <c r="Z13" s="505">
        <f t="shared" si="3"/>
        <v>0.14512407543448383</v>
      </c>
      <c r="AA13" s="505">
        <f t="shared" si="4"/>
        <v>0.87828782864499511</v>
      </c>
      <c r="AB13" s="505">
        <f t="shared" si="5"/>
        <v>1.5497573077243425</v>
      </c>
      <c r="AC13" s="89">
        <f>main!T14</f>
        <v>45173</v>
      </c>
      <c r="AD13" s="89">
        <f>main!U14</f>
        <v>45188</v>
      </c>
      <c r="AE13" s="89">
        <f>main!V14</f>
        <v>45180.5</v>
      </c>
      <c r="AF13" s="503">
        <f>main!H14</f>
        <v>15</v>
      </c>
      <c r="AG13" s="193">
        <f t="shared" si="6"/>
        <v>0.72445802586082164</v>
      </c>
      <c r="AH13" s="193">
        <f t="shared" si="7"/>
        <v>0.14594398685466556</v>
      </c>
      <c r="AI13" s="193">
        <f t="shared" si="8"/>
        <v>1.0358606383617689E-2</v>
      </c>
      <c r="AJ13" s="193">
        <f t="shared" si="9"/>
        <v>7.312971096128186E-2</v>
      </c>
      <c r="AK13" s="193">
        <f t="shared" si="10"/>
        <v>7.2814275893383684E-2</v>
      </c>
      <c r="AL13" s="193">
        <f t="shared" si="11"/>
        <v>2.5790602558235017E-2</v>
      </c>
      <c r="AM13" s="138">
        <f>depths!$B$2</f>
        <v>1076.5</v>
      </c>
      <c r="AN13" s="43"/>
      <c r="AO13" s="505">
        <f t="shared" si="12"/>
        <v>145.94398685466555</v>
      </c>
      <c r="AP13" s="504">
        <v>1</v>
      </c>
      <c r="AQ13" s="505">
        <f t="shared" si="13"/>
        <v>10.358606383617689</v>
      </c>
      <c r="AR13" s="504">
        <v>1</v>
      </c>
      <c r="AS13" s="505">
        <f t="shared" si="14"/>
        <v>73.129710961281859</v>
      </c>
      <c r="AT13" s="504">
        <v>1</v>
      </c>
      <c r="AU13" s="505">
        <f t="shared" si="15"/>
        <v>72.81427589338368</v>
      </c>
      <c r="AV13" s="504">
        <v>1</v>
      </c>
      <c r="AW13" s="505">
        <f t="shared" si="16"/>
        <v>25.790602558235015</v>
      </c>
      <c r="AX13" s="504">
        <v>1</v>
      </c>
      <c r="AY13" s="505">
        <f t="shared" si="17"/>
        <v>7.0598020865951367</v>
      </c>
      <c r="AZ13" s="505">
        <f t="shared" si="18"/>
        <v>7.0293505899153281</v>
      </c>
      <c r="BA13" s="505">
        <f>main!R14</f>
        <v>40.65</v>
      </c>
      <c r="BB13" s="506">
        <v>1</v>
      </c>
      <c r="BC13" s="505">
        <f>main!S14</f>
        <v>8.59</v>
      </c>
      <c r="BD13" s="506">
        <v>1</v>
      </c>
    </row>
    <row r="14" spans="1:56">
      <c r="A14" s="43">
        <f>main!A15</f>
        <v>2023</v>
      </c>
      <c r="B14" s="43" t="str">
        <f>main!B15</f>
        <v>47_1000</v>
      </c>
      <c r="C14" s="43">
        <v>9</v>
      </c>
      <c r="D14" s="43" t="str">
        <f>main!$B$6</f>
        <v>McLane-PARFLUX-Mark78H-21 ; frame# 2241, controller# 11640-01 and Motor # 11640-01 Cup set Dx21</v>
      </c>
      <c r="E14" s="43">
        <v>1000</v>
      </c>
      <c r="F14" s="502">
        <v>1</v>
      </c>
      <c r="G14" s="503">
        <f>main!E15</f>
        <v>312.92857142857139</v>
      </c>
      <c r="H14" s="193">
        <f>main!I15</f>
        <v>41.723809523809521</v>
      </c>
      <c r="I14" s="193">
        <f>main!J15</f>
        <v>15.239621428571429</v>
      </c>
      <c r="J14" s="504">
        <v>1</v>
      </c>
      <c r="K14" s="505">
        <f>main!AF15</f>
        <v>65.52842043529958</v>
      </c>
      <c r="L14" s="505">
        <f>main!AG15</f>
        <v>7.8631302341060412</v>
      </c>
      <c r="M14" s="504">
        <v>1</v>
      </c>
      <c r="N14" s="505">
        <f>main!M15</f>
        <v>14.936423301696777</v>
      </c>
      <c r="O14" s="504">
        <v>1</v>
      </c>
      <c r="P14" s="505">
        <f>main!O15</f>
        <v>1.1763488054275513</v>
      </c>
      <c r="Q14" s="504">
        <v>1</v>
      </c>
      <c r="R14" s="505">
        <f>main!AH15</f>
        <v>7.0732930675907362</v>
      </c>
      <c r="S14" s="504">
        <v>1</v>
      </c>
      <c r="T14" s="505">
        <f>main!AB15</f>
        <v>5.8024817107940319</v>
      </c>
      <c r="U14" s="504">
        <v>1</v>
      </c>
      <c r="V14" s="505">
        <f>main!AC15</f>
        <v>12.412642435087694</v>
      </c>
      <c r="W14" s="505">
        <f t="shared" si="0"/>
        <v>9.9862832024622943</v>
      </c>
      <c r="X14" s="505">
        <f t="shared" si="1"/>
        <v>1.1983112801133031</v>
      </c>
      <c r="Y14" s="505">
        <f t="shared" si="2"/>
        <v>2.2762543661475183</v>
      </c>
      <c r="Z14" s="505">
        <f t="shared" si="3"/>
        <v>0.17927110462668111</v>
      </c>
      <c r="AA14" s="505">
        <f t="shared" si="4"/>
        <v>1.0779430860342152</v>
      </c>
      <c r="AB14" s="505">
        <f t="shared" si="5"/>
        <v>1.8916397163895746</v>
      </c>
      <c r="AC14" s="89">
        <f>main!T15</f>
        <v>45188</v>
      </c>
      <c r="AD14" s="89">
        <f>main!U15</f>
        <v>45203</v>
      </c>
      <c r="AE14" s="89">
        <f>main!V15</f>
        <v>45195.5</v>
      </c>
      <c r="AF14" s="503">
        <f>main!H15</f>
        <v>15</v>
      </c>
      <c r="AG14" s="193">
        <f t="shared" si="6"/>
        <v>0.88427624618710532</v>
      </c>
      <c r="AH14" s="193">
        <f t="shared" si="7"/>
        <v>0.18952992224375673</v>
      </c>
      <c r="AI14" s="193">
        <f t="shared" si="8"/>
        <v>1.2795938945516139E-2</v>
      </c>
      <c r="AJ14" s="193">
        <f t="shared" si="9"/>
        <v>8.9753795673123665E-2</v>
      </c>
      <c r="AK14" s="193">
        <f t="shared" si="10"/>
        <v>9.9776126570633061E-2</v>
      </c>
      <c r="AL14" s="193">
        <f t="shared" si="11"/>
        <v>3.1480108443827176E-2</v>
      </c>
      <c r="AM14" s="138">
        <f>depths!$B$2</f>
        <v>1076.5</v>
      </c>
      <c r="AN14" s="43"/>
      <c r="AO14" s="505">
        <f t="shared" si="12"/>
        <v>189.52992224375672</v>
      </c>
      <c r="AP14" s="504">
        <v>1</v>
      </c>
      <c r="AQ14" s="505">
        <f t="shared" si="13"/>
        <v>12.79593894551614</v>
      </c>
      <c r="AR14" s="504">
        <v>1</v>
      </c>
      <c r="AS14" s="505">
        <f t="shared" si="14"/>
        <v>89.753795673123662</v>
      </c>
      <c r="AT14" s="504">
        <v>1</v>
      </c>
      <c r="AU14" s="505">
        <f t="shared" si="15"/>
        <v>99.776126570633068</v>
      </c>
      <c r="AV14" s="504">
        <v>1</v>
      </c>
      <c r="AW14" s="505">
        <f t="shared" si="16"/>
        <v>31.480108443827177</v>
      </c>
      <c r="AX14" s="504">
        <v>1</v>
      </c>
      <c r="AY14" s="505">
        <f t="shared" si="17"/>
        <v>7.0142406942770341</v>
      </c>
      <c r="AZ14" s="505">
        <f t="shared" si="18"/>
        <v>7.7974837950907769</v>
      </c>
      <c r="BA14" s="505">
        <f>main!R15</f>
        <v>40.590000000000003</v>
      </c>
      <c r="BB14" s="506">
        <v>1</v>
      </c>
      <c r="BC14" s="505">
        <f>main!S15</f>
        <v>8.58</v>
      </c>
      <c r="BD14" s="506">
        <v>1</v>
      </c>
    </row>
    <row r="15" spans="1:56">
      <c r="A15" s="43">
        <f>main!A16</f>
        <v>2023</v>
      </c>
      <c r="B15" s="43" t="str">
        <f>main!B16</f>
        <v>47_1000</v>
      </c>
      <c r="C15" s="43">
        <v>10</v>
      </c>
      <c r="D15" s="43" t="str">
        <f>main!$B$6</f>
        <v>McLane-PARFLUX-Mark78H-21 ; frame# 2241, controller# 11640-01 and Motor # 11640-01 Cup set Dx21</v>
      </c>
      <c r="E15" s="43">
        <v>1000</v>
      </c>
      <c r="F15" s="502">
        <v>1</v>
      </c>
      <c r="G15" s="503">
        <f>main!E16</f>
        <v>474.3</v>
      </c>
      <c r="H15" s="193">
        <f>main!I16</f>
        <v>63.24</v>
      </c>
      <c r="I15" s="193">
        <f>main!J16</f>
        <v>23.098410000000001</v>
      </c>
      <c r="J15" s="504">
        <v>1</v>
      </c>
      <c r="K15" s="505">
        <f>main!AF16</f>
        <v>72.325832437534103</v>
      </c>
      <c r="L15" s="505">
        <f>main!AG16</f>
        <v>8.6787906067106153</v>
      </c>
      <c r="M15" s="504">
        <v>1</v>
      </c>
      <c r="N15" s="505">
        <f>main!M16</f>
        <v>14.13904857635498</v>
      </c>
      <c r="O15" s="504">
        <v>1</v>
      </c>
      <c r="P15" s="505">
        <f>main!O16</f>
        <v>0.8675951361656189</v>
      </c>
      <c r="Q15" s="504">
        <v>1</v>
      </c>
      <c r="R15" s="505">
        <f>main!AH16</f>
        <v>5.4602579696443652</v>
      </c>
      <c r="S15" s="504">
        <v>1</v>
      </c>
      <c r="T15" s="505">
        <f>main!AB16</f>
        <v>4.7619507956176461</v>
      </c>
      <c r="U15" s="504">
        <v>1</v>
      </c>
      <c r="V15" s="505">
        <f>main!AC16</f>
        <v>10.186743442814681</v>
      </c>
      <c r="W15" s="505">
        <f t="shared" si="0"/>
        <v>16.706117312334619</v>
      </c>
      <c r="X15" s="505">
        <f t="shared" si="1"/>
        <v>2.0046626373795053</v>
      </c>
      <c r="Y15" s="505">
        <f t="shared" si="2"/>
        <v>3.265895410265637</v>
      </c>
      <c r="Z15" s="505">
        <f t="shared" si="3"/>
        <v>0.20040068169159295</v>
      </c>
      <c r="AA15" s="505">
        <f t="shared" si="4"/>
        <v>1.261232772886131</v>
      </c>
      <c r="AB15" s="505">
        <f t="shared" si="5"/>
        <v>2.3529757660694504</v>
      </c>
      <c r="AC15" s="89">
        <f>main!T16</f>
        <v>45203</v>
      </c>
      <c r="AD15" s="89">
        <f>main!U16</f>
        <v>45218</v>
      </c>
      <c r="AE15" s="89">
        <f>main!V16</f>
        <v>45210.5</v>
      </c>
      <c r="AF15" s="503">
        <f>main!H16</f>
        <v>15</v>
      </c>
      <c r="AG15" s="193">
        <f t="shared" si="6"/>
        <v>1.099934918770026</v>
      </c>
      <c r="AH15" s="193">
        <f t="shared" si="7"/>
        <v>0.27193134140429953</v>
      </c>
      <c r="AI15" s="193">
        <f t="shared" si="8"/>
        <v>1.4304117179985221E-2</v>
      </c>
      <c r="AJ15" s="193">
        <f t="shared" si="9"/>
        <v>0.10501521839185105</v>
      </c>
      <c r="AK15" s="193">
        <f t="shared" si="10"/>
        <v>0.1669161230124484</v>
      </c>
      <c r="AL15" s="193">
        <f t="shared" si="11"/>
        <v>3.9157526478107017E-2</v>
      </c>
      <c r="AM15" s="138">
        <f>depths!$B$2</f>
        <v>1076.5</v>
      </c>
      <c r="AN15" s="43"/>
      <c r="AO15" s="505">
        <f t="shared" si="12"/>
        <v>271.93134140429953</v>
      </c>
      <c r="AP15" s="504">
        <v>1</v>
      </c>
      <c r="AQ15" s="505">
        <f t="shared" si="13"/>
        <v>14.304117179985221</v>
      </c>
      <c r="AR15" s="504">
        <v>1</v>
      </c>
      <c r="AS15" s="505">
        <f t="shared" si="14"/>
        <v>105.01521839185105</v>
      </c>
      <c r="AT15" s="504">
        <v>1</v>
      </c>
      <c r="AU15" s="505">
        <f t="shared" si="15"/>
        <v>166.9161230124484</v>
      </c>
      <c r="AV15" s="504">
        <v>1</v>
      </c>
      <c r="AW15" s="505">
        <f t="shared" si="16"/>
        <v>39.157526478107016</v>
      </c>
      <c r="AX15" s="504">
        <v>1</v>
      </c>
      <c r="AY15" s="505">
        <f t="shared" si="17"/>
        <v>7.3416078091692167</v>
      </c>
      <c r="AZ15" s="505">
        <f t="shared" si="18"/>
        <v>11.66909645049628</v>
      </c>
      <c r="BA15" s="505">
        <f>main!R16</f>
        <v>40.57</v>
      </c>
      <c r="BB15" s="506">
        <v>1</v>
      </c>
      <c r="BC15" s="505">
        <f>main!S16</f>
        <v>8.5399999999999991</v>
      </c>
      <c r="BD15" s="506">
        <v>1</v>
      </c>
    </row>
    <row r="16" spans="1:56">
      <c r="A16" s="43">
        <f>main!A17</f>
        <v>2023</v>
      </c>
      <c r="B16" s="43" t="str">
        <f>main!B17</f>
        <v>47_1000</v>
      </c>
      <c r="C16" s="43">
        <v>11</v>
      </c>
      <c r="D16" s="43" t="str">
        <f>main!$B$6</f>
        <v>McLane-PARFLUX-Mark78H-21 ; frame# 2241, controller# 11640-01 and Motor # 11640-01 Cup set Dx21</v>
      </c>
      <c r="E16" s="43">
        <v>1000</v>
      </c>
      <c r="F16" s="502">
        <v>1</v>
      </c>
      <c r="G16" s="503">
        <f>main!E17</f>
        <v>602.94285714285718</v>
      </c>
      <c r="H16" s="193">
        <f>main!I17</f>
        <v>80.392380952380961</v>
      </c>
      <c r="I16" s="193">
        <f>main!J17</f>
        <v>29.363317142857149</v>
      </c>
      <c r="J16" s="504">
        <v>1</v>
      </c>
      <c r="K16" s="505">
        <f>main!AF17</f>
        <v>71.912612812938164</v>
      </c>
      <c r="L16" s="505">
        <f>main!AG17</f>
        <v>8.6292060188035329</v>
      </c>
      <c r="M16" s="504">
        <v>1</v>
      </c>
      <c r="N16" s="505">
        <f>main!M17</f>
        <v>13.897967338562012</v>
      </c>
      <c r="O16" s="504">
        <v>1</v>
      </c>
      <c r="P16" s="505">
        <f>main!O17</f>
        <v>0.77254652976989746</v>
      </c>
      <c r="Q16" s="504">
        <v>1</v>
      </c>
      <c r="R16" s="505">
        <f>main!AH17</f>
        <v>5.2687613197584788</v>
      </c>
      <c r="S16" s="504">
        <v>1</v>
      </c>
      <c r="T16" s="505">
        <f>main!AB17</f>
        <v>4.9779950508655402</v>
      </c>
      <c r="U16" s="504">
        <v>1</v>
      </c>
      <c r="V16" s="505">
        <f>main!AC17</f>
        <v>10.648904329174449</v>
      </c>
      <c r="W16" s="505">
        <f t="shared" si="0"/>
        <v>21.115928565977956</v>
      </c>
      <c r="X16" s="505">
        <f t="shared" si="1"/>
        <v>2.5338211302117988</v>
      </c>
      <c r="Y16" s="505">
        <f t="shared" si="2"/>
        <v>4.0809042260326667</v>
      </c>
      <c r="Z16" s="505">
        <f t="shared" si="3"/>
        <v>0.2268452876124723</v>
      </c>
      <c r="AA16" s="505">
        <f t="shared" si="4"/>
        <v>1.5470830958208681</v>
      </c>
      <c r="AB16" s="505">
        <f t="shared" si="5"/>
        <v>3.126871550414938</v>
      </c>
      <c r="AC16" s="89">
        <f>main!T17</f>
        <v>45218</v>
      </c>
      <c r="AD16" s="89">
        <f>main!U17</f>
        <v>45233</v>
      </c>
      <c r="AE16" s="89">
        <f>main!V17</f>
        <v>45225.5</v>
      </c>
      <c r="AF16" s="503">
        <f>main!H17</f>
        <v>15</v>
      </c>
      <c r="AG16" s="193">
        <f t="shared" si="6"/>
        <v>1.4617044741413816</v>
      </c>
      <c r="AH16" s="193">
        <f t="shared" si="7"/>
        <v>0.3397921920093811</v>
      </c>
      <c r="AI16" s="193">
        <f t="shared" si="8"/>
        <v>1.6191669351354198E-2</v>
      </c>
      <c r="AJ16" s="193">
        <f t="shared" si="9"/>
        <v>0.12881624444803233</v>
      </c>
      <c r="AK16" s="193">
        <f t="shared" si="10"/>
        <v>0.21097594756134877</v>
      </c>
      <c r="AL16" s="193">
        <f t="shared" si="11"/>
        <v>5.2036471133548652E-2</v>
      </c>
      <c r="AM16" s="138">
        <f>depths!$B$2</f>
        <v>1076.5</v>
      </c>
      <c r="AN16" s="43"/>
      <c r="AO16" s="505">
        <f t="shared" si="12"/>
        <v>339.7921920093811</v>
      </c>
      <c r="AP16" s="504">
        <v>1</v>
      </c>
      <c r="AQ16" s="505">
        <f t="shared" si="13"/>
        <v>16.191669351354196</v>
      </c>
      <c r="AR16" s="504">
        <v>1</v>
      </c>
      <c r="AS16" s="505">
        <f t="shared" si="14"/>
        <v>128.81624444803234</v>
      </c>
      <c r="AT16" s="504">
        <v>1</v>
      </c>
      <c r="AU16" s="505">
        <f t="shared" si="15"/>
        <v>210.97594756134876</v>
      </c>
      <c r="AV16" s="504">
        <v>1</v>
      </c>
      <c r="AW16" s="505">
        <f t="shared" si="16"/>
        <v>52.036471133548652</v>
      </c>
      <c r="AX16" s="504">
        <v>1</v>
      </c>
      <c r="AY16" s="505">
        <f t="shared" si="17"/>
        <v>7.9557111532331746</v>
      </c>
      <c r="AZ16" s="505">
        <f t="shared" si="18"/>
        <v>13.029907107367142</v>
      </c>
      <c r="BA16" s="505">
        <f>main!R17</f>
        <v>40.450000000000003</v>
      </c>
      <c r="BB16" s="506">
        <v>1</v>
      </c>
      <c r="BC16" s="505">
        <f>main!S17</f>
        <v>8.5399999999999991</v>
      </c>
      <c r="BD16" s="506">
        <v>1</v>
      </c>
    </row>
    <row r="17" spans="1:56">
      <c r="A17" s="43">
        <f>main!A18</f>
        <v>2023</v>
      </c>
      <c r="B17" s="43" t="str">
        <f>main!B18</f>
        <v>47_1000</v>
      </c>
      <c r="C17" s="43">
        <v>12</v>
      </c>
      <c r="D17" s="43" t="str">
        <f>main!$B$6</f>
        <v>McLane-PARFLUX-Mark78H-21 ; frame# 2241, controller# 11640-01 and Motor # 11640-01 Cup set Dx21</v>
      </c>
      <c r="E17" s="43">
        <v>1000</v>
      </c>
      <c r="F17" s="502">
        <v>1</v>
      </c>
      <c r="G17" s="503">
        <f>main!E18</f>
        <v>937.38571428571413</v>
      </c>
      <c r="H17" s="193">
        <f>main!I18</f>
        <v>124.98476190476188</v>
      </c>
      <c r="I17" s="193">
        <f>main!J18</f>
        <v>45.650684285714284</v>
      </c>
      <c r="J17" s="504">
        <v>1</v>
      </c>
      <c r="K17" s="505">
        <f>main!AF18</f>
        <v>67.729120382894621</v>
      </c>
      <c r="L17" s="505">
        <f>main!AG18</f>
        <v>8.1272048169996722</v>
      </c>
      <c r="M17" s="504">
        <v>1</v>
      </c>
      <c r="N17" s="505">
        <f>main!M18</f>
        <v>14.414851188659668</v>
      </c>
      <c r="O17" s="504">
        <v>1</v>
      </c>
      <c r="P17" s="505">
        <f>main!O18</f>
        <v>0.87698572874069214</v>
      </c>
      <c r="Q17" s="504">
        <v>1</v>
      </c>
      <c r="R17" s="505">
        <f>main!AH18</f>
        <v>6.2876463716599957</v>
      </c>
      <c r="S17" s="504">
        <v>1</v>
      </c>
      <c r="T17" s="505">
        <f>main!AB18</f>
        <v>5.9120175633439995</v>
      </c>
      <c r="U17" s="504">
        <v>1</v>
      </c>
      <c r="V17" s="505">
        <f>main!AC18</f>
        <v>12.646961031731612</v>
      </c>
      <c r="W17" s="505">
        <f t="shared" si="0"/>
        <v>30.918806915486588</v>
      </c>
      <c r="X17" s="505">
        <f t="shared" si="1"/>
        <v>3.7101246122618838</v>
      </c>
      <c r="Y17" s="505">
        <f t="shared" si="2"/>
        <v>6.5804782063905582</v>
      </c>
      <c r="Z17" s="505">
        <f t="shared" si="3"/>
        <v>0.40034998625818408</v>
      </c>
      <c r="AA17" s="505">
        <f t="shared" si="4"/>
        <v>2.870353594128674</v>
      </c>
      <c r="AB17" s="505">
        <f t="shared" si="5"/>
        <v>5.7734242523331121</v>
      </c>
      <c r="AC17" s="89">
        <f>main!T18</f>
        <v>45233</v>
      </c>
      <c r="AD17" s="89">
        <f>main!U18</f>
        <v>45248</v>
      </c>
      <c r="AE17" s="89">
        <f>main!V18</f>
        <v>45240.5</v>
      </c>
      <c r="AF17" s="503">
        <f>main!H18</f>
        <v>15</v>
      </c>
      <c r="AG17" s="193">
        <f t="shared" si="6"/>
        <v>2.6988764727581476</v>
      </c>
      <c r="AH17" s="193">
        <f t="shared" si="7"/>
        <v>0.54791658671028798</v>
      </c>
      <c r="AI17" s="193">
        <f t="shared" si="8"/>
        <v>2.8576016149763319E-2</v>
      </c>
      <c r="AJ17" s="193">
        <f t="shared" si="9"/>
        <v>0.23899696870346995</v>
      </c>
      <c r="AK17" s="193">
        <f t="shared" si="10"/>
        <v>0.308919618006818</v>
      </c>
      <c r="AL17" s="193">
        <f t="shared" si="11"/>
        <v>9.6079618111717613E-2</v>
      </c>
      <c r="AM17" s="138">
        <f>depths!$B$2</f>
        <v>1076.5</v>
      </c>
      <c r="AN17" s="43"/>
      <c r="AO17" s="505">
        <f t="shared" si="12"/>
        <v>547.91658671028802</v>
      </c>
      <c r="AP17" s="504">
        <v>1</v>
      </c>
      <c r="AQ17" s="505">
        <f t="shared" si="13"/>
        <v>28.576016149763319</v>
      </c>
      <c r="AR17" s="504">
        <v>1</v>
      </c>
      <c r="AS17" s="505">
        <f t="shared" si="14"/>
        <v>238.99696870346995</v>
      </c>
      <c r="AT17" s="504">
        <v>1</v>
      </c>
      <c r="AU17" s="505">
        <f t="shared" si="15"/>
        <v>308.91961800681798</v>
      </c>
      <c r="AV17" s="504">
        <v>1</v>
      </c>
      <c r="AW17" s="505">
        <f t="shared" si="16"/>
        <v>96.079618111717608</v>
      </c>
      <c r="AX17" s="504">
        <v>1</v>
      </c>
      <c r="AY17" s="505">
        <f t="shared" si="17"/>
        <v>8.3635510090320775</v>
      </c>
      <c r="AZ17" s="505">
        <f t="shared" si="18"/>
        <v>10.810450847585226</v>
      </c>
      <c r="BA17" s="505">
        <f>main!R18</f>
        <v>40.620000000000005</v>
      </c>
      <c r="BB17" s="506">
        <v>1</v>
      </c>
      <c r="BC17" s="505">
        <f>main!S18</f>
        <v>8.5150000000000006</v>
      </c>
      <c r="BD17" s="506">
        <v>1</v>
      </c>
    </row>
    <row r="18" spans="1:56">
      <c r="A18" s="43">
        <f>main!A19</f>
        <v>2023</v>
      </c>
      <c r="B18" s="43" t="str">
        <f>main!B19</f>
        <v>47_1000</v>
      </c>
      <c r="C18" s="43">
        <v>13</v>
      </c>
      <c r="D18" s="43" t="str">
        <f>main!$B$6</f>
        <v>McLane-PARFLUX-Mark78H-21 ; frame# 2241, controller# 11640-01 and Motor # 11640-01 Cup set Dx21</v>
      </c>
      <c r="E18" s="43">
        <v>1000</v>
      </c>
      <c r="F18" s="502">
        <v>1</v>
      </c>
      <c r="G18" s="503">
        <f>main!E19</f>
        <v>1423.7428571428572</v>
      </c>
      <c r="H18" s="193">
        <f>main!I19</f>
        <v>189.83238095238096</v>
      </c>
      <c r="I18" s="193">
        <f>main!J19</f>
        <v>69.336277142857156</v>
      </c>
      <c r="J18" s="504">
        <v>2</v>
      </c>
      <c r="K18" s="505">
        <f>main!AF19</f>
        <v>60.136488722574157</v>
      </c>
      <c r="L18" s="505">
        <f>main!AG19</f>
        <v>7.216121486009814</v>
      </c>
      <c r="M18" s="504">
        <v>1</v>
      </c>
      <c r="N18" s="505">
        <f>main!M19</f>
        <v>13.559201240539551</v>
      </c>
      <c r="O18" s="504">
        <v>1</v>
      </c>
      <c r="P18" s="505">
        <f>main!O19</f>
        <v>0.87384563684463501</v>
      </c>
      <c r="Q18" s="504">
        <v>1</v>
      </c>
      <c r="R18" s="505">
        <f>main!AH19</f>
        <v>6.3430797545297368</v>
      </c>
      <c r="S18" s="504">
        <v>1</v>
      </c>
      <c r="T18" s="505">
        <f>main!AB19</f>
        <v>8.5667506125256203</v>
      </c>
      <c r="U18" s="504">
        <v>1</v>
      </c>
      <c r="V18" s="505">
        <f>main!AC19</f>
        <v>18.32595387350176</v>
      </c>
      <c r="W18" s="505">
        <f t="shared" si="0"/>
        <v>41.696402484667054</v>
      </c>
      <c r="X18" s="505">
        <f t="shared" si="1"/>
        <v>5.003389992505026</v>
      </c>
      <c r="Y18" s="505">
        <f t="shared" si="2"/>
        <v>9.4014453504982285</v>
      </c>
      <c r="Z18" s="505">
        <f t="shared" si="3"/>
        <v>0.60589203256336122</v>
      </c>
      <c r="AA18" s="505">
        <f t="shared" si="4"/>
        <v>4.3980553579932025</v>
      </c>
      <c r="AB18" s="505">
        <f t="shared" si="5"/>
        <v>12.706534166803346</v>
      </c>
      <c r="AC18" s="89">
        <f>main!T19</f>
        <v>45248</v>
      </c>
      <c r="AD18" s="89">
        <f>main!U19</f>
        <v>45263</v>
      </c>
      <c r="AE18" s="89">
        <f>main!V19</f>
        <v>45255.5</v>
      </c>
      <c r="AF18" s="503">
        <f>main!H19</f>
        <v>15</v>
      </c>
      <c r="AG18" s="193">
        <f t="shared" si="6"/>
        <v>5.9398659468381769</v>
      </c>
      <c r="AH18" s="193">
        <f t="shared" si="7"/>
        <v>0.78280144467095991</v>
      </c>
      <c r="AI18" s="193">
        <f t="shared" si="8"/>
        <v>4.324711153200294E-2</v>
      </c>
      <c r="AJ18" s="193">
        <f t="shared" si="9"/>
        <v>0.36619944696029993</v>
      </c>
      <c r="AK18" s="193">
        <f t="shared" si="10"/>
        <v>0.41660199771065998</v>
      </c>
      <c r="AL18" s="193">
        <f t="shared" si="11"/>
        <v>0.21145838187391161</v>
      </c>
      <c r="AM18" s="138">
        <f>depths!$B$2</f>
        <v>1076.5</v>
      </c>
      <c r="AN18" s="43"/>
      <c r="AO18" s="505">
        <f t="shared" si="12"/>
        <v>782.80144467095988</v>
      </c>
      <c r="AP18" s="504">
        <v>2</v>
      </c>
      <c r="AQ18" s="505">
        <f t="shared" si="13"/>
        <v>43.24711153200294</v>
      </c>
      <c r="AR18" s="504">
        <v>2</v>
      </c>
      <c r="AS18" s="505">
        <f t="shared" si="14"/>
        <v>366.19944696029995</v>
      </c>
      <c r="AT18" s="504">
        <v>2</v>
      </c>
      <c r="AU18" s="505">
        <f t="shared" si="15"/>
        <v>416.60199771065999</v>
      </c>
      <c r="AV18" s="504">
        <v>2</v>
      </c>
      <c r="AW18" s="505">
        <f t="shared" si="16"/>
        <v>211.45838187391161</v>
      </c>
      <c r="AX18" s="504">
        <v>2</v>
      </c>
      <c r="AY18" s="505">
        <f t="shared" si="17"/>
        <v>8.4676047483382035</v>
      </c>
      <c r="AZ18" s="505">
        <f t="shared" si="18"/>
        <v>9.6330594796457962</v>
      </c>
      <c r="BA18" s="505">
        <f>main!R19</f>
        <v>39.880000000000003</v>
      </c>
      <c r="BB18" s="506">
        <v>1</v>
      </c>
      <c r="BC18" s="505">
        <f>main!S19</f>
        <v>8.42</v>
      </c>
      <c r="BD18" s="506">
        <v>1</v>
      </c>
    </row>
    <row r="19" spans="1:56">
      <c r="A19" s="43">
        <f>main!A20</f>
        <v>2023</v>
      </c>
      <c r="B19" s="43" t="str">
        <f>main!B20</f>
        <v>47_1000</v>
      </c>
      <c r="C19" s="43">
        <v>14</v>
      </c>
      <c r="D19" s="43" t="str">
        <f>main!$B$6</f>
        <v>McLane-PARFLUX-Mark78H-21 ; frame# 2241, controller# 11640-01 and Motor # 11640-01 Cup set Dx21</v>
      </c>
      <c r="E19" s="43">
        <v>1000</v>
      </c>
      <c r="F19" s="502">
        <v>1</v>
      </c>
      <c r="G19" s="503">
        <f>main!E20</f>
        <v>648.57142857142867</v>
      </c>
      <c r="H19" s="193">
        <f>main!I20</f>
        <v>86.476190476190496</v>
      </c>
      <c r="I19" s="193">
        <f>main!J20</f>
        <v>31.585428571428576</v>
      </c>
      <c r="J19" s="504">
        <v>1</v>
      </c>
      <c r="K19" s="505">
        <f>main!AF20</f>
        <v>61.662020080257655</v>
      </c>
      <c r="L19" s="505">
        <f>main!AG20</f>
        <v>7.3991787253266352</v>
      </c>
      <c r="M19" s="504">
        <v>1</v>
      </c>
      <c r="N19" s="505">
        <f>main!M20</f>
        <v>13.887373924255371</v>
      </c>
      <c r="O19" s="504">
        <v>1</v>
      </c>
      <c r="P19" s="505">
        <f>main!O20</f>
        <v>0.94786739349365234</v>
      </c>
      <c r="Q19" s="504">
        <v>1</v>
      </c>
      <c r="R19" s="505">
        <f>main!AH20</f>
        <v>6.4881951989287359</v>
      </c>
      <c r="S19" s="504">
        <v>1</v>
      </c>
      <c r="T19" s="505">
        <f>main!AB20</f>
        <v>8.3453555222023592</v>
      </c>
      <c r="U19" s="504">
        <v>1</v>
      </c>
      <c r="V19" s="505">
        <f>main!AC20</f>
        <v>17.852346505131358</v>
      </c>
      <c r="W19" s="505">
        <f t="shared" si="0"/>
        <v>19.476213308149728</v>
      </c>
      <c r="X19" s="505">
        <f t="shared" si="1"/>
        <v>2.3370623111603837</v>
      </c>
      <c r="Y19" s="505">
        <f t="shared" si="2"/>
        <v>4.3863865712928778</v>
      </c>
      <c r="Z19" s="505">
        <f t="shared" si="3"/>
        <v>0.29938797852379939</v>
      </c>
      <c r="AA19" s="505">
        <f t="shared" si="4"/>
        <v>2.0493242601324937</v>
      </c>
      <c r="AB19" s="505">
        <f t="shared" si="5"/>
        <v>5.6387401537021908</v>
      </c>
      <c r="AC19" s="89">
        <f>main!T20</f>
        <v>45263</v>
      </c>
      <c r="AD19" s="89">
        <f>main!U20</f>
        <v>45278</v>
      </c>
      <c r="AE19" s="89">
        <f>main!V20</f>
        <v>45270.5</v>
      </c>
      <c r="AF19" s="503">
        <f>main!H20</f>
        <v>15</v>
      </c>
      <c r="AG19" s="193">
        <f t="shared" si="6"/>
        <v>2.6359163074969962</v>
      </c>
      <c r="AH19" s="193">
        <f t="shared" si="7"/>
        <v>0.36522785772630123</v>
      </c>
      <c r="AI19" s="193">
        <f t="shared" si="8"/>
        <v>2.136959161483222E-2</v>
      </c>
      <c r="AJ19" s="193">
        <f t="shared" si="9"/>
        <v>0.17063482598938332</v>
      </c>
      <c r="AK19" s="193">
        <f t="shared" si="10"/>
        <v>0.19459303173691789</v>
      </c>
      <c r="AL19" s="193">
        <f t="shared" si="11"/>
        <v>9.383824519391229E-2</v>
      </c>
      <c r="AM19" s="138">
        <f>depths!$B$2</f>
        <v>1076.5</v>
      </c>
      <c r="AN19" s="43"/>
      <c r="AO19" s="505">
        <f t="shared" si="12"/>
        <v>365.22785772630124</v>
      </c>
      <c r="AP19" s="504">
        <v>1</v>
      </c>
      <c r="AQ19" s="505">
        <f t="shared" si="13"/>
        <v>21.36959161483222</v>
      </c>
      <c r="AR19" s="504">
        <v>1</v>
      </c>
      <c r="AS19" s="505">
        <f t="shared" si="14"/>
        <v>170.6348259893833</v>
      </c>
      <c r="AT19" s="504">
        <v>1</v>
      </c>
      <c r="AU19" s="505">
        <f t="shared" si="15"/>
        <v>194.59303173691788</v>
      </c>
      <c r="AV19" s="504">
        <v>1</v>
      </c>
      <c r="AW19" s="505">
        <f t="shared" si="16"/>
        <v>93.838245193912286</v>
      </c>
      <c r="AX19" s="504">
        <v>1</v>
      </c>
      <c r="AY19" s="505">
        <f t="shared" si="17"/>
        <v>7.9849362152035219</v>
      </c>
      <c r="AZ19" s="505">
        <f t="shared" si="18"/>
        <v>9.1060716200984686</v>
      </c>
      <c r="BA19" s="505">
        <f>main!R20</f>
        <v>38.090000000000003</v>
      </c>
      <c r="BB19" s="506">
        <v>1</v>
      </c>
      <c r="BC19" s="505">
        <f>main!S20</f>
        <v>8.2899999999999991</v>
      </c>
      <c r="BD19" s="506">
        <v>1</v>
      </c>
    </row>
    <row r="20" spans="1:56">
      <c r="A20" s="43">
        <f>main!A21</f>
        <v>2023</v>
      </c>
      <c r="B20" s="43" t="str">
        <f>main!B21</f>
        <v>47_1000</v>
      </c>
      <c r="C20" s="43">
        <v>15</v>
      </c>
      <c r="D20" s="43" t="str">
        <f>main!$B$6</f>
        <v>McLane-PARFLUX-Mark78H-21 ; frame# 2241, controller# 11640-01 and Motor # 11640-01 Cup set Dx21</v>
      </c>
      <c r="E20" s="43">
        <v>1000</v>
      </c>
      <c r="F20" s="502">
        <v>1</v>
      </c>
      <c r="G20" s="503">
        <f>main!E21</f>
        <v>272.45714285714291</v>
      </c>
      <c r="H20" s="193">
        <f>main!I21</f>
        <v>36.327619047619052</v>
      </c>
      <c r="I20" s="193">
        <f>main!J21</f>
        <v>13.268662857142861</v>
      </c>
      <c r="J20" s="504">
        <v>1</v>
      </c>
      <c r="K20" s="505">
        <f>main!AF21</f>
        <v>67.998087030381555</v>
      </c>
      <c r="L20" s="505">
        <f>main!AG21</f>
        <v>8.1594796645203562</v>
      </c>
      <c r="M20" s="504">
        <v>1</v>
      </c>
      <c r="N20" s="505">
        <f>main!M21</f>
        <v>14.294573783874512</v>
      </c>
      <c r="O20" s="504">
        <v>1</v>
      </c>
      <c r="P20" s="505">
        <f>main!O21</f>
        <v>1.0029878616333008</v>
      </c>
      <c r="Q20" s="504">
        <v>1</v>
      </c>
      <c r="R20" s="505">
        <f>main!AH21</f>
        <v>6.1350941193541555</v>
      </c>
      <c r="S20" s="504">
        <v>1</v>
      </c>
      <c r="T20" s="505">
        <f>main!AB21</f>
        <v>5.9749087683219422</v>
      </c>
      <c r="U20" s="504">
        <v>1</v>
      </c>
      <c r="V20" s="505">
        <f>main!AC21</f>
        <v>12.781497610838926</v>
      </c>
      <c r="W20" s="505">
        <f t="shared" si="0"/>
        <v>9.022436917367914</v>
      </c>
      <c r="X20" s="505">
        <f t="shared" si="1"/>
        <v>1.0826538475823375</v>
      </c>
      <c r="Y20" s="505">
        <f t="shared" si="2"/>
        <v>1.8966988022478382</v>
      </c>
      <c r="Z20" s="505">
        <f t="shared" si="3"/>
        <v>0.13308307785818921</v>
      </c>
      <c r="AA20" s="505">
        <f t="shared" si="4"/>
        <v>0.81404495466550075</v>
      </c>
      <c r="AB20" s="505">
        <f t="shared" si="5"/>
        <v>1.6959338260759869</v>
      </c>
      <c r="AC20" s="89">
        <f>main!T21</f>
        <v>45278</v>
      </c>
      <c r="AD20" s="89">
        <f>main!U21</f>
        <v>45293</v>
      </c>
      <c r="AE20" s="89">
        <f>main!V21</f>
        <v>45285.5</v>
      </c>
      <c r="AF20" s="503">
        <f>main!H21</f>
        <v>15</v>
      </c>
      <c r="AG20" s="193">
        <f t="shared" si="6"/>
        <v>0.79279050049050559</v>
      </c>
      <c r="AH20" s="193">
        <f t="shared" si="7"/>
        <v>0.15792662799732207</v>
      </c>
      <c r="AI20" s="193">
        <f t="shared" si="8"/>
        <v>9.4991490262804571E-3</v>
      </c>
      <c r="AJ20" s="193">
        <f t="shared" si="9"/>
        <v>6.7780595725686996E-2</v>
      </c>
      <c r="AK20" s="193">
        <f t="shared" si="10"/>
        <v>9.0146032271635104E-2</v>
      </c>
      <c r="AL20" s="193">
        <f t="shared" si="11"/>
        <v>2.82232289245463E-2</v>
      </c>
      <c r="AM20" s="138">
        <f>depths!$B$2</f>
        <v>1076.5</v>
      </c>
      <c r="AN20" s="43"/>
      <c r="AO20" s="505">
        <f t="shared" si="12"/>
        <v>157.92662799732207</v>
      </c>
      <c r="AP20" s="504">
        <v>1</v>
      </c>
      <c r="AQ20" s="505">
        <f t="shared" si="13"/>
        <v>9.4991490262804579</v>
      </c>
      <c r="AR20" s="504">
        <v>1</v>
      </c>
      <c r="AS20" s="505">
        <f t="shared" si="14"/>
        <v>67.780595725686993</v>
      </c>
      <c r="AT20" s="504">
        <v>1</v>
      </c>
      <c r="AU20" s="505">
        <f t="shared" si="15"/>
        <v>90.146032271635107</v>
      </c>
      <c r="AV20" s="504">
        <v>1</v>
      </c>
      <c r="AW20" s="505">
        <f t="shared" si="16"/>
        <v>28.223228924546301</v>
      </c>
      <c r="AX20" s="504">
        <v>1</v>
      </c>
      <c r="AY20" s="505">
        <f t="shared" si="17"/>
        <v>7.1354387154222341</v>
      </c>
      <c r="AZ20" s="505">
        <f t="shared" si="18"/>
        <v>9.4899060981395316</v>
      </c>
      <c r="BA20" s="505">
        <f>main!R21</f>
        <v>38.86</v>
      </c>
      <c r="BB20" s="506">
        <v>1</v>
      </c>
      <c r="BC20" s="505">
        <f>main!S21</f>
        <v>8.4499999999999993</v>
      </c>
      <c r="BD20" s="506">
        <v>1</v>
      </c>
    </row>
    <row r="21" spans="1:56">
      <c r="A21" s="43">
        <f>main!A22</f>
        <v>2023</v>
      </c>
      <c r="B21" s="43" t="str">
        <f>main!B22</f>
        <v>47_1000</v>
      </c>
      <c r="C21" s="43">
        <v>16</v>
      </c>
      <c r="D21" s="43" t="str">
        <f>main!$B$6</f>
        <v>McLane-PARFLUX-Mark78H-21 ; frame# 2241, controller# 11640-01 and Motor # 11640-01 Cup set Dx21</v>
      </c>
      <c r="E21" s="43">
        <v>1000</v>
      </c>
      <c r="F21" s="502">
        <v>1</v>
      </c>
      <c r="G21" s="503">
        <f>main!E22</f>
        <v>391.65714285714279</v>
      </c>
      <c r="H21" s="193">
        <f>main!I22</f>
        <v>52.220952380952369</v>
      </c>
      <c r="I21" s="193">
        <f>main!J22</f>
        <v>19.073702857142855</v>
      </c>
      <c r="J21" s="504">
        <v>1</v>
      </c>
      <c r="K21" s="505">
        <f>main!AF22</f>
        <v>64.405270595948735</v>
      </c>
      <c r="L21" s="505">
        <f>main!AG22</f>
        <v>7.7283570562915251</v>
      </c>
      <c r="M21" s="504">
        <v>1</v>
      </c>
      <c r="N21" s="505">
        <f>main!M22</f>
        <v>14.818084716796875</v>
      </c>
      <c r="O21" s="504">
        <v>1</v>
      </c>
      <c r="P21" s="505">
        <f>main!O22</f>
        <v>1.1869363784790039</v>
      </c>
      <c r="Q21" s="504">
        <v>1</v>
      </c>
      <c r="R21" s="505">
        <f>main!AH22</f>
        <v>7.0897276605053499</v>
      </c>
      <c r="S21" s="504">
        <v>1</v>
      </c>
      <c r="T21" s="505">
        <f>main!AB22</f>
        <v>6.1909153326088671</v>
      </c>
      <c r="U21" s="504">
        <v>1</v>
      </c>
      <c r="V21" s="505">
        <f>main!AC22</f>
        <v>13.243577868866744</v>
      </c>
      <c r="W21" s="505">
        <f t="shared" si="0"/>
        <v>12.284469937810062</v>
      </c>
      <c r="X21" s="505">
        <f t="shared" si="1"/>
        <v>1.4740838606560782</v>
      </c>
      <c r="Y21" s="505">
        <f t="shared" si="2"/>
        <v>2.8263574480015343</v>
      </c>
      <c r="Z21" s="505">
        <f t="shared" si="3"/>
        <v>0.2263927179344177</v>
      </c>
      <c r="AA21" s="505">
        <f t="shared" si="4"/>
        <v>1.3522735873454563</v>
      </c>
      <c r="AB21" s="505">
        <f t="shared" si="5"/>
        <v>2.5260406903619748</v>
      </c>
      <c r="AC21" s="89">
        <f>main!T22</f>
        <v>45293</v>
      </c>
      <c r="AD21" s="89">
        <f>main!U22</f>
        <v>45308</v>
      </c>
      <c r="AE21" s="89">
        <f>main!V22</f>
        <v>45300.5</v>
      </c>
      <c r="AF21" s="503">
        <f>main!H22</f>
        <v>15</v>
      </c>
      <c r="AG21" s="193">
        <f t="shared" si="6"/>
        <v>1.1808367946791125</v>
      </c>
      <c r="AH21" s="193">
        <f t="shared" si="7"/>
        <v>0.23533367593684715</v>
      </c>
      <c r="AI21" s="193">
        <f t="shared" si="8"/>
        <v>1.6159366019587274E-2</v>
      </c>
      <c r="AJ21" s="193">
        <f t="shared" si="9"/>
        <v>0.11259563591552509</v>
      </c>
      <c r="AK21" s="193">
        <f t="shared" si="10"/>
        <v>0.12273804002132209</v>
      </c>
      <c r="AL21" s="193">
        <f t="shared" si="11"/>
        <v>4.2037621740089445E-2</v>
      </c>
      <c r="AM21" s="138">
        <f>depths!$B$2</f>
        <v>1076.5</v>
      </c>
      <c r="AN21" s="43"/>
      <c r="AO21" s="505">
        <f t="shared" si="12"/>
        <v>235.33367593684716</v>
      </c>
      <c r="AP21" s="504">
        <v>1</v>
      </c>
      <c r="AQ21" s="505">
        <f t="shared" si="13"/>
        <v>16.159366019587274</v>
      </c>
      <c r="AR21" s="504">
        <v>1</v>
      </c>
      <c r="AS21" s="505">
        <f t="shared" si="14"/>
        <v>112.59563591552508</v>
      </c>
      <c r="AT21" s="504">
        <v>1</v>
      </c>
      <c r="AU21" s="505">
        <f t="shared" si="15"/>
        <v>122.73804002132209</v>
      </c>
      <c r="AV21" s="504">
        <v>1</v>
      </c>
      <c r="AW21" s="505">
        <f t="shared" si="16"/>
        <v>42.037621740089442</v>
      </c>
      <c r="AX21" s="504">
        <v>1</v>
      </c>
      <c r="AY21" s="505">
        <f t="shared" si="17"/>
        <v>6.9678250854052308</v>
      </c>
      <c r="AZ21" s="505">
        <f t="shared" si="18"/>
        <v>7.5954737254263236</v>
      </c>
      <c r="BA21" s="505">
        <f>main!R22</f>
        <v>39.32</v>
      </c>
      <c r="BB21" s="506">
        <v>1</v>
      </c>
      <c r="BC21" s="505">
        <f>main!S22</f>
        <v>8.44</v>
      </c>
      <c r="BD21" s="506">
        <v>1</v>
      </c>
    </row>
    <row r="22" spans="1:56">
      <c r="A22" s="43">
        <f>main!A23</f>
        <v>2023</v>
      </c>
      <c r="B22" s="43" t="str">
        <f>main!B23</f>
        <v>47_1000</v>
      </c>
      <c r="C22" s="43">
        <v>17</v>
      </c>
      <c r="D22" s="43" t="str">
        <f>main!$B$6</f>
        <v>McLane-PARFLUX-Mark78H-21 ; frame# 2241, controller# 11640-01 and Motor # 11640-01 Cup set Dx21</v>
      </c>
      <c r="E22" s="43">
        <v>1000</v>
      </c>
      <c r="F22" s="502">
        <v>1</v>
      </c>
      <c r="G22" s="503">
        <f>main!E23</f>
        <v>432.94285714285712</v>
      </c>
      <c r="H22" s="193">
        <f>main!I23</f>
        <v>57.725714285714282</v>
      </c>
      <c r="I22" s="193">
        <f>main!J23</f>
        <v>21.084317142857142</v>
      </c>
      <c r="J22" s="504">
        <v>1</v>
      </c>
      <c r="K22" s="505">
        <f>main!AF23</f>
        <v>65.151881742527905</v>
      </c>
      <c r="L22" s="505">
        <f>main!AG23</f>
        <v>7.8179472011597939</v>
      </c>
      <c r="M22" s="504">
        <v>1</v>
      </c>
      <c r="N22" s="505">
        <f>main!M23</f>
        <v>16.111581802368164</v>
      </c>
      <c r="O22" s="504">
        <v>1</v>
      </c>
      <c r="P22" s="505">
        <f>main!O23</f>
        <v>1.4525940418243408</v>
      </c>
      <c r="Q22" s="504">
        <v>1</v>
      </c>
      <c r="R22" s="505">
        <f>main!AH23</f>
        <v>8.293634601208371</v>
      </c>
      <c r="S22" s="504">
        <v>1</v>
      </c>
      <c r="T22" s="505">
        <f>main!AB23</f>
        <v>4.4431011577470745</v>
      </c>
      <c r="U22" s="504">
        <v>1</v>
      </c>
      <c r="V22" s="505">
        <f>main!AC23</f>
        <v>9.5046617504101736</v>
      </c>
      <c r="W22" s="505">
        <f t="shared" si="0"/>
        <v>13.736829371133824</v>
      </c>
      <c r="X22" s="505">
        <f t="shared" si="1"/>
        <v>1.6483607819536545</v>
      </c>
      <c r="Y22" s="505">
        <f t="shared" si="2"/>
        <v>3.3970170039421621</v>
      </c>
      <c r="Z22" s="505">
        <f t="shared" si="3"/>
        <v>0.30626953457649092</v>
      </c>
      <c r="AA22" s="505">
        <f t="shared" si="4"/>
        <v>1.7486562219885082</v>
      </c>
      <c r="AB22" s="505">
        <f t="shared" si="5"/>
        <v>2.0039930268123176</v>
      </c>
      <c r="AC22" s="89">
        <f>main!T23</f>
        <v>45308</v>
      </c>
      <c r="AD22" s="89">
        <f>main!U23</f>
        <v>45323</v>
      </c>
      <c r="AE22" s="89">
        <f>main!V23</f>
        <v>45315.5</v>
      </c>
      <c r="AF22" s="503">
        <f>main!H23</f>
        <v>15</v>
      </c>
      <c r="AG22" s="193">
        <f t="shared" si="6"/>
        <v>0.93679753907735053</v>
      </c>
      <c r="AH22" s="193">
        <f t="shared" si="7"/>
        <v>0.28284904279285278</v>
      </c>
      <c r="AI22" s="193">
        <f t="shared" si="8"/>
        <v>2.1860780483689574E-2</v>
      </c>
      <c r="AJ22" s="193">
        <f t="shared" si="9"/>
        <v>0.14560001848363932</v>
      </c>
      <c r="AK22" s="193">
        <f t="shared" si="10"/>
        <v>0.13724902430921354</v>
      </c>
      <c r="AL22" s="193">
        <f t="shared" si="11"/>
        <v>3.3349858991717711E-2</v>
      </c>
      <c r="AM22" s="138">
        <f>depths!$B$2</f>
        <v>1076.5</v>
      </c>
      <c r="AN22" s="43"/>
      <c r="AO22" s="505">
        <f t="shared" si="12"/>
        <v>282.8490427928528</v>
      </c>
      <c r="AP22" s="504">
        <v>1</v>
      </c>
      <c r="AQ22" s="505">
        <f t="shared" si="13"/>
        <v>21.860780483689574</v>
      </c>
      <c r="AR22" s="504">
        <v>1</v>
      </c>
      <c r="AS22" s="505">
        <f t="shared" si="14"/>
        <v>145.60001848363933</v>
      </c>
      <c r="AT22" s="504">
        <v>1</v>
      </c>
      <c r="AU22" s="505">
        <f t="shared" si="15"/>
        <v>137.24902430921355</v>
      </c>
      <c r="AV22" s="504">
        <v>1</v>
      </c>
      <c r="AW22" s="505">
        <f t="shared" si="16"/>
        <v>33.34985899171771</v>
      </c>
      <c r="AX22" s="504">
        <v>1</v>
      </c>
      <c r="AY22" s="505">
        <f t="shared" si="17"/>
        <v>6.6603302929770578</v>
      </c>
      <c r="AZ22" s="505">
        <f t="shared" si="18"/>
        <v>6.2783222406727734</v>
      </c>
      <c r="BA22" s="505">
        <f>main!R23</f>
        <v>40.33</v>
      </c>
      <c r="BB22" s="506">
        <v>1</v>
      </c>
      <c r="BC22" s="505">
        <f>main!S23</f>
        <v>8.44</v>
      </c>
      <c r="BD22" s="506">
        <v>1</v>
      </c>
    </row>
    <row r="23" spans="1:56">
      <c r="A23" s="43">
        <f>main!A24</f>
        <v>2023</v>
      </c>
      <c r="B23" s="43" t="str">
        <f>main!B24</f>
        <v>47_1000</v>
      </c>
      <c r="C23" s="43">
        <v>18</v>
      </c>
      <c r="D23" s="43" t="str">
        <f>main!$B$6</f>
        <v>McLane-PARFLUX-Mark78H-21 ; frame# 2241, controller# 11640-01 and Motor # 11640-01 Cup set Dx21</v>
      </c>
      <c r="E23" s="43">
        <v>1000</v>
      </c>
      <c r="F23" s="502">
        <v>1</v>
      </c>
      <c r="G23" s="503">
        <f>main!E24</f>
        <v>485.40000000000009</v>
      </c>
      <c r="H23" s="193">
        <f>main!I24</f>
        <v>64.720000000000013</v>
      </c>
      <c r="I23" s="193">
        <f>main!J24</f>
        <v>23.638980000000007</v>
      </c>
      <c r="J23" s="504">
        <v>1</v>
      </c>
      <c r="K23" s="505">
        <f>main!AF24</f>
        <v>73.886917490251321</v>
      </c>
      <c r="L23" s="505">
        <f>main!AG24</f>
        <v>8.8661141373937884</v>
      </c>
      <c r="M23" s="504">
        <v>1</v>
      </c>
      <c r="N23" s="505">
        <f>main!M24</f>
        <v>14.066727638244629</v>
      </c>
      <c r="O23" s="504">
        <v>1</v>
      </c>
      <c r="P23" s="505">
        <f>main!O24</f>
        <v>0.84936684370040894</v>
      </c>
      <c r="Q23" s="504">
        <v>1</v>
      </c>
      <c r="R23" s="505">
        <f>main!AH24</f>
        <v>5.2006135008508405</v>
      </c>
      <c r="S23" s="504">
        <v>1</v>
      </c>
      <c r="T23" s="505">
        <f>main!AB24</f>
        <v>4.9601501962830952</v>
      </c>
      <c r="U23" s="504">
        <v>1</v>
      </c>
      <c r="V23" s="505">
        <f>main!AC24</f>
        <v>10.610730697566792</v>
      </c>
      <c r="W23" s="505">
        <f t="shared" si="0"/>
        <v>17.466113648137018</v>
      </c>
      <c r="X23" s="505">
        <f t="shared" si="1"/>
        <v>2.0958589477156906</v>
      </c>
      <c r="Y23" s="505">
        <f t="shared" si="2"/>
        <v>3.325230933059121</v>
      </c>
      <c r="Z23" s="505">
        <f t="shared" si="3"/>
        <v>0.20078165830897096</v>
      </c>
      <c r="AA23" s="505">
        <f t="shared" si="4"/>
        <v>1.2293719853434304</v>
      </c>
      <c r="AB23" s="505">
        <f t="shared" si="5"/>
        <v>2.5082685074516751</v>
      </c>
      <c r="AC23" s="89">
        <f>main!T24</f>
        <v>45323</v>
      </c>
      <c r="AD23" s="89">
        <f>main!U24</f>
        <v>45338</v>
      </c>
      <c r="AE23" s="89">
        <f>main!V24</f>
        <v>45330.5</v>
      </c>
      <c r="AF23" s="503">
        <f>main!H24</f>
        <v>15</v>
      </c>
      <c r="AG23" s="193">
        <f t="shared" si="6"/>
        <v>1.1725289128693219</v>
      </c>
      <c r="AH23" s="193">
        <f t="shared" si="7"/>
        <v>0.27687185121224989</v>
      </c>
      <c r="AI23" s="193">
        <f t="shared" si="8"/>
        <v>1.433131037180378E-2</v>
      </c>
      <c r="AJ23" s="193">
        <f t="shared" si="9"/>
        <v>0.10236236347572276</v>
      </c>
      <c r="AK23" s="193">
        <f t="shared" si="10"/>
        <v>0.17450948773652711</v>
      </c>
      <c r="AL23" s="193">
        <f t="shared" si="11"/>
        <v>4.1741862330698536E-2</v>
      </c>
      <c r="AM23" s="138">
        <f>depths!$B$2</f>
        <v>1076.5</v>
      </c>
      <c r="AN23" s="43"/>
      <c r="AO23" s="505">
        <f t="shared" si="12"/>
        <v>276.87185121224991</v>
      </c>
      <c r="AP23" s="504">
        <v>1</v>
      </c>
      <c r="AQ23" s="505">
        <f t="shared" si="13"/>
        <v>14.331310371803781</v>
      </c>
      <c r="AR23" s="504">
        <v>1</v>
      </c>
      <c r="AS23" s="505">
        <f t="shared" si="14"/>
        <v>102.36236347572276</v>
      </c>
      <c r="AT23" s="504">
        <v>1</v>
      </c>
      <c r="AU23" s="505">
        <f t="shared" si="15"/>
        <v>174.50948773652712</v>
      </c>
      <c r="AV23" s="504">
        <v>1</v>
      </c>
      <c r="AW23" s="505">
        <f t="shared" si="16"/>
        <v>41.741862330698538</v>
      </c>
      <c r="AX23" s="504">
        <v>1</v>
      </c>
      <c r="AY23" s="505">
        <f t="shared" si="17"/>
        <v>7.1425683220925968</v>
      </c>
      <c r="AZ23" s="505">
        <f t="shared" si="18"/>
        <v>12.176799134841627</v>
      </c>
      <c r="BA23" s="505">
        <f>main!R24</f>
        <v>40.15</v>
      </c>
      <c r="BB23" s="506">
        <v>1</v>
      </c>
      <c r="BC23" s="505">
        <f>main!S24</f>
        <v>8.5399999999999991</v>
      </c>
      <c r="BD23" s="506">
        <v>1</v>
      </c>
    </row>
    <row r="24" spans="1:56">
      <c r="A24" s="43">
        <f>main!A25</f>
        <v>2023</v>
      </c>
      <c r="B24" s="43" t="str">
        <f>main!B25</f>
        <v>47_1000</v>
      </c>
      <c r="C24" s="43">
        <v>19</v>
      </c>
      <c r="D24" s="43" t="str">
        <f>main!$B$6</f>
        <v>McLane-PARFLUX-Mark78H-21 ; frame# 2241, controller# 11640-01 and Motor # 11640-01 Cup set Dx21</v>
      </c>
      <c r="E24" s="43">
        <v>1000</v>
      </c>
      <c r="F24" s="502">
        <v>1</v>
      </c>
      <c r="G24" s="503">
        <f>main!E25</f>
        <v>799.38571428571436</v>
      </c>
      <c r="H24" s="193">
        <f>main!I25</f>
        <v>106.58476190476192</v>
      </c>
      <c r="I24" s="193">
        <f>main!J25</f>
        <v>38.930084285714294</v>
      </c>
      <c r="J24" s="504">
        <v>1</v>
      </c>
      <c r="K24" s="505">
        <f>main!AF25</f>
        <v>78.230438867579466</v>
      </c>
      <c r="L24" s="505">
        <f>main!AG25</f>
        <v>9.3873181285425904</v>
      </c>
      <c r="M24" s="504">
        <v>1</v>
      </c>
      <c r="N24" s="505">
        <f>main!M25</f>
        <v>14.234511375427246</v>
      </c>
      <c r="O24" s="504">
        <v>1</v>
      </c>
      <c r="P24" s="505">
        <f>main!O25</f>
        <v>0.77039182186126709</v>
      </c>
      <c r="Q24" s="504">
        <v>1</v>
      </c>
      <c r="R24" s="505">
        <f>main!AH25</f>
        <v>4.8471932468846557</v>
      </c>
      <c r="S24" s="504">
        <v>1</v>
      </c>
      <c r="T24" s="505">
        <f>main!AB25</f>
        <v>2.9193337347883643</v>
      </c>
      <c r="U24" s="504">
        <v>1</v>
      </c>
      <c r="V24" s="505">
        <f>main!AC25</f>
        <v>6.2450254226925175</v>
      </c>
      <c r="W24" s="505">
        <f t="shared" si="0"/>
        <v>30.455175788232882</v>
      </c>
      <c r="X24" s="505">
        <f t="shared" si="1"/>
        <v>3.6544908596097683</v>
      </c>
      <c r="Y24" s="505">
        <f t="shared" si="2"/>
        <v>5.5415072761134168</v>
      </c>
      <c r="Z24" s="505">
        <f t="shared" si="3"/>
        <v>0.29991418558084121</v>
      </c>
      <c r="AA24" s="505">
        <f t="shared" si="4"/>
        <v>1.8870164165036476</v>
      </c>
      <c r="AB24" s="505">
        <f t="shared" si="5"/>
        <v>2.4311936607184825</v>
      </c>
      <c r="AC24" s="89">
        <f>main!T25</f>
        <v>45338</v>
      </c>
      <c r="AD24" s="89">
        <f>main!U25</f>
        <v>45353</v>
      </c>
      <c r="AE24" s="89">
        <f>main!V25</f>
        <v>45345.5</v>
      </c>
      <c r="AF24" s="503">
        <f>main!H25</f>
        <v>15</v>
      </c>
      <c r="AG24" s="193">
        <f t="shared" si="6"/>
        <v>1.1364990835344011</v>
      </c>
      <c r="AH24" s="193">
        <f t="shared" si="7"/>
        <v>0.46140776653733695</v>
      </c>
      <c r="AI24" s="193">
        <f t="shared" si="8"/>
        <v>2.1407151005056475E-2</v>
      </c>
      <c r="AJ24" s="193">
        <f t="shared" si="9"/>
        <v>0.15712043434668174</v>
      </c>
      <c r="AK24" s="193">
        <f t="shared" si="10"/>
        <v>0.30428733219065512</v>
      </c>
      <c r="AL24" s="193">
        <f t="shared" si="11"/>
        <v>4.0459205537002531E-2</v>
      </c>
      <c r="AM24" s="138">
        <f>depths!$B$2</f>
        <v>1076.5</v>
      </c>
      <c r="AN24" s="43"/>
      <c r="AO24" s="505">
        <f t="shared" si="12"/>
        <v>461.40776653733695</v>
      </c>
      <c r="AP24" s="504">
        <v>1</v>
      </c>
      <c r="AQ24" s="505">
        <f t="shared" si="13"/>
        <v>21.407151005056477</v>
      </c>
      <c r="AR24" s="504">
        <v>1</v>
      </c>
      <c r="AS24" s="505">
        <f t="shared" si="14"/>
        <v>157.12043434668175</v>
      </c>
      <c r="AT24" s="504">
        <v>1</v>
      </c>
      <c r="AU24" s="505">
        <f t="shared" si="15"/>
        <v>304.28733219065515</v>
      </c>
      <c r="AV24" s="504">
        <v>1</v>
      </c>
      <c r="AW24" s="505">
        <f t="shared" si="16"/>
        <v>40.459205537002532</v>
      </c>
      <c r="AX24" s="504">
        <v>1</v>
      </c>
      <c r="AY24" s="505">
        <f t="shared" si="17"/>
        <v>7.3396237691586848</v>
      </c>
      <c r="AZ24" s="505">
        <f t="shared" si="18"/>
        <v>14.214284381830209</v>
      </c>
      <c r="BA24" s="505">
        <f>main!R25</f>
        <v>39.75</v>
      </c>
      <c r="BB24" s="506">
        <v>1</v>
      </c>
      <c r="BC24" s="505">
        <f>main!S25</f>
        <v>8.51</v>
      </c>
      <c r="BD24" s="506">
        <v>1</v>
      </c>
    </row>
    <row r="25" spans="1:56">
      <c r="A25" s="43">
        <f>main!A26</f>
        <v>2023</v>
      </c>
      <c r="B25" s="43" t="str">
        <f>main!B26</f>
        <v>47_1000</v>
      </c>
      <c r="C25" s="43">
        <v>20</v>
      </c>
      <c r="D25" s="43" t="str">
        <f>main!$B$6</f>
        <v>McLane-PARFLUX-Mark78H-21 ; frame# 2241, controller# 11640-01 and Motor # 11640-01 Cup set Dx21</v>
      </c>
      <c r="E25" s="43">
        <v>1000</v>
      </c>
      <c r="F25" s="502">
        <v>1</v>
      </c>
      <c r="G25" s="503">
        <f>main!E26</f>
        <v>498.24285714285713</v>
      </c>
      <c r="H25" s="193">
        <f>main!I26</f>
        <v>66.432380952380953</v>
      </c>
      <c r="I25" s="193">
        <f>main!J26</f>
        <v>24.264427142857144</v>
      </c>
      <c r="J25" s="504">
        <v>1</v>
      </c>
      <c r="K25" s="505">
        <f>main!AF26</f>
        <v>76.003566282960719</v>
      </c>
      <c r="L25" s="505">
        <f>main!AG26</f>
        <v>9.1201029411277421</v>
      </c>
      <c r="M25" s="504">
        <v>1</v>
      </c>
      <c r="N25" s="505">
        <f>main!M26</f>
        <v>14.146236419677734</v>
      </c>
      <c r="O25" s="504">
        <v>1</v>
      </c>
      <c r="P25" s="505">
        <f>main!O26</f>
        <v>0.87022620439529419</v>
      </c>
      <c r="Q25" s="504">
        <v>1</v>
      </c>
      <c r="R25" s="505">
        <f>main!AH26</f>
        <v>5.0261334785499923</v>
      </c>
      <c r="S25" s="504">
        <v>1</v>
      </c>
      <c r="T25" s="505">
        <f>main!AB26</f>
        <v>3.7609987044885154</v>
      </c>
      <c r="U25" s="504">
        <v>1</v>
      </c>
      <c r="V25" s="505">
        <f>main!AC26</f>
        <v>8.0455112905914881</v>
      </c>
      <c r="W25" s="505">
        <f t="shared" ref="W25:W68" si="19">(K25/100)*$I25</f>
        <v>18.441829966702141</v>
      </c>
      <c r="X25" s="505">
        <f t="shared" ref="X25:X68" si="20">(L25/100)*$I25</f>
        <v>2.2129407335035123</v>
      </c>
      <c r="Y25" s="505">
        <f t="shared" ref="Y25:Y68" si="21">(N25/100)*$I25</f>
        <v>3.432503229509027</v>
      </c>
      <c r="Z25" s="505">
        <f t="shared" ref="Z25:Z68" si="22">(P25/100)*$I25</f>
        <v>0.21115540334354727</v>
      </c>
      <c r="AA25" s="505">
        <f t="shared" ref="AA25:AA68" si="23">(R25/100)*$I25</f>
        <v>1.2195624960055143</v>
      </c>
      <c r="AB25" s="505">
        <f t="shared" ref="AB25:AB68" si="24">(V25/100)*$I25</f>
        <v>1.9521972253759172</v>
      </c>
      <c r="AC25" s="89">
        <f>main!T26</f>
        <v>45353</v>
      </c>
      <c r="AD25" s="89">
        <f>main!U26</f>
        <v>45368</v>
      </c>
      <c r="AE25" s="89">
        <f>main!V26</f>
        <v>45360.5</v>
      </c>
      <c r="AF25" s="503">
        <f>main!H26</f>
        <v>15</v>
      </c>
      <c r="AG25" s="193">
        <f t="shared" si="6"/>
        <v>0.91258479049441688</v>
      </c>
      <c r="AH25" s="193">
        <f t="shared" si="7"/>
        <v>0.2858037659874294</v>
      </c>
      <c r="AI25" s="193">
        <f t="shared" si="8"/>
        <v>1.5071763265064046E-2</v>
      </c>
      <c r="AJ25" s="193">
        <f t="shared" si="9"/>
        <v>0.10154558667822766</v>
      </c>
      <c r="AK25" s="193">
        <f t="shared" si="10"/>
        <v>0.18425817930920169</v>
      </c>
      <c r="AL25" s="193">
        <f t="shared" si="11"/>
        <v>3.2487888590046879E-2</v>
      </c>
      <c r="AM25" s="138">
        <f>depths!$B$2</f>
        <v>1076.5</v>
      </c>
      <c r="AN25" s="43"/>
      <c r="AO25" s="505">
        <f t="shared" si="12"/>
        <v>285.80376598742941</v>
      </c>
      <c r="AP25" s="504">
        <v>1</v>
      </c>
      <c r="AQ25" s="505">
        <f t="shared" si="13"/>
        <v>15.071763265064046</v>
      </c>
      <c r="AR25" s="504">
        <v>1</v>
      </c>
      <c r="AS25" s="505">
        <f t="shared" si="14"/>
        <v>101.54558667822766</v>
      </c>
      <c r="AT25" s="504">
        <v>1</v>
      </c>
      <c r="AU25" s="505">
        <f t="shared" si="15"/>
        <v>184.25817930920169</v>
      </c>
      <c r="AV25" s="504">
        <v>1</v>
      </c>
      <c r="AW25" s="505">
        <f t="shared" si="16"/>
        <v>32.487888590046879</v>
      </c>
      <c r="AX25" s="504">
        <v>1</v>
      </c>
      <c r="AY25" s="505">
        <f t="shared" si="17"/>
        <v>6.7374722447776021</v>
      </c>
      <c r="AZ25" s="505">
        <f t="shared" si="18"/>
        <v>12.225389695199588</v>
      </c>
      <c r="BA25" s="505">
        <f>main!R26</f>
        <v>39.24</v>
      </c>
      <c r="BB25" s="506">
        <v>1</v>
      </c>
      <c r="BC25" s="505">
        <f>main!S26</f>
        <v>8.4700000000000006</v>
      </c>
      <c r="BD25" s="506">
        <v>1</v>
      </c>
    </row>
    <row r="26" spans="1:56" s="268" customFormat="1" ht="15.75" thickBot="1">
      <c r="A26" s="426">
        <f>main!A27</f>
        <v>2023</v>
      </c>
      <c r="B26" s="426" t="str">
        <f>main!B27</f>
        <v>47_1000</v>
      </c>
      <c r="C26" s="426">
        <v>21</v>
      </c>
      <c r="D26" s="426" t="str">
        <f>main!$B$6</f>
        <v>McLane-PARFLUX-Mark78H-21 ; frame# 2241, controller# 11640-01 and Motor # 11640-01 Cup set Dx21</v>
      </c>
      <c r="E26" s="426">
        <v>1000</v>
      </c>
      <c r="F26" s="502">
        <v>1</v>
      </c>
      <c r="G26" s="507">
        <f>main!E27</f>
        <v>568.07142857142856</v>
      </c>
      <c r="H26" s="508">
        <f>main!I27</f>
        <v>75.742857142857147</v>
      </c>
      <c r="I26" s="508">
        <f>main!J27</f>
        <v>27.665078571428573</v>
      </c>
      <c r="J26" s="509">
        <v>1</v>
      </c>
      <c r="K26" s="510">
        <f>main!AF27</f>
        <v>80.171065139205055</v>
      </c>
      <c r="L26" s="510">
        <f>main!AG27</f>
        <v>9.6201849824687624</v>
      </c>
      <c r="M26" s="509">
        <v>1</v>
      </c>
      <c r="N26" s="510">
        <f>main!M27</f>
        <v>13.566348075866699</v>
      </c>
      <c r="O26" s="509">
        <v>1</v>
      </c>
      <c r="P26" s="510">
        <f>main!O27</f>
        <v>0.60380738973617554</v>
      </c>
      <c r="Q26" s="509">
        <v>1</v>
      </c>
      <c r="R26" s="510">
        <f>main!AH27</f>
        <v>3.9461630933979368</v>
      </c>
      <c r="S26" s="509">
        <v>1</v>
      </c>
      <c r="T26" s="510">
        <f>main!AB27</f>
        <v>3.2930572107687501</v>
      </c>
      <c r="U26" s="509">
        <v>1</v>
      </c>
      <c r="V26" s="510">
        <f>main!AC27</f>
        <v>7.0444929795334357</v>
      </c>
      <c r="W26" s="510">
        <f t="shared" si="19"/>
        <v>22.179388162312261</v>
      </c>
      <c r="X26" s="510">
        <f t="shared" si="20"/>
        <v>2.6614317341167553</v>
      </c>
      <c r="Y26" s="510">
        <f t="shared" si="21"/>
        <v>3.7531408544620106</v>
      </c>
      <c r="Z26" s="510">
        <f t="shared" si="22"/>
        <v>0.16704378879060491</v>
      </c>
      <c r="AA26" s="510">
        <f t="shared" si="23"/>
        <v>1.0917091203452556</v>
      </c>
      <c r="AB26" s="510">
        <f t="shared" si="24"/>
        <v>1.9488645177466948</v>
      </c>
      <c r="AC26" s="511">
        <f>main!T27</f>
        <v>45368</v>
      </c>
      <c r="AD26" s="511">
        <f>main!U27</f>
        <v>45383</v>
      </c>
      <c r="AE26" s="511">
        <f>main!V27</f>
        <v>45375.5</v>
      </c>
      <c r="AF26" s="507">
        <f>main!H27</f>
        <v>15</v>
      </c>
      <c r="AG26" s="508">
        <f t="shared" si="6"/>
        <v>0.91102686476126904</v>
      </c>
      <c r="AH26" s="508">
        <f t="shared" si="7"/>
        <v>0.31250132010507997</v>
      </c>
      <c r="AI26" s="508">
        <f t="shared" si="8"/>
        <v>1.1923182640300137E-2</v>
      </c>
      <c r="AJ26" s="508">
        <f t="shared" si="9"/>
        <v>9.0900010020420946E-2</v>
      </c>
      <c r="AK26" s="508">
        <f t="shared" si="10"/>
        <v>0.22160131008465905</v>
      </c>
      <c r="AL26" s="508">
        <f t="shared" si="11"/>
        <v>3.2432426655794558E-2</v>
      </c>
      <c r="AM26" s="553">
        <f>depths!$B$2</f>
        <v>1076.5</v>
      </c>
      <c r="AN26" s="426"/>
      <c r="AO26" s="510">
        <f t="shared" si="12"/>
        <v>312.50132010507997</v>
      </c>
      <c r="AP26" s="509">
        <v>1</v>
      </c>
      <c r="AQ26" s="510">
        <f t="shared" si="13"/>
        <v>11.923182640300137</v>
      </c>
      <c r="AR26" s="509">
        <v>1</v>
      </c>
      <c r="AS26" s="510">
        <f t="shared" si="14"/>
        <v>90.90001002042095</v>
      </c>
      <c r="AT26" s="509">
        <v>1</v>
      </c>
      <c r="AU26" s="510">
        <f>AK26*1000</f>
        <v>221.60131008465905</v>
      </c>
      <c r="AV26" s="509">
        <v>1</v>
      </c>
      <c r="AW26" s="510">
        <f t="shared" si="16"/>
        <v>32.432426655794558</v>
      </c>
      <c r="AX26" s="509">
        <v>1</v>
      </c>
      <c r="AY26" s="510">
        <f t="shared" si="17"/>
        <v>7.6238042108975668</v>
      </c>
      <c r="AZ26" s="510">
        <f t="shared" si="18"/>
        <v>18.585751537148372</v>
      </c>
      <c r="BA26" s="510">
        <f>main!R27</f>
        <v>39.020000000000003</v>
      </c>
      <c r="BB26" s="506">
        <v>1</v>
      </c>
      <c r="BC26" s="510">
        <f>main!S27</f>
        <v>8.5299999999999994</v>
      </c>
      <c r="BD26" s="506">
        <v>1</v>
      </c>
    </row>
    <row r="27" spans="1:56">
      <c r="A27" s="43">
        <f>main!A31</f>
        <v>2023</v>
      </c>
      <c r="B27" s="43" t="str">
        <f>main!B31</f>
        <v>47_2000</v>
      </c>
      <c r="C27" s="43">
        <v>1</v>
      </c>
      <c r="D27" s="43" t="str">
        <f>main!$B$30</f>
        <v>McLane-PARFLUX-Mark78H-21 ; frame# 14182-01, controller# 11741-01 and Motor # 14182-01 Cup set Ex21</v>
      </c>
      <c r="E27" s="43">
        <v>2000</v>
      </c>
      <c r="F27" s="502">
        <v>1</v>
      </c>
      <c r="G27" s="503">
        <f>main!E31</f>
        <v>857.89999999999986</v>
      </c>
      <c r="H27" s="193">
        <f>main!I31</f>
        <v>114.38666666666664</v>
      </c>
      <c r="I27" s="193">
        <f>main!J31</f>
        <v>41.779729999999994</v>
      </c>
      <c r="J27" s="500">
        <v>3</v>
      </c>
      <c r="K27" s="505">
        <f>main!AF31</f>
        <v>67.400786735375078</v>
      </c>
      <c r="L27" s="505">
        <f>main!AG31</f>
        <v>8.0878061833452186</v>
      </c>
      <c r="M27" s="504">
        <v>1</v>
      </c>
      <c r="N27" s="505">
        <f>main!M31</f>
        <v>13.613449573516846</v>
      </c>
      <c r="O27" s="504">
        <v>1</v>
      </c>
      <c r="P27" s="505">
        <f>main!O31</f>
        <v>0.8782477080821991</v>
      </c>
      <c r="Q27" s="504">
        <v>1</v>
      </c>
      <c r="R27" s="505">
        <f>main!AH31</f>
        <v>5.5256433901716271</v>
      </c>
      <c r="S27" s="504">
        <v>1</v>
      </c>
      <c r="T27" s="505">
        <f>main!AB31</f>
        <v>6.7327979373468292</v>
      </c>
      <c r="U27" s="504">
        <v>1</v>
      </c>
      <c r="V27" s="505">
        <f>main!AC31</f>
        <v>14.402770667681416</v>
      </c>
      <c r="W27" s="505">
        <f t="shared" si="19"/>
        <v>28.159866715915516</v>
      </c>
      <c r="X27" s="505">
        <f t="shared" si="20"/>
        <v>3.3790635863249365</v>
      </c>
      <c r="Y27" s="505">
        <f t="shared" si="21"/>
        <v>5.6876624755014884</v>
      </c>
      <c r="Z27" s="505">
        <f t="shared" si="22"/>
        <v>0.36692952116793093</v>
      </c>
      <c r="AA27" s="505">
        <f t="shared" si="23"/>
        <v>2.3085988891765519</v>
      </c>
      <c r="AB27" s="505">
        <f t="shared" si="24"/>
        <v>6.017438697476492</v>
      </c>
      <c r="AC27" s="89">
        <f>main!T31</f>
        <v>45068</v>
      </c>
      <c r="AD27" s="89">
        <f>main!U31</f>
        <v>45083</v>
      </c>
      <c r="AE27" s="89">
        <f>main!V31</f>
        <v>45075.5</v>
      </c>
      <c r="AF27" s="503">
        <f>main!H31</f>
        <v>15</v>
      </c>
      <c r="AG27" s="193">
        <f t="shared" si="6"/>
        <v>2.812944799669074</v>
      </c>
      <c r="AH27" s="193">
        <f t="shared" si="7"/>
        <v>0.47357722527073176</v>
      </c>
      <c r="AI27" s="193">
        <f t="shared" si="8"/>
        <v>2.6190543980580367E-2</v>
      </c>
      <c r="AJ27" s="193">
        <f t="shared" si="9"/>
        <v>0.19222305488564129</v>
      </c>
      <c r="AK27" s="193">
        <f t="shared" si="10"/>
        <v>0.28135417038509047</v>
      </c>
      <c r="AL27" s="193">
        <f t="shared" si="11"/>
        <v>0.10014043430648181</v>
      </c>
      <c r="AM27" s="138">
        <f>depths!$B$3</f>
        <v>2080.1999999999998</v>
      </c>
      <c r="AN27" s="43"/>
      <c r="AO27" s="505">
        <f t="shared" ref="AO27:AO68" si="25">AH27*1000</f>
        <v>473.57722527073179</v>
      </c>
      <c r="AP27" s="504">
        <v>3</v>
      </c>
      <c r="AQ27" s="505">
        <f t="shared" ref="AQ27:AQ68" si="26">AI27*1000</f>
        <v>26.190543980580369</v>
      </c>
      <c r="AR27" s="504">
        <v>3</v>
      </c>
      <c r="AS27" s="505">
        <f t="shared" ref="AS27:AS68" si="27">AJ27*1000</f>
        <v>192.22305488564129</v>
      </c>
      <c r="AT27" s="504">
        <v>3</v>
      </c>
      <c r="AU27" s="505">
        <f t="shared" ref="AU27:AU68" si="28">AK27*1000</f>
        <v>281.35417038509047</v>
      </c>
      <c r="AV27" s="504">
        <v>1</v>
      </c>
      <c r="AW27" s="505">
        <f t="shared" ref="AW27:AW68" si="29">AL27*1000</f>
        <v>100.14043430648181</v>
      </c>
      <c r="AX27" s="504">
        <v>3</v>
      </c>
      <c r="AY27" s="505">
        <f t="shared" ref="AY27:AY48" si="30">AS27/AQ27</f>
        <v>7.339406735047957</v>
      </c>
      <c r="AZ27" s="505">
        <f t="shared" ref="AZ27:AZ48" si="31">AU27/AQ27</f>
        <v>10.742585972773515</v>
      </c>
      <c r="BA27" s="505">
        <f>main!R31</f>
        <v>39.86</v>
      </c>
      <c r="BB27" s="506">
        <v>1</v>
      </c>
      <c r="BC27" s="505">
        <f>main!S31</f>
        <v>8.3000000000000007</v>
      </c>
      <c r="BD27" s="506">
        <v>1</v>
      </c>
    </row>
    <row r="28" spans="1:56">
      <c r="A28" s="43">
        <f>main!A32</f>
        <v>2023</v>
      </c>
      <c r="B28" s="43" t="str">
        <f>main!B32</f>
        <v>47_2000</v>
      </c>
      <c r="C28" s="43">
        <v>2</v>
      </c>
      <c r="D28" s="43" t="str">
        <f>main!$B$30</f>
        <v>McLane-PARFLUX-Mark78H-21 ; frame# 14182-01, controller# 11741-01 and Motor # 14182-01 Cup set Ex21</v>
      </c>
      <c r="E28" s="43">
        <v>2000</v>
      </c>
      <c r="F28" s="502">
        <v>4</v>
      </c>
      <c r="G28" s="503">
        <f>main!E32</f>
        <v>371.57142857142856</v>
      </c>
      <c r="H28" s="193">
        <f>main!I32</f>
        <v>49.542857142857137</v>
      </c>
      <c r="I28" s="193">
        <f>main!J32</f>
        <v>18.095528571428574</v>
      </c>
      <c r="J28" s="500">
        <v>4</v>
      </c>
      <c r="K28" s="505">
        <f>main!AF32</f>
        <v>42.643121428578624</v>
      </c>
      <c r="L28" s="505">
        <f>main!AG32</f>
        <v>5.1169922173354276</v>
      </c>
      <c r="M28" s="504">
        <v>4</v>
      </c>
      <c r="N28" s="505">
        <f>main!M32</f>
        <v>27.487150192260742</v>
      </c>
      <c r="O28" s="504">
        <v>4</v>
      </c>
      <c r="P28" s="505">
        <f>main!O32</f>
        <v>5.2049813270568848</v>
      </c>
      <c r="Q28" s="504">
        <v>4</v>
      </c>
      <c r="R28" s="505">
        <f>main!AH32</f>
        <v>22.370157974925313</v>
      </c>
      <c r="S28" s="504">
        <v>4</v>
      </c>
      <c r="T28" s="505">
        <f>main!AB32</f>
        <v>2.4811494270211876</v>
      </c>
      <c r="U28" s="504">
        <v>4</v>
      </c>
      <c r="V28" s="505">
        <f>main!AC32</f>
        <v>5.3076635482272412</v>
      </c>
      <c r="W28" s="505">
        <f t="shared" si="19"/>
        <v>7.7164982218574254</v>
      </c>
      <c r="X28" s="505">
        <f t="shared" si="20"/>
        <v>0.92594678868570879</v>
      </c>
      <c r="Y28" s="505">
        <f t="shared" si="21"/>
        <v>4.9739451165120263</v>
      </c>
      <c r="Z28" s="505">
        <f t="shared" si="22"/>
        <v>0.94186888317510065</v>
      </c>
      <c r="AA28" s="505">
        <f t="shared" si="23"/>
        <v>4.047998327826317</v>
      </c>
      <c r="AB28" s="505">
        <f t="shared" si="24"/>
        <v>0.96044977384476005</v>
      </c>
      <c r="AC28" s="89">
        <f>main!T32</f>
        <v>45083</v>
      </c>
      <c r="AD28" s="89">
        <f>main!U32</f>
        <v>45098</v>
      </c>
      <c r="AE28" s="89">
        <f>main!V32</f>
        <v>45090.5</v>
      </c>
      <c r="AF28" s="503">
        <f>main!H32</f>
        <v>15</v>
      </c>
      <c r="AG28" s="193">
        <f t="shared" si="6"/>
        <v>0.44897710346645536</v>
      </c>
      <c r="AH28" s="193">
        <f t="shared" si="7"/>
        <v>0.41415030112506462</v>
      </c>
      <c r="AI28" s="193">
        <f t="shared" si="8"/>
        <v>6.7228328563533238E-2</v>
      </c>
      <c r="AJ28" s="193">
        <f t="shared" si="9"/>
        <v>0.33705231705464755</v>
      </c>
      <c r="AK28" s="193">
        <f t="shared" si="10"/>
        <v>7.7097984070417055E-2</v>
      </c>
      <c r="AL28" s="193">
        <f t="shared" si="11"/>
        <v>1.5983520949322014E-2</v>
      </c>
      <c r="AM28" s="138">
        <f>depths!$B$3</f>
        <v>2080.1999999999998</v>
      </c>
      <c r="AN28" s="43"/>
      <c r="AO28" s="505">
        <f t="shared" si="25"/>
        <v>414.15030112506463</v>
      </c>
      <c r="AP28" s="504">
        <v>4</v>
      </c>
      <c r="AQ28" s="505">
        <f t="shared" si="26"/>
        <v>67.228328563533239</v>
      </c>
      <c r="AR28" s="504">
        <v>4</v>
      </c>
      <c r="AS28" s="505">
        <f t="shared" si="27"/>
        <v>337.05231705464757</v>
      </c>
      <c r="AT28" s="504">
        <v>4</v>
      </c>
      <c r="AU28" s="505">
        <f t="shared" si="28"/>
        <v>77.097984070417056</v>
      </c>
      <c r="AV28" s="504">
        <v>4</v>
      </c>
      <c r="AW28" s="505">
        <f t="shared" si="29"/>
        <v>15.983520949322015</v>
      </c>
      <c r="AX28" s="504">
        <v>4</v>
      </c>
      <c r="AY28" s="505">
        <f t="shared" si="30"/>
        <v>5.0135459895618375</v>
      </c>
      <c r="AZ28" s="505">
        <f t="shared" si="31"/>
        <v>1.1468079858263416</v>
      </c>
      <c r="BA28" s="505">
        <f>main!R32</f>
        <v>36.76</v>
      </c>
      <c r="BB28" s="506">
        <v>1</v>
      </c>
      <c r="BC28" s="505">
        <f>main!S32</f>
        <v>8.52</v>
      </c>
      <c r="BD28" s="506">
        <v>1</v>
      </c>
    </row>
    <row r="29" spans="1:56">
      <c r="A29" s="43">
        <f>main!A33</f>
        <v>2023</v>
      </c>
      <c r="B29" s="43" t="str">
        <f>main!B33</f>
        <v>47_2000</v>
      </c>
      <c r="C29" s="43">
        <v>3</v>
      </c>
      <c r="D29" s="43" t="str">
        <f>main!$B$30</f>
        <v>McLane-PARFLUX-Mark78H-21 ; frame# 14182-01, controller# 11741-01 and Motor # 14182-01 Cup set Ex21</v>
      </c>
      <c r="E29" s="43">
        <v>2000</v>
      </c>
      <c r="F29" s="502">
        <v>4</v>
      </c>
      <c r="G29" s="503">
        <f>main!E33</f>
        <v>75.971428571428561</v>
      </c>
      <c r="H29" s="193">
        <f>main!I33</f>
        <v>10.129523809523809</v>
      </c>
      <c r="I29" s="193">
        <f>main!J33</f>
        <v>3.6998085714285711</v>
      </c>
      <c r="J29" s="500">
        <v>4</v>
      </c>
      <c r="K29" s="505" t="s">
        <v>2328</v>
      </c>
      <c r="L29" s="505" t="s">
        <v>2328</v>
      </c>
      <c r="M29" s="504">
        <v>9</v>
      </c>
      <c r="N29" s="505" t="str">
        <f>main!M33</f>
        <v>NaN</v>
      </c>
      <c r="O29" s="504">
        <v>9</v>
      </c>
      <c r="P29" s="505" t="str">
        <f>main!O33</f>
        <v>NaN</v>
      </c>
      <c r="Q29" s="504">
        <v>9</v>
      </c>
      <c r="R29" s="505" t="s">
        <v>2328</v>
      </c>
      <c r="S29" s="504">
        <v>9</v>
      </c>
      <c r="T29" s="505" t="str">
        <f>main!AB33</f>
        <v>NaN</v>
      </c>
      <c r="U29" s="504">
        <v>9</v>
      </c>
      <c r="V29" s="505" t="s">
        <v>2328</v>
      </c>
      <c r="W29" s="505" t="s">
        <v>2328</v>
      </c>
      <c r="X29" s="505" t="s">
        <v>2328</v>
      </c>
      <c r="Y29" s="505" t="s">
        <v>2328</v>
      </c>
      <c r="Z29" s="505" t="s">
        <v>2328</v>
      </c>
      <c r="AA29" s="505" t="s">
        <v>2328</v>
      </c>
      <c r="AB29" s="505" t="s">
        <v>2328</v>
      </c>
      <c r="AC29" s="89">
        <f>main!T33</f>
        <v>45098</v>
      </c>
      <c r="AD29" s="89">
        <f>main!U33</f>
        <v>45113</v>
      </c>
      <c r="AE29" s="89">
        <f>main!V33</f>
        <v>45105.5</v>
      </c>
      <c r="AF29" s="503">
        <f>main!H33</f>
        <v>15</v>
      </c>
      <c r="AG29" s="505" t="s">
        <v>2328</v>
      </c>
      <c r="AH29" s="505" t="s">
        <v>2328</v>
      </c>
      <c r="AI29" s="505" t="s">
        <v>2328</v>
      </c>
      <c r="AJ29" s="505" t="s">
        <v>2328</v>
      </c>
      <c r="AK29" s="505" t="s">
        <v>2328</v>
      </c>
      <c r="AL29" s="505" t="s">
        <v>2328</v>
      </c>
      <c r="AM29" s="138">
        <f>depths!$B$3</f>
        <v>2080.1999999999998</v>
      </c>
      <c r="AN29" s="43"/>
      <c r="AO29" s="505" t="s">
        <v>2328</v>
      </c>
      <c r="AP29" s="504">
        <v>9</v>
      </c>
      <c r="AQ29" s="505" t="s">
        <v>2328</v>
      </c>
      <c r="AR29" s="504">
        <v>9</v>
      </c>
      <c r="AS29" s="505" t="s">
        <v>2328</v>
      </c>
      <c r="AT29" s="504">
        <v>9</v>
      </c>
      <c r="AU29" s="505" t="s">
        <v>2328</v>
      </c>
      <c r="AV29" s="504">
        <v>9</v>
      </c>
      <c r="AW29" s="505" t="s">
        <v>2328</v>
      </c>
      <c r="AX29" s="504">
        <v>9</v>
      </c>
      <c r="AY29" s="505" t="s">
        <v>2328</v>
      </c>
      <c r="AZ29" s="505" t="s">
        <v>2328</v>
      </c>
      <c r="BA29" s="505">
        <f>main!R33</f>
        <v>41.155000000000001</v>
      </c>
      <c r="BB29" s="506">
        <v>1</v>
      </c>
      <c r="BC29" s="505">
        <f>main!S33</f>
        <v>8.4600000000000009</v>
      </c>
      <c r="BD29" s="506">
        <v>1</v>
      </c>
    </row>
    <row r="30" spans="1:56">
      <c r="A30" s="43">
        <f>main!A34</f>
        <v>2023</v>
      </c>
      <c r="B30" s="43" t="str">
        <f>main!B34</f>
        <v>47_2000</v>
      </c>
      <c r="C30" s="43">
        <v>4</v>
      </c>
      <c r="D30" s="43" t="str">
        <f>main!$B$30</f>
        <v>McLane-PARFLUX-Mark78H-21 ; frame# 14182-01, controller# 11741-01 and Motor # 14182-01 Cup set Ex21</v>
      </c>
      <c r="E30" s="43">
        <v>2000</v>
      </c>
      <c r="F30" s="502">
        <v>4</v>
      </c>
      <c r="G30" s="503">
        <f>main!E34</f>
        <v>65.028571428571425</v>
      </c>
      <c r="H30" s="193">
        <f>main!I34</f>
        <v>8.6704761904761902</v>
      </c>
      <c r="I30" s="193">
        <f>main!J34</f>
        <v>3.1668914285714282</v>
      </c>
      <c r="J30" s="500">
        <v>4</v>
      </c>
      <c r="K30" s="505" t="s">
        <v>2328</v>
      </c>
      <c r="L30" s="505" t="s">
        <v>2328</v>
      </c>
      <c r="M30" s="504">
        <v>9</v>
      </c>
      <c r="N30" s="505" t="str">
        <f>main!M34</f>
        <v>NaN</v>
      </c>
      <c r="O30" s="504">
        <v>9</v>
      </c>
      <c r="P30" s="505" t="str">
        <f>main!O34</f>
        <v>NaN</v>
      </c>
      <c r="Q30" s="504">
        <v>9</v>
      </c>
      <c r="R30" s="505" t="s">
        <v>2328</v>
      </c>
      <c r="S30" s="504">
        <v>9</v>
      </c>
      <c r="T30" s="505" t="str">
        <f>main!AB34</f>
        <v>NaN</v>
      </c>
      <c r="U30" s="504">
        <v>9</v>
      </c>
      <c r="V30" s="505" t="s">
        <v>2328</v>
      </c>
      <c r="W30" s="505" t="s">
        <v>2328</v>
      </c>
      <c r="X30" s="505" t="s">
        <v>2328</v>
      </c>
      <c r="Y30" s="505" t="s">
        <v>2328</v>
      </c>
      <c r="Z30" s="505" t="s">
        <v>2328</v>
      </c>
      <c r="AA30" s="505" t="s">
        <v>2328</v>
      </c>
      <c r="AB30" s="505" t="s">
        <v>2328</v>
      </c>
      <c r="AC30" s="89">
        <f>main!T34</f>
        <v>45113</v>
      </c>
      <c r="AD30" s="89">
        <f>main!U34</f>
        <v>45128</v>
      </c>
      <c r="AE30" s="89">
        <f>main!V34</f>
        <v>45120.5</v>
      </c>
      <c r="AF30" s="503">
        <f>main!H34</f>
        <v>15</v>
      </c>
      <c r="AG30" s="505" t="s">
        <v>2328</v>
      </c>
      <c r="AH30" s="505" t="s">
        <v>2328</v>
      </c>
      <c r="AI30" s="505" t="s">
        <v>2328</v>
      </c>
      <c r="AJ30" s="505" t="s">
        <v>2328</v>
      </c>
      <c r="AK30" s="505" t="s">
        <v>2328</v>
      </c>
      <c r="AL30" s="505" t="s">
        <v>2328</v>
      </c>
      <c r="AM30" s="138">
        <f>depths!$B$3</f>
        <v>2080.1999999999998</v>
      </c>
      <c r="AN30" s="43"/>
      <c r="AO30" s="505" t="s">
        <v>2328</v>
      </c>
      <c r="AP30" s="504">
        <v>9</v>
      </c>
      <c r="AQ30" s="505" t="s">
        <v>2328</v>
      </c>
      <c r="AR30" s="504">
        <v>9</v>
      </c>
      <c r="AS30" s="505" t="s">
        <v>2328</v>
      </c>
      <c r="AT30" s="504">
        <v>9</v>
      </c>
      <c r="AU30" s="505" t="s">
        <v>2328</v>
      </c>
      <c r="AV30" s="504">
        <v>9</v>
      </c>
      <c r="AW30" s="505" t="s">
        <v>2328</v>
      </c>
      <c r="AX30" s="504">
        <v>9</v>
      </c>
      <c r="AY30" s="505" t="s">
        <v>2328</v>
      </c>
      <c r="AZ30" s="505" t="s">
        <v>2328</v>
      </c>
      <c r="BA30" s="505">
        <f>main!R34</f>
        <v>40.98</v>
      </c>
      <c r="BB30" s="506">
        <v>1</v>
      </c>
      <c r="BC30" s="505">
        <f>main!S34</f>
        <v>8.4499999999999993</v>
      </c>
      <c r="BD30" s="506">
        <v>1</v>
      </c>
    </row>
    <row r="31" spans="1:56">
      <c r="A31" s="43">
        <f>main!A35</f>
        <v>2023</v>
      </c>
      <c r="B31" s="43" t="str">
        <f>main!B35</f>
        <v>47_2000</v>
      </c>
      <c r="C31" s="43">
        <v>5</v>
      </c>
      <c r="D31" s="43" t="str">
        <f>main!$B$30</f>
        <v>McLane-PARFLUX-Mark78H-21 ; frame# 14182-01, controller# 11741-01 and Motor # 14182-01 Cup set Ex21</v>
      </c>
      <c r="E31" s="43">
        <v>2000</v>
      </c>
      <c r="F31" s="502">
        <v>4</v>
      </c>
      <c r="G31" s="503">
        <f>main!E35</f>
        <v>163.44285714285715</v>
      </c>
      <c r="H31" s="193">
        <f>main!I35</f>
        <v>21.792380952380952</v>
      </c>
      <c r="I31" s="193">
        <f>main!J35</f>
        <v>7.9596671428571435</v>
      </c>
      <c r="J31" s="500">
        <v>4</v>
      </c>
      <c r="K31" s="505" t="s">
        <v>2328</v>
      </c>
      <c r="L31" s="505" t="s">
        <v>2328</v>
      </c>
      <c r="M31" s="504">
        <v>9</v>
      </c>
      <c r="N31" s="505" t="str">
        <f>main!M35</f>
        <v>NaN</v>
      </c>
      <c r="O31" s="504">
        <v>9</v>
      </c>
      <c r="P31" s="505" t="str">
        <f>main!O35</f>
        <v>NaN</v>
      </c>
      <c r="Q31" s="504">
        <v>9</v>
      </c>
      <c r="R31" s="505" t="s">
        <v>2328</v>
      </c>
      <c r="S31" s="504">
        <v>9</v>
      </c>
      <c r="T31" s="505" t="str">
        <f>main!AB35</f>
        <v>NaN</v>
      </c>
      <c r="U31" s="504">
        <v>9</v>
      </c>
      <c r="V31" s="505" t="s">
        <v>2328</v>
      </c>
      <c r="W31" s="505" t="s">
        <v>2328</v>
      </c>
      <c r="X31" s="505" t="s">
        <v>2328</v>
      </c>
      <c r="Y31" s="505" t="s">
        <v>2328</v>
      </c>
      <c r="Z31" s="505" t="s">
        <v>2328</v>
      </c>
      <c r="AA31" s="505" t="s">
        <v>2328</v>
      </c>
      <c r="AB31" s="505" t="s">
        <v>2328</v>
      </c>
      <c r="AC31" s="89">
        <f>main!T35</f>
        <v>45128</v>
      </c>
      <c r="AD31" s="89">
        <f>main!U35</f>
        <v>45143</v>
      </c>
      <c r="AE31" s="89">
        <f>main!V35</f>
        <v>45135.5</v>
      </c>
      <c r="AF31" s="503">
        <f>main!H35</f>
        <v>15</v>
      </c>
      <c r="AG31" s="505" t="s">
        <v>2328</v>
      </c>
      <c r="AH31" s="505" t="s">
        <v>2328</v>
      </c>
      <c r="AI31" s="505" t="s">
        <v>2328</v>
      </c>
      <c r="AJ31" s="505" t="s">
        <v>2328</v>
      </c>
      <c r="AK31" s="505" t="s">
        <v>2328</v>
      </c>
      <c r="AL31" s="505" t="s">
        <v>2328</v>
      </c>
      <c r="AM31" s="138">
        <f>depths!$B$3</f>
        <v>2080.1999999999998</v>
      </c>
      <c r="AN31" s="43"/>
      <c r="AO31" s="505" t="s">
        <v>2328</v>
      </c>
      <c r="AP31" s="504">
        <v>9</v>
      </c>
      <c r="AQ31" s="505" t="s">
        <v>2328</v>
      </c>
      <c r="AR31" s="504">
        <v>9</v>
      </c>
      <c r="AS31" s="505" t="s">
        <v>2328</v>
      </c>
      <c r="AT31" s="504">
        <v>9</v>
      </c>
      <c r="AU31" s="505" t="s">
        <v>2328</v>
      </c>
      <c r="AV31" s="504">
        <v>9</v>
      </c>
      <c r="AW31" s="505" t="s">
        <v>2328</v>
      </c>
      <c r="AX31" s="504">
        <v>9</v>
      </c>
      <c r="AY31" s="505" t="s">
        <v>2328</v>
      </c>
      <c r="AZ31" s="505" t="s">
        <v>2328</v>
      </c>
      <c r="BA31" s="505">
        <f>main!R35</f>
        <v>41.2</v>
      </c>
      <c r="BB31" s="506">
        <v>1</v>
      </c>
      <c r="BC31" s="505">
        <f>main!S35</f>
        <v>8.27</v>
      </c>
      <c r="BD31" s="506">
        <v>1</v>
      </c>
    </row>
    <row r="32" spans="1:56">
      <c r="A32" s="43">
        <f>main!A36</f>
        <v>2023</v>
      </c>
      <c r="B32" s="43" t="str">
        <f>main!B36</f>
        <v>47_2000</v>
      </c>
      <c r="C32" s="43">
        <v>6</v>
      </c>
      <c r="D32" s="43" t="str">
        <f>main!$B$30</f>
        <v>McLane-PARFLUX-Mark78H-21 ; frame# 14182-01, controller# 11741-01 and Motor # 14182-01 Cup set Ex21</v>
      </c>
      <c r="E32" s="43">
        <v>2000</v>
      </c>
      <c r="F32" s="502">
        <v>4</v>
      </c>
      <c r="G32" s="503">
        <f>main!E36</f>
        <v>94.442857142857136</v>
      </c>
      <c r="H32" s="193">
        <f>main!I36</f>
        <v>12.592380952380951</v>
      </c>
      <c r="I32" s="193">
        <f>main!J36</f>
        <v>4.599367142857143</v>
      </c>
      <c r="J32" s="500">
        <v>4</v>
      </c>
      <c r="K32" s="505" t="s">
        <v>2328</v>
      </c>
      <c r="L32" s="505" t="s">
        <v>2328</v>
      </c>
      <c r="M32" s="504">
        <v>9</v>
      </c>
      <c r="N32" s="505" t="str">
        <f>main!M36</f>
        <v>NaN</v>
      </c>
      <c r="O32" s="504">
        <v>9</v>
      </c>
      <c r="P32" s="505" t="str">
        <f>main!O36</f>
        <v>NaN</v>
      </c>
      <c r="Q32" s="504">
        <v>9</v>
      </c>
      <c r="R32" s="505" t="s">
        <v>2328</v>
      </c>
      <c r="S32" s="504">
        <v>9</v>
      </c>
      <c r="T32" s="505" t="str">
        <f>main!AB36</f>
        <v>NaN</v>
      </c>
      <c r="U32" s="504">
        <v>9</v>
      </c>
      <c r="V32" s="505" t="s">
        <v>2328</v>
      </c>
      <c r="W32" s="505" t="s">
        <v>2328</v>
      </c>
      <c r="X32" s="505" t="s">
        <v>2328</v>
      </c>
      <c r="Y32" s="505" t="s">
        <v>2328</v>
      </c>
      <c r="Z32" s="505" t="s">
        <v>2328</v>
      </c>
      <c r="AA32" s="505" t="s">
        <v>2328</v>
      </c>
      <c r="AB32" s="505" t="s">
        <v>2328</v>
      </c>
      <c r="AC32" s="89">
        <f>main!T36</f>
        <v>45143</v>
      </c>
      <c r="AD32" s="89">
        <f>main!U36</f>
        <v>45158</v>
      </c>
      <c r="AE32" s="89">
        <f>main!V36</f>
        <v>45150.5</v>
      </c>
      <c r="AF32" s="503">
        <f>main!H36</f>
        <v>15</v>
      </c>
      <c r="AG32" s="505" t="s">
        <v>2328</v>
      </c>
      <c r="AH32" s="505" t="s">
        <v>2328</v>
      </c>
      <c r="AI32" s="505" t="s">
        <v>2328</v>
      </c>
      <c r="AJ32" s="505" t="s">
        <v>2328</v>
      </c>
      <c r="AK32" s="505" t="s">
        <v>2328</v>
      </c>
      <c r="AL32" s="505" t="s">
        <v>2328</v>
      </c>
      <c r="AM32" s="138">
        <f>depths!$B$3</f>
        <v>2080.1999999999998</v>
      </c>
      <c r="AN32" s="43"/>
      <c r="AO32" s="505" t="s">
        <v>2328</v>
      </c>
      <c r="AP32" s="504">
        <v>9</v>
      </c>
      <c r="AQ32" s="505" t="s">
        <v>2328</v>
      </c>
      <c r="AR32" s="504">
        <v>9</v>
      </c>
      <c r="AS32" s="505" t="s">
        <v>2328</v>
      </c>
      <c r="AT32" s="504">
        <v>9</v>
      </c>
      <c r="AU32" s="505" t="s">
        <v>2328</v>
      </c>
      <c r="AV32" s="504">
        <v>9</v>
      </c>
      <c r="AW32" s="505" t="s">
        <v>2328</v>
      </c>
      <c r="AX32" s="504">
        <v>9</v>
      </c>
      <c r="AY32" s="505" t="s">
        <v>2328</v>
      </c>
      <c r="AZ32" s="505" t="s">
        <v>2328</v>
      </c>
      <c r="BA32" s="505">
        <f>main!R36</f>
        <v>40.96</v>
      </c>
      <c r="BB32" s="506">
        <v>1</v>
      </c>
      <c r="BC32" s="505">
        <f>main!S36</f>
        <v>8.4499999999999993</v>
      </c>
      <c r="BD32" s="506">
        <v>1</v>
      </c>
    </row>
    <row r="33" spans="1:56">
      <c r="A33" s="43">
        <f>main!A37</f>
        <v>2023</v>
      </c>
      <c r="B33" s="43" t="str">
        <f>main!B37</f>
        <v>47_2000</v>
      </c>
      <c r="C33" s="43">
        <v>7</v>
      </c>
      <c r="D33" s="43" t="str">
        <f>main!$B$30</f>
        <v>McLane-PARFLUX-Mark78H-21 ; frame# 14182-01, controller# 11741-01 and Motor # 14182-01 Cup set Ex21</v>
      </c>
      <c r="E33" s="43">
        <v>2000</v>
      </c>
      <c r="F33" s="502">
        <v>4</v>
      </c>
      <c r="G33" s="503">
        <f>main!E37</f>
        <v>25.085714285714289</v>
      </c>
      <c r="H33" s="193">
        <f>main!I37</f>
        <v>3.344761904761905</v>
      </c>
      <c r="I33" s="193">
        <f>main!J37</f>
        <v>1.2216742857142859</v>
      </c>
      <c r="J33" s="500">
        <v>4</v>
      </c>
      <c r="K33" s="505" t="s">
        <v>2328</v>
      </c>
      <c r="L33" s="505" t="s">
        <v>2328</v>
      </c>
      <c r="M33" s="504">
        <v>9</v>
      </c>
      <c r="N33" s="505" t="str">
        <f>main!M37</f>
        <v>NaN</v>
      </c>
      <c r="O33" s="504">
        <v>9</v>
      </c>
      <c r="P33" s="505" t="str">
        <f>main!O37</f>
        <v>NaN</v>
      </c>
      <c r="Q33" s="504">
        <v>9</v>
      </c>
      <c r="R33" s="505" t="s">
        <v>2328</v>
      </c>
      <c r="S33" s="504">
        <v>9</v>
      </c>
      <c r="T33" s="505" t="str">
        <f>main!AB37</f>
        <v>NaN</v>
      </c>
      <c r="U33" s="504">
        <v>9</v>
      </c>
      <c r="V33" s="505" t="s">
        <v>2328</v>
      </c>
      <c r="W33" s="505" t="s">
        <v>2328</v>
      </c>
      <c r="X33" s="505" t="s">
        <v>2328</v>
      </c>
      <c r="Y33" s="505" t="s">
        <v>2328</v>
      </c>
      <c r="Z33" s="505" t="s">
        <v>2328</v>
      </c>
      <c r="AA33" s="505" t="s">
        <v>2328</v>
      </c>
      <c r="AB33" s="505" t="s">
        <v>2328</v>
      </c>
      <c r="AC33" s="89">
        <f>main!T37</f>
        <v>45158</v>
      </c>
      <c r="AD33" s="89">
        <f>main!U37</f>
        <v>45173</v>
      </c>
      <c r="AE33" s="89">
        <f>main!V37</f>
        <v>45165.5</v>
      </c>
      <c r="AF33" s="503">
        <f>main!H37</f>
        <v>15</v>
      </c>
      <c r="AG33" s="505" t="s">
        <v>2328</v>
      </c>
      <c r="AH33" s="505" t="s">
        <v>2328</v>
      </c>
      <c r="AI33" s="505" t="s">
        <v>2328</v>
      </c>
      <c r="AJ33" s="505" t="s">
        <v>2328</v>
      </c>
      <c r="AK33" s="505" t="s">
        <v>2328</v>
      </c>
      <c r="AL33" s="505" t="s">
        <v>2328</v>
      </c>
      <c r="AM33" s="138">
        <f>depths!$B$3</f>
        <v>2080.1999999999998</v>
      </c>
      <c r="AN33" s="43"/>
      <c r="AO33" s="505" t="s">
        <v>2328</v>
      </c>
      <c r="AP33" s="504">
        <v>9</v>
      </c>
      <c r="AQ33" s="505" t="s">
        <v>2328</v>
      </c>
      <c r="AR33" s="504">
        <v>9</v>
      </c>
      <c r="AS33" s="505" t="s">
        <v>2328</v>
      </c>
      <c r="AT33" s="504">
        <v>9</v>
      </c>
      <c r="AU33" s="505" t="s">
        <v>2328</v>
      </c>
      <c r="AV33" s="504">
        <v>9</v>
      </c>
      <c r="AW33" s="505" t="s">
        <v>2328</v>
      </c>
      <c r="AX33" s="504">
        <v>9</v>
      </c>
      <c r="AY33" s="505" t="s">
        <v>2328</v>
      </c>
      <c r="AZ33" s="505" t="s">
        <v>2328</v>
      </c>
      <c r="BA33" s="505">
        <f>main!R37</f>
        <v>41.08</v>
      </c>
      <c r="BB33" s="506">
        <v>1</v>
      </c>
      <c r="BC33" s="505">
        <f>main!S37</f>
        <v>8.59</v>
      </c>
      <c r="BD33" s="506">
        <v>1</v>
      </c>
    </row>
    <row r="34" spans="1:56">
      <c r="A34" s="43">
        <f>main!A38</f>
        <v>2023</v>
      </c>
      <c r="B34" s="43" t="str">
        <f>main!B38</f>
        <v>47_2000</v>
      </c>
      <c r="C34" s="43">
        <v>8</v>
      </c>
      <c r="D34" s="43" t="str">
        <f>main!$B$30</f>
        <v>McLane-PARFLUX-Mark78H-21 ; frame# 14182-01, controller# 11741-01 and Motor # 14182-01 Cup set Ex21</v>
      </c>
      <c r="E34" s="43">
        <v>2000</v>
      </c>
      <c r="F34" s="502">
        <v>4</v>
      </c>
      <c r="G34" s="503">
        <f>main!E38</f>
        <v>30.48571428571428</v>
      </c>
      <c r="H34" s="193">
        <f>main!I38</f>
        <v>4.0647619047619044</v>
      </c>
      <c r="I34" s="193">
        <f>main!J38</f>
        <v>1.4846542857142855</v>
      </c>
      <c r="J34" s="500">
        <v>4</v>
      </c>
      <c r="K34" s="505" t="s">
        <v>2328</v>
      </c>
      <c r="L34" s="505" t="s">
        <v>2328</v>
      </c>
      <c r="M34" s="504">
        <v>9</v>
      </c>
      <c r="N34" s="505" t="str">
        <f>main!M38</f>
        <v>NaN</v>
      </c>
      <c r="O34" s="504">
        <v>9</v>
      </c>
      <c r="P34" s="505" t="str">
        <f>main!O38</f>
        <v>NaN</v>
      </c>
      <c r="Q34" s="504">
        <v>9</v>
      </c>
      <c r="R34" s="505" t="s">
        <v>2328</v>
      </c>
      <c r="S34" s="504">
        <v>9</v>
      </c>
      <c r="T34" s="505" t="str">
        <f>main!AB38</f>
        <v>NaN</v>
      </c>
      <c r="U34" s="504">
        <v>9</v>
      </c>
      <c r="V34" s="505" t="s">
        <v>2328</v>
      </c>
      <c r="W34" s="505" t="s">
        <v>2328</v>
      </c>
      <c r="X34" s="505" t="s">
        <v>2328</v>
      </c>
      <c r="Y34" s="505" t="s">
        <v>2328</v>
      </c>
      <c r="Z34" s="505" t="s">
        <v>2328</v>
      </c>
      <c r="AA34" s="505" t="s">
        <v>2328</v>
      </c>
      <c r="AB34" s="505" t="s">
        <v>2328</v>
      </c>
      <c r="AC34" s="89">
        <f>main!T38</f>
        <v>45173</v>
      </c>
      <c r="AD34" s="89">
        <f>main!U38</f>
        <v>45188</v>
      </c>
      <c r="AE34" s="89">
        <f>main!V38</f>
        <v>45180.5</v>
      </c>
      <c r="AF34" s="503">
        <f>main!H38</f>
        <v>15</v>
      </c>
      <c r="AG34" s="505" t="s">
        <v>2328</v>
      </c>
      <c r="AH34" s="505" t="s">
        <v>2328</v>
      </c>
      <c r="AI34" s="505" t="s">
        <v>2328</v>
      </c>
      <c r="AJ34" s="505" t="s">
        <v>2328</v>
      </c>
      <c r="AK34" s="505" t="s">
        <v>2328</v>
      </c>
      <c r="AL34" s="505" t="s">
        <v>2328</v>
      </c>
      <c r="AM34" s="138">
        <f>depths!$B$3</f>
        <v>2080.1999999999998</v>
      </c>
      <c r="AN34" s="43"/>
      <c r="AO34" s="505" t="s">
        <v>2328</v>
      </c>
      <c r="AP34" s="504">
        <v>9</v>
      </c>
      <c r="AQ34" s="505" t="s">
        <v>2328</v>
      </c>
      <c r="AR34" s="504">
        <v>9</v>
      </c>
      <c r="AS34" s="505" t="s">
        <v>2328</v>
      </c>
      <c r="AT34" s="504">
        <v>9</v>
      </c>
      <c r="AU34" s="505" t="s">
        <v>2328</v>
      </c>
      <c r="AV34" s="504">
        <v>9</v>
      </c>
      <c r="AW34" s="505" t="s">
        <v>2328</v>
      </c>
      <c r="AX34" s="504">
        <v>9</v>
      </c>
      <c r="AY34" s="505" t="s">
        <v>2328</v>
      </c>
      <c r="AZ34" s="505" t="s">
        <v>2328</v>
      </c>
      <c r="BA34" s="505">
        <f>main!R38</f>
        <v>41.06</v>
      </c>
      <c r="BB34" s="506">
        <v>1</v>
      </c>
      <c r="BC34" s="505">
        <f>main!S38</f>
        <v>8.6300000000000008</v>
      </c>
      <c r="BD34" s="506">
        <v>1</v>
      </c>
    </row>
    <row r="35" spans="1:56">
      <c r="A35" s="43">
        <f>main!A39</f>
        <v>2023</v>
      </c>
      <c r="B35" s="43" t="str">
        <f>main!B39</f>
        <v>47_2000</v>
      </c>
      <c r="C35" s="43">
        <v>9</v>
      </c>
      <c r="D35" s="43" t="str">
        <f>main!$B$30</f>
        <v>McLane-PARFLUX-Mark78H-21 ; frame# 14182-01, controller# 11741-01 and Motor # 14182-01 Cup set Ex21</v>
      </c>
      <c r="E35" s="43">
        <v>2000</v>
      </c>
      <c r="F35" s="502">
        <v>4</v>
      </c>
      <c r="G35" s="503">
        <f>main!E39</f>
        <v>92.485714285714295</v>
      </c>
      <c r="H35" s="193">
        <f>main!I39</f>
        <v>12.331428571428573</v>
      </c>
      <c r="I35" s="193">
        <f>main!J39</f>
        <v>4.5040542857142869</v>
      </c>
      <c r="J35" s="500">
        <v>4</v>
      </c>
      <c r="K35" s="505" t="s">
        <v>2328</v>
      </c>
      <c r="L35" s="505" t="s">
        <v>2328</v>
      </c>
      <c r="M35" s="504">
        <v>9</v>
      </c>
      <c r="N35" s="505" t="str">
        <f>main!M39</f>
        <v>NaN</v>
      </c>
      <c r="O35" s="504">
        <v>9</v>
      </c>
      <c r="P35" s="505" t="str">
        <f>main!O39</f>
        <v>NaN</v>
      </c>
      <c r="Q35" s="504">
        <v>9</v>
      </c>
      <c r="R35" s="505" t="s">
        <v>2328</v>
      </c>
      <c r="S35" s="504">
        <v>9</v>
      </c>
      <c r="T35" s="505" t="str">
        <f>main!AB39</f>
        <v>NaN</v>
      </c>
      <c r="U35" s="504">
        <v>9</v>
      </c>
      <c r="V35" s="505" t="s">
        <v>2328</v>
      </c>
      <c r="W35" s="505" t="s">
        <v>2328</v>
      </c>
      <c r="X35" s="505" t="s">
        <v>2328</v>
      </c>
      <c r="Y35" s="505" t="s">
        <v>2328</v>
      </c>
      <c r="Z35" s="505" t="s">
        <v>2328</v>
      </c>
      <c r="AA35" s="505" t="s">
        <v>2328</v>
      </c>
      <c r="AB35" s="505" t="s">
        <v>2328</v>
      </c>
      <c r="AC35" s="89">
        <f>main!T39</f>
        <v>45188</v>
      </c>
      <c r="AD35" s="89">
        <f>main!U39</f>
        <v>45203</v>
      </c>
      <c r="AE35" s="89">
        <f>main!V39</f>
        <v>45195.5</v>
      </c>
      <c r="AF35" s="503">
        <f>main!H39</f>
        <v>15</v>
      </c>
      <c r="AG35" s="505" t="s">
        <v>2328</v>
      </c>
      <c r="AH35" s="505" t="s">
        <v>2328</v>
      </c>
      <c r="AI35" s="505" t="s">
        <v>2328</v>
      </c>
      <c r="AJ35" s="505" t="s">
        <v>2328</v>
      </c>
      <c r="AK35" s="505" t="s">
        <v>2328</v>
      </c>
      <c r="AL35" s="505" t="s">
        <v>2328</v>
      </c>
      <c r="AM35" s="138">
        <f>depths!$B$3</f>
        <v>2080.1999999999998</v>
      </c>
      <c r="AN35" s="43"/>
      <c r="AO35" s="505" t="s">
        <v>2328</v>
      </c>
      <c r="AP35" s="504">
        <v>9</v>
      </c>
      <c r="AQ35" s="505" t="s">
        <v>2328</v>
      </c>
      <c r="AR35" s="504">
        <v>9</v>
      </c>
      <c r="AS35" s="505" t="s">
        <v>2328</v>
      </c>
      <c r="AT35" s="504">
        <v>9</v>
      </c>
      <c r="AU35" s="505" t="s">
        <v>2328</v>
      </c>
      <c r="AV35" s="504">
        <v>9</v>
      </c>
      <c r="AW35" s="505" t="s">
        <v>2328</v>
      </c>
      <c r="AX35" s="504">
        <v>9</v>
      </c>
      <c r="AY35" s="505" t="s">
        <v>2328</v>
      </c>
      <c r="AZ35" s="505" t="s">
        <v>2328</v>
      </c>
      <c r="BA35" s="505">
        <f>main!R39</f>
        <v>41.09</v>
      </c>
      <c r="BB35" s="506">
        <v>1</v>
      </c>
      <c r="BC35" s="505">
        <f>main!S39</f>
        <v>8.5500000000000007</v>
      </c>
      <c r="BD35" s="506">
        <v>1</v>
      </c>
    </row>
    <row r="36" spans="1:56">
      <c r="A36" s="43">
        <f>main!A40</f>
        <v>2023</v>
      </c>
      <c r="B36" s="43" t="str">
        <f>main!B40</f>
        <v>47_2000</v>
      </c>
      <c r="C36" s="43">
        <v>10</v>
      </c>
      <c r="D36" s="43" t="str">
        <f>main!$B$30</f>
        <v>McLane-PARFLUX-Mark78H-21 ; frame# 14182-01, controller# 11741-01 and Motor # 14182-01 Cup set Ex21</v>
      </c>
      <c r="E36" s="43">
        <v>2000</v>
      </c>
      <c r="F36" s="502">
        <v>4</v>
      </c>
      <c r="G36" s="503">
        <f>main!E40</f>
        <v>67.571428571428569</v>
      </c>
      <c r="H36" s="193">
        <f>main!I40</f>
        <v>4.5047619047619047</v>
      </c>
      <c r="I36" s="193">
        <f>main!J40</f>
        <v>1.6453642857142858</v>
      </c>
      <c r="J36" s="500">
        <v>4</v>
      </c>
      <c r="K36" s="505" t="s">
        <v>2328</v>
      </c>
      <c r="L36" s="505" t="s">
        <v>2328</v>
      </c>
      <c r="M36" s="504">
        <v>9</v>
      </c>
      <c r="N36" s="505" t="str">
        <f>main!M40</f>
        <v>NaN</v>
      </c>
      <c r="O36" s="504">
        <v>9</v>
      </c>
      <c r="P36" s="505" t="str">
        <f>main!O40</f>
        <v>NaN</v>
      </c>
      <c r="Q36" s="504">
        <v>9</v>
      </c>
      <c r="R36" s="505" t="s">
        <v>2328</v>
      </c>
      <c r="S36" s="504">
        <v>9</v>
      </c>
      <c r="T36" s="505" t="str">
        <f>main!AB40</f>
        <v>NaN</v>
      </c>
      <c r="U36" s="504">
        <v>9</v>
      </c>
      <c r="V36" s="505" t="s">
        <v>2328</v>
      </c>
      <c r="W36" s="505" t="s">
        <v>2328</v>
      </c>
      <c r="X36" s="505" t="s">
        <v>2328</v>
      </c>
      <c r="Y36" s="505" t="s">
        <v>2328</v>
      </c>
      <c r="Z36" s="505" t="s">
        <v>2328</v>
      </c>
      <c r="AA36" s="505" t="s">
        <v>2328</v>
      </c>
      <c r="AB36" s="505" t="s">
        <v>2328</v>
      </c>
      <c r="AC36" s="89">
        <f>main!T40</f>
        <v>45203</v>
      </c>
      <c r="AD36" s="89">
        <f>main!U40</f>
        <v>45218</v>
      </c>
      <c r="AE36" s="89">
        <f>main!V40</f>
        <v>45210.5</v>
      </c>
      <c r="AF36" s="503">
        <f>main!H40</f>
        <v>15</v>
      </c>
      <c r="AG36" s="505" t="s">
        <v>2328</v>
      </c>
      <c r="AH36" s="505" t="s">
        <v>2328</v>
      </c>
      <c r="AI36" s="505" t="s">
        <v>2328</v>
      </c>
      <c r="AJ36" s="505" t="s">
        <v>2328</v>
      </c>
      <c r="AK36" s="505" t="s">
        <v>2328</v>
      </c>
      <c r="AL36" s="505" t="s">
        <v>2328</v>
      </c>
      <c r="AM36" s="138">
        <f>depths!$B$3</f>
        <v>2080.1999999999998</v>
      </c>
      <c r="AN36" s="43"/>
      <c r="AO36" s="505" t="s">
        <v>2328</v>
      </c>
      <c r="AP36" s="504">
        <v>9</v>
      </c>
      <c r="AQ36" s="505" t="s">
        <v>2328</v>
      </c>
      <c r="AR36" s="504">
        <v>9</v>
      </c>
      <c r="AS36" s="505" t="s">
        <v>2328</v>
      </c>
      <c r="AT36" s="504">
        <v>9</v>
      </c>
      <c r="AU36" s="505" t="s">
        <v>2328</v>
      </c>
      <c r="AV36" s="504">
        <v>9</v>
      </c>
      <c r="AW36" s="505" t="s">
        <v>2328</v>
      </c>
      <c r="AX36" s="504">
        <v>9</v>
      </c>
      <c r="AY36" s="505" t="s">
        <v>2328</v>
      </c>
      <c r="AZ36" s="505" t="s">
        <v>2328</v>
      </c>
      <c r="BA36" s="505">
        <f>main!R40</f>
        <v>41.14</v>
      </c>
      <c r="BB36" s="506">
        <v>1</v>
      </c>
      <c r="BC36" s="505">
        <f>main!S40</f>
        <v>8.6300000000000008</v>
      </c>
      <c r="BD36" s="506">
        <v>1</v>
      </c>
    </row>
    <row r="37" spans="1:56">
      <c r="A37" s="43">
        <f>main!A41</f>
        <v>2023</v>
      </c>
      <c r="B37" s="43" t="str">
        <f>main!B41</f>
        <v>47_2000</v>
      </c>
      <c r="C37" s="43">
        <v>11</v>
      </c>
      <c r="D37" s="43" t="str">
        <f>main!$B$30</f>
        <v>McLane-PARFLUX-Mark78H-21 ; frame# 14182-01, controller# 11741-01 and Motor # 14182-01 Cup set Ex21</v>
      </c>
      <c r="E37" s="43">
        <v>2000</v>
      </c>
      <c r="F37" s="502">
        <v>4</v>
      </c>
      <c r="G37" s="503" t="str">
        <f>main!E41</f>
        <v>NaN</v>
      </c>
      <c r="H37" s="193" t="str">
        <f>main!I41</f>
        <v>NaN</v>
      </c>
      <c r="I37" s="193" t="str">
        <f>main!J41</f>
        <v>NaN</v>
      </c>
      <c r="J37" s="500">
        <v>9</v>
      </c>
      <c r="K37" s="505" t="s">
        <v>2328</v>
      </c>
      <c r="L37" s="505" t="s">
        <v>2328</v>
      </c>
      <c r="M37" s="504">
        <v>9</v>
      </c>
      <c r="N37" s="505" t="str">
        <f>main!M41</f>
        <v>NaN</v>
      </c>
      <c r="O37" s="504">
        <v>9</v>
      </c>
      <c r="P37" s="505" t="str">
        <f>main!O41</f>
        <v>NaN</v>
      </c>
      <c r="Q37" s="504">
        <v>9</v>
      </c>
      <c r="R37" s="505" t="s">
        <v>2328</v>
      </c>
      <c r="S37" s="504">
        <v>9</v>
      </c>
      <c r="T37" s="505" t="str">
        <f>main!AB41</f>
        <v>NaN</v>
      </c>
      <c r="U37" s="504">
        <v>9</v>
      </c>
      <c r="V37" s="505" t="s">
        <v>2328</v>
      </c>
      <c r="W37" s="505" t="s">
        <v>2328</v>
      </c>
      <c r="X37" s="505" t="s">
        <v>2328</v>
      </c>
      <c r="Y37" s="505" t="s">
        <v>2328</v>
      </c>
      <c r="Z37" s="505" t="s">
        <v>2328</v>
      </c>
      <c r="AA37" s="505" t="s">
        <v>2328</v>
      </c>
      <c r="AB37" s="505" t="s">
        <v>2328</v>
      </c>
      <c r="AC37" s="89">
        <f>main!T41</f>
        <v>45218</v>
      </c>
      <c r="AD37" s="89">
        <f>main!U41</f>
        <v>45233</v>
      </c>
      <c r="AE37" s="89">
        <f>main!V41</f>
        <v>45225.5</v>
      </c>
      <c r="AF37" s="503">
        <f>main!H41</f>
        <v>15</v>
      </c>
      <c r="AG37" s="505" t="s">
        <v>2328</v>
      </c>
      <c r="AH37" s="505" t="s">
        <v>2328</v>
      </c>
      <c r="AI37" s="505" t="s">
        <v>2328</v>
      </c>
      <c r="AJ37" s="505" t="s">
        <v>2328</v>
      </c>
      <c r="AK37" s="505" t="s">
        <v>2328</v>
      </c>
      <c r="AL37" s="505" t="s">
        <v>2328</v>
      </c>
      <c r="AM37" s="138">
        <f>depths!$B$3</f>
        <v>2080.1999999999998</v>
      </c>
      <c r="AN37" s="43"/>
      <c r="AO37" s="505" t="s">
        <v>2328</v>
      </c>
      <c r="AP37" s="504">
        <v>9</v>
      </c>
      <c r="AQ37" s="505" t="s">
        <v>2328</v>
      </c>
      <c r="AR37" s="504">
        <v>9</v>
      </c>
      <c r="AS37" s="505" t="s">
        <v>2328</v>
      </c>
      <c r="AT37" s="504">
        <v>9</v>
      </c>
      <c r="AU37" s="505" t="s">
        <v>2328</v>
      </c>
      <c r="AV37" s="504">
        <v>9</v>
      </c>
      <c r="AW37" s="505" t="s">
        <v>2328</v>
      </c>
      <c r="AX37" s="504">
        <v>9</v>
      </c>
      <c r="AY37" s="505" t="s">
        <v>2328</v>
      </c>
      <c r="AZ37" s="505" t="s">
        <v>2328</v>
      </c>
      <c r="BA37" s="505">
        <f>main!R41</f>
        <v>41.1</v>
      </c>
      <c r="BB37" s="506">
        <v>1</v>
      </c>
      <c r="BC37" s="505">
        <f>main!S41</f>
        <v>8.6199999999999992</v>
      </c>
      <c r="BD37" s="506">
        <v>1</v>
      </c>
    </row>
    <row r="38" spans="1:56">
      <c r="A38" s="43">
        <f>main!A42</f>
        <v>2023</v>
      </c>
      <c r="B38" s="43" t="str">
        <f>main!B42</f>
        <v>47_2000</v>
      </c>
      <c r="C38" s="43">
        <v>12</v>
      </c>
      <c r="D38" s="43" t="str">
        <f>main!$B$30</f>
        <v>McLane-PARFLUX-Mark78H-21 ; frame# 14182-01, controller# 11741-01 and Motor # 14182-01 Cup set Ex21</v>
      </c>
      <c r="E38" s="43">
        <v>2000</v>
      </c>
      <c r="F38" s="502">
        <v>4</v>
      </c>
      <c r="G38" s="503">
        <f>main!E42</f>
        <v>36.785714285714292</v>
      </c>
      <c r="H38" s="193">
        <f>main!I42</f>
        <v>0.49047619047619057</v>
      </c>
      <c r="I38" s="193">
        <f>main!J42</f>
        <v>0.17914642857142862</v>
      </c>
      <c r="J38" s="500">
        <v>4</v>
      </c>
      <c r="K38" s="505" t="s">
        <v>2328</v>
      </c>
      <c r="L38" s="505" t="s">
        <v>2328</v>
      </c>
      <c r="M38" s="504">
        <v>9</v>
      </c>
      <c r="N38" s="505" t="str">
        <f>main!M42</f>
        <v>NaN</v>
      </c>
      <c r="O38" s="504">
        <v>9</v>
      </c>
      <c r="P38" s="505" t="str">
        <f>main!O42</f>
        <v>NaN</v>
      </c>
      <c r="Q38" s="504">
        <v>9</v>
      </c>
      <c r="R38" s="505" t="s">
        <v>2328</v>
      </c>
      <c r="S38" s="504">
        <v>9</v>
      </c>
      <c r="T38" s="505" t="str">
        <f>main!AB42</f>
        <v>NaN</v>
      </c>
      <c r="U38" s="504">
        <v>9</v>
      </c>
      <c r="V38" s="505" t="s">
        <v>2328</v>
      </c>
      <c r="W38" s="505" t="s">
        <v>2328</v>
      </c>
      <c r="X38" s="505" t="s">
        <v>2328</v>
      </c>
      <c r="Y38" s="505" t="s">
        <v>2328</v>
      </c>
      <c r="Z38" s="505" t="s">
        <v>2328</v>
      </c>
      <c r="AA38" s="505" t="s">
        <v>2328</v>
      </c>
      <c r="AB38" s="505" t="s">
        <v>2328</v>
      </c>
      <c r="AC38" s="89">
        <f>main!T42</f>
        <v>45233</v>
      </c>
      <c r="AD38" s="89">
        <f>main!U42</f>
        <v>45248</v>
      </c>
      <c r="AE38" s="89">
        <f>main!V42</f>
        <v>45240.5</v>
      </c>
      <c r="AF38" s="503">
        <f>main!H42</f>
        <v>15</v>
      </c>
      <c r="AG38" s="505" t="s">
        <v>2328</v>
      </c>
      <c r="AH38" s="505" t="s">
        <v>2328</v>
      </c>
      <c r="AI38" s="505" t="s">
        <v>2328</v>
      </c>
      <c r="AJ38" s="505" t="s">
        <v>2328</v>
      </c>
      <c r="AK38" s="505" t="s">
        <v>2328</v>
      </c>
      <c r="AL38" s="505" t="s">
        <v>2328</v>
      </c>
      <c r="AM38" s="138">
        <f>depths!$B$3</f>
        <v>2080.1999999999998</v>
      </c>
      <c r="AN38" s="43"/>
      <c r="AO38" s="505" t="s">
        <v>2328</v>
      </c>
      <c r="AP38" s="504">
        <v>9</v>
      </c>
      <c r="AQ38" s="505" t="s">
        <v>2328</v>
      </c>
      <c r="AR38" s="504">
        <v>9</v>
      </c>
      <c r="AS38" s="505" t="s">
        <v>2328</v>
      </c>
      <c r="AT38" s="504">
        <v>9</v>
      </c>
      <c r="AU38" s="505" t="s">
        <v>2328</v>
      </c>
      <c r="AV38" s="504">
        <v>9</v>
      </c>
      <c r="AW38" s="505" t="s">
        <v>2328</v>
      </c>
      <c r="AX38" s="504">
        <v>9</v>
      </c>
      <c r="AY38" s="505" t="s">
        <v>2328</v>
      </c>
      <c r="AZ38" s="505" t="s">
        <v>2328</v>
      </c>
      <c r="BA38" s="505">
        <f>main!R42</f>
        <v>41.16</v>
      </c>
      <c r="BB38" s="506">
        <v>1</v>
      </c>
      <c r="BC38" s="505">
        <f>main!S42</f>
        <v>8.68</v>
      </c>
      <c r="BD38" s="506">
        <v>1</v>
      </c>
    </row>
    <row r="39" spans="1:56">
      <c r="A39" s="43">
        <f>main!A43</f>
        <v>2023</v>
      </c>
      <c r="B39" s="43" t="str">
        <f>main!B43</f>
        <v>47_2000</v>
      </c>
      <c r="C39" s="43">
        <v>13</v>
      </c>
      <c r="D39" s="43" t="str">
        <f>main!$B$30</f>
        <v>McLane-PARFLUX-Mark78H-21 ; frame# 14182-01, controller# 11741-01 and Motor # 14182-01 Cup set Ex21</v>
      </c>
      <c r="E39" s="43">
        <v>2000</v>
      </c>
      <c r="F39" s="502">
        <v>4</v>
      </c>
      <c r="G39" s="503" t="str">
        <f>main!E43</f>
        <v>NaN</v>
      </c>
      <c r="H39" s="193" t="str">
        <f>main!I43</f>
        <v>NaN</v>
      </c>
      <c r="I39" s="193" t="str">
        <f>main!J43</f>
        <v>NaN</v>
      </c>
      <c r="J39" s="500">
        <v>9</v>
      </c>
      <c r="K39" s="505" t="s">
        <v>2328</v>
      </c>
      <c r="L39" s="505" t="s">
        <v>2328</v>
      </c>
      <c r="M39" s="504">
        <v>9</v>
      </c>
      <c r="N39" s="505" t="str">
        <f>main!M43</f>
        <v>NaN</v>
      </c>
      <c r="O39" s="504">
        <v>9</v>
      </c>
      <c r="P39" s="505" t="str">
        <f>main!O43</f>
        <v>NaN</v>
      </c>
      <c r="Q39" s="504">
        <v>9</v>
      </c>
      <c r="R39" s="505" t="s">
        <v>2328</v>
      </c>
      <c r="S39" s="504">
        <v>9</v>
      </c>
      <c r="T39" s="505" t="str">
        <f>main!AB43</f>
        <v>NaN</v>
      </c>
      <c r="U39" s="504">
        <v>9</v>
      </c>
      <c r="V39" s="505" t="s">
        <v>2328</v>
      </c>
      <c r="W39" s="505" t="s">
        <v>2328</v>
      </c>
      <c r="X39" s="505" t="s">
        <v>2328</v>
      </c>
      <c r="Y39" s="505" t="s">
        <v>2328</v>
      </c>
      <c r="Z39" s="505" t="s">
        <v>2328</v>
      </c>
      <c r="AA39" s="505" t="s">
        <v>2328</v>
      </c>
      <c r="AB39" s="505" t="s">
        <v>2328</v>
      </c>
      <c r="AC39" s="89">
        <f>main!T43</f>
        <v>45248</v>
      </c>
      <c r="AD39" s="89">
        <f>main!U43</f>
        <v>45263</v>
      </c>
      <c r="AE39" s="89">
        <f>main!V43</f>
        <v>45255.5</v>
      </c>
      <c r="AF39" s="503">
        <f>main!H43</f>
        <v>15</v>
      </c>
      <c r="AG39" s="505" t="s">
        <v>2328</v>
      </c>
      <c r="AH39" s="505" t="s">
        <v>2328</v>
      </c>
      <c r="AI39" s="505" t="s">
        <v>2328</v>
      </c>
      <c r="AJ39" s="505" t="s">
        <v>2328</v>
      </c>
      <c r="AK39" s="505" t="s">
        <v>2328</v>
      </c>
      <c r="AL39" s="505" t="s">
        <v>2328</v>
      </c>
      <c r="AM39" s="138">
        <f>depths!$B$3</f>
        <v>2080.1999999999998</v>
      </c>
      <c r="AN39" s="43"/>
      <c r="AO39" s="505" t="s">
        <v>2328</v>
      </c>
      <c r="AP39" s="504">
        <v>9</v>
      </c>
      <c r="AQ39" s="505" t="s">
        <v>2328</v>
      </c>
      <c r="AR39" s="504">
        <v>9</v>
      </c>
      <c r="AS39" s="505" t="s">
        <v>2328</v>
      </c>
      <c r="AT39" s="504">
        <v>9</v>
      </c>
      <c r="AU39" s="505" t="s">
        <v>2328</v>
      </c>
      <c r="AV39" s="504">
        <v>9</v>
      </c>
      <c r="AW39" s="505" t="s">
        <v>2328</v>
      </c>
      <c r="AX39" s="504">
        <v>9</v>
      </c>
      <c r="AY39" s="505" t="s">
        <v>2328</v>
      </c>
      <c r="AZ39" s="505" t="s">
        <v>2328</v>
      </c>
      <c r="BA39" s="505">
        <f>main!R43</f>
        <v>41.269999999999996</v>
      </c>
      <c r="BB39" s="506">
        <v>1</v>
      </c>
      <c r="BC39" s="505">
        <f>main!S43</f>
        <v>8.6449999999999996</v>
      </c>
      <c r="BD39" s="506">
        <v>1</v>
      </c>
    </row>
    <row r="40" spans="1:56" s="512" customFormat="1">
      <c r="A40" s="43">
        <f>main!A44</f>
        <v>2023</v>
      </c>
      <c r="B40" s="43" t="str">
        <f>main!B44</f>
        <v>47_2000</v>
      </c>
      <c r="C40" s="43">
        <v>14</v>
      </c>
      <c r="D40" s="43" t="str">
        <f>main!$B$30</f>
        <v>McLane-PARFLUX-Mark78H-21 ; frame# 14182-01, controller# 11741-01 and Motor # 14182-01 Cup set Ex21</v>
      </c>
      <c r="E40" s="43">
        <v>2000</v>
      </c>
      <c r="F40" s="502">
        <v>4</v>
      </c>
      <c r="G40" s="503" t="str">
        <f>main!E44</f>
        <v>NaN</v>
      </c>
      <c r="H40" s="193" t="str">
        <f>main!I44</f>
        <v>NaN</v>
      </c>
      <c r="I40" s="193" t="str">
        <f>main!J44</f>
        <v>NaN</v>
      </c>
      <c r="J40" s="500">
        <v>9</v>
      </c>
      <c r="K40" s="505" t="s">
        <v>2328</v>
      </c>
      <c r="L40" s="505" t="s">
        <v>2328</v>
      </c>
      <c r="M40" s="504">
        <v>9</v>
      </c>
      <c r="N40" s="505" t="str">
        <f>main!M44</f>
        <v>NaN</v>
      </c>
      <c r="O40" s="504">
        <v>9</v>
      </c>
      <c r="P40" s="505" t="str">
        <f>main!O44</f>
        <v>NaN</v>
      </c>
      <c r="Q40" s="504">
        <v>9</v>
      </c>
      <c r="R40" s="505" t="s">
        <v>2328</v>
      </c>
      <c r="S40" s="504">
        <v>9</v>
      </c>
      <c r="T40" s="505" t="str">
        <f>main!AB44</f>
        <v>NaN</v>
      </c>
      <c r="U40" s="504">
        <v>9</v>
      </c>
      <c r="V40" s="505" t="s">
        <v>2328</v>
      </c>
      <c r="W40" s="505" t="s">
        <v>2328</v>
      </c>
      <c r="X40" s="505" t="s">
        <v>2328</v>
      </c>
      <c r="Y40" s="505" t="s">
        <v>2328</v>
      </c>
      <c r="Z40" s="505" t="s">
        <v>2328</v>
      </c>
      <c r="AA40" s="505" t="s">
        <v>2328</v>
      </c>
      <c r="AB40" s="505" t="s">
        <v>2328</v>
      </c>
      <c r="AC40" s="89">
        <f>main!T44</f>
        <v>45263</v>
      </c>
      <c r="AD40" s="89">
        <f>main!U44</f>
        <v>45278</v>
      </c>
      <c r="AE40" s="89">
        <f>main!V44</f>
        <v>45270.5</v>
      </c>
      <c r="AF40" s="503">
        <f>main!H44</f>
        <v>15</v>
      </c>
      <c r="AG40" s="505" t="s">
        <v>2328</v>
      </c>
      <c r="AH40" s="505" t="s">
        <v>2328</v>
      </c>
      <c r="AI40" s="505" t="s">
        <v>2328</v>
      </c>
      <c r="AJ40" s="505" t="s">
        <v>2328</v>
      </c>
      <c r="AK40" s="505" t="s">
        <v>2328</v>
      </c>
      <c r="AL40" s="505" t="s">
        <v>2328</v>
      </c>
      <c r="AM40" s="138">
        <f>depths!$B$3</f>
        <v>2080.1999999999998</v>
      </c>
      <c r="AN40" s="43"/>
      <c r="AO40" s="505" t="s">
        <v>2328</v>
      </c>
      <c r="AP40" s="504">
        <v>9</v>
      </c>
      <c r="AQ40" s="505" t="s">
        <v>2328</v>
      </c>
      <c r="AR40" s="504">
        <v>9</v>
      </c>
      <c r="AS40" s="505" t="s">
        <v>2328</v>
      </c>
      <c r="AT40" s="504">
        <v>9</v>
      </c>
      <c r="AU40" s="505" t="s">
        <v>2328</v>
      </c>
      <c r="AV40" s="504">
        <v>9</v>
      </c>
      <c r="AW40" s="505" t="s">
        <v>2328</v>
      </c>
      <c r="AX40" s="504">
        <v>9</v>
      </c>
      <c r="AY40" s="505" t="s">
        <v>2328</v>
      </c>
      <c r="AZ40" s="505" t="s">
        <v>2328</v>
      </c>
      <c r="BA40" s="505">
        <f>main!R44</f>
        <v>41.22</v>
      </c>
      <c r="BB40" s="506">
        <v>1</v>
      </c>
      <c r="BC40" s="505">
        <f>main!S44</f>
        <v>8.7100000000000009</v>
      </c>
      <c r="BD40" s="506">
        <v>1</v>
      </c>
    </row>
    <row r="41" spans="1:56" s="512" customFormat="1">
      <c r="A41" s="43">
        <f>main!A45</f>
        <v>2023</v>
      </c>
      <c r="B41" s="43" t="str">
        <f>main!B45</f>
        <v>47_2000</v>
      </c>
      <c r="C41" s="43">
        <v>15</v>
      </c>
      <c r="D41" s="43" t="str">
        <f>main!$B$30</f>
        <v>McLane-PARFLUX-Mark78H-21 ; frame# 14182-01, controller# 11741-01 and Motor # 14182-01 Cup set Ex21</v>
      </c>
      <c r="E41" s="43">
        <v>2000</v>
      </c>
      <c r="F41" s="502">
        <v>4</v>
      </c>
      <c r="G41" s="503" t="str">
        <f>main!E45</f>
        <v>NaN</v>
      </c>
      <c r="H41" s="193" t="str">
        <f>main!I45</f>
        <v>NaN</v>
      </c>
      <c r="I41" s="193" t="str">
        <f>main!J45</f>
        <v>NaN</v>
      </c>
      <c r="J41" s="500">
        <v>9</v>
      </c>
      <c r="K41" s="505" t="s">
        <v>2328</v>
      </c>
      <c r="L41" s="505" t="s">
        <v>2328</v>
      </c>
      <c r="M41" s="504">
        <v>9</v>
      </c>
      <c r="N41" s="505" t="str">
        <f>main!M45</f>
        <v>NaN</v>
      </c>
      <c r="O41" s="504">
        <v>9</v>
      </c>
      <c r="P41" s="505" t="str">
        <f>main!O45</f>
        <v>NaN</v>
      </c>
      <c r="Q41" s="504">
        <v>9</v>
      </c>
      <c r="R41" s="505" t="s">
        <v>2328</v>
      </c>
      <c r="S41" s="504">
        <v>9</v>
      </c>
      <c r="T41" s="505" t="str">
        <f>main!AB45</f>
        <v>NaN</v>
      </c>
      <c r="U41" s="504">
        <v>9</v>
      </c>
      <c r="V41" s="505" t="s">
        <v>2328</v>
      </c>
      <c r="W41" s="505" t="s">
        <v>2328</v>
      </c>
      <c r="X41" s="505" t="s">
        <v>2328</v>
      </c>
      <c r="Y41" s="505" t="s">
        <v>2328</v>
      </c>
      <c r="Z41" s="505" t="s">
        <v>2328</v>
      </c>
      <c r="AA41" s="505" t="s">
        <v>2328</v>
      </c>
      <c r="AB41" s="505" t="s">
        <v>2328</v>
      </c>
      <c r="AC41" s="89">
        <f>main!T45</f>
        <v>45278</v>
      </c>
      <c r="AD41" s="89">
        <f>main!U45</f>
        <v>45293</v>
      </c>
      <c r="AE41" s="89">
        <f>main!V45</f>
        <v>45285.5</v>
      </c>
      <c r="AF41" s="503">
        <f>main!H45</f>
        <v>15</v>
      </c>
      <c r="AG41" s="505" t="s">
        <v>2328</v>
      </c>
      <c r="AH41" s="505" t="s">
        <v>2328</v>
      </c>
      <c r="AI41" s="505" t="s">
        <v>2328</v>
      </c>
      <c r="AJ41" s="505" t="s">
        <v>2328</v>
      </c>
      <c r="AK41" s="505" t="s">
        <v>2328</v>
      </c>
      <c r="AL41" s="505" t="s">
        <v>2328</v>
      </c>
      <c r="AM41" s="138">
        <f>depths!$B$3</f>
        <v>2080.1999999999998</v>
      </c>
      <c r="AN41" s="43"/>
      <c r="AO41" s="505" t="s">
        <v>2328</v>
      </c>
      <c r="AP41" s="504">
        <v>9</v>
      </c>
      <c r="AQ41" s="505" t="s">
        <v>2328</v>
      </c>
      <c r="AR41" s="504">
        <v>9</v>
      </c>
      <c r="AS41" s="505" t="s">
        <v>2328</v>
      </c>
      <c r="AT41" s="504">
        <v>9</v>
      </c>
      <c r="AU41" s="505" t="s">
        <v>2328</v>
      </c>
      <c r="AV41" s="504">
        <v>9</v>
      </c>
      <c r="AW41" s="505" t="s">
        <v>2328</v>
      </c>
      <c r="AX41" s="504">
        <v>9</v>
      </c>
      <c r="AY41" s="505" t="s">
        <v>2328</v>
      </c>
      <c r="AZ41" s="505" t="s">
        <v>2328</v>
      </c>
      <c r="BA41" s="505">
        <f>main!R45</f>
        <v>41.32</v>
      </c>
      <c r="BB41" s="506">
        <v>1</v>
      </c>
      <c r="BC41" s="505">
        <f>main!S45</f>
        <v>8.66</v>
      </c>
      <c r="BD41" s="506">
        <v>1</v>
      </c>
    </row>
    <row r="42" spans="1:56" s="513" customFormat="1">
      <c r="A42" s="43">
        <f>main!A46</f>
        <v>2023</v>
      </c>
      <c r="B42" s="43" t="str">
        <f>main!B46</f>
        <v>47_2000</v>
      </c>
      <c r="C42" s="43">
        <v>16</v>
      </c>
      <c r="D42" s="43" t="str">
        <f>main!$B$30</f>
        <v>McLane-PARFLUX-Mark78H-21 ; frame# 14182-01, controller# 11741-01 and Motor # 14182-01 Cup set Ex21</v>
      </c>
      <c r="E42" s="43">
        <v>2000</v>
      </c>
      <c r="F42" s="502">
        <v>4</v>
      </c>
      <c r="G42" s="503" t="str">
        <f>main!E46</f>
        <v>NaN</v>
      </c>
      <c r="H42" s="193" t="str">
        <f>main!I46</f>
        <v>NaN</v>
      </c>
      <c r="I42" s="193" t="str">
        <f>main!J46</f>
        <v>NaN</v>
      </c>
      <c r="J42" s="500">
        <v>9</v>
      </c>
      <c r="K42" s="505" t="s">
        <v>2328</v>
      </c>
      <c r="L42" s="505" t="s">
        <v>2328</v>
      </c>
      <c r="M42" s="504">
        <v>9</v>
      </c>
      <c r="N42" s="505" t="str">
        <f>main!M46</f>
        <v>NaN</v>
      </c>
      <c r="O42" s="504">
        <v>9</v>
      </c>
      <c r="P42" s="505" t="str">
        <f>main!O46</f>
        <v>NaN</v>
      </c>
      <c r="Q42" s="504">
        <v>9</v>
      </c>
      <c r="R42" s="505" t="s">
        <v>2328</v>
      </c>
      <c r="S42" s="504">
        <v>9</v>
      </c>
      <c r="T42" s="505" t="str">
        <f>main!AB46</f>
        <v>NaN</v>
      </c>
      <c r="U42" s="504">
        <v>9</v>
      </c>
      <c r="V42" s="505" t="s">
        <v>2328</v>
      </c>
      <c r="W42" s="505" t="s">
        <v>2328</v>
      </c>
      <c r="X42" s="505" t="s">
        <v>2328</v>
      </c>
      <c r="Y42" s="505" t="s">
        <v>2328</v>
      </c>
      <c r="Z42" s="505" t="s">
        <v>2328</v>
      </c>
      <c r="AA42" s="505" t="s">
        <v>2328</v>
      </c>
      <c r="AB42" s="505" t="s">
        <v>2328</v>
      </c>
      <c r="AC42" s="89">
        <f>main!T46</f>
        <v>45293</v>
      </c>
      <c r="AD42" s="89">
        <f>main!U46</f>
        <v>45308</v>
      </c>
      <c r="AE42" s="89">
        <f>main!V46</f>
        <v>45300.5</v>
      </c>
      <c r="AF42" s="503">
        <f>main!H46</f>
        <v>15</v>
      </c>
      <c r="AG42" s="505" t="s">
        <v>2328</v>
      </c>
      <c r="AH42" s="505" t="s">
        <v>2328</v>
      </c>
      <c r="AI42" s="505" t="s">
        <v>2328</v>
      </c>
      <c r="AJ42" s="505" t="s">
        <v>2328</v>
      </c>
      <c r="AK42" s="505" t="s">
        <v>2328</v>
      </c>
      <c r="AL42" s="505" t="s">
        <v>2328</v>
      </c>
      <c r="AM42" s="138">
        <f>depths!$B$3</f>
        <v>2080.1999999999998</v>
      </c>
      <c r="AN42" s="43"/>
      <c r="AO42" s="505" t="s">
        <v>2328</v>
      </c>
      <c r="AP42" s="504">
        <v>9</v>
      </c>
      <c r="AQ42" s="505" t="s">
        <v>2328</v>
      </c>
      <c r="AR42" s="504">
        <v>9</v>
      </c>
      <c r="AS42" s="505" t="s">
        <v>2328</v>
      </c>
      <c r="AT42" s="504">
        <v>9</v>
      </c>
      <c r="AU42" s="505" t="s">
        <v>2328</v>
      </c>
      <c r="AV42" s="504">
        <v>9</v>
      </c>
      <c r="AW42" s="505" t="s">
        <v>2328</v>
      </c>
      <c r="AX42" s="504">
        <v>9</v>
      </c>
      <c r="AY42" s="505" t="s">
        <v>2328</v>
      </c>
      <c r="AZ42" s="505" t="s">
        <v>2328</v>
      </c>
      <c r="BA42" s="505">
        <f>main!R46</f>
        <v>41.23</v>
      </c>
      <c r="BB42" s="506">
        <v>1</v>
      </c>
      <c r="BC42" s="505">
        <f>main!S46</f>
        <v>8.64</v>
      </c>
      <c r="BD42" s="506">
        <v>1</v>
      </c>
    </row>
    <row r="43" spans="1:56" s="513" customFormat="1">
      <c r="A43" s="43">
        <f>main!A47</f>
        <v>2023</v>
      </c>
      <c r="B43" s="43" t="str">
        <f>main!B47</f>
        <v>47_2000</v>
      </c>
      <c r="C43" s="43">
        <v>17</v>
      </c>
      <c r="D43" s="43" t="str">
        <f>main!$B$30</f>
        <v>McLane-PARFLUX-Mark78H-21 ; frame# 14182-01, controller# 11741-01 and Motor # 14182-01 Cup set Ex21</v>
      </c>
      <c r="E43" s="43">
        <v>2000</v>
      </c>
      <c r="F43" s="502">
        <v>4</v>
      </c>
      <c r="G43" s="503" t="str">
        <f>main!E47</f>
        <v>NaN</v>
      </c>
      <c r="H43" s="193" t="str">
        <f>main!I47</f>
        <v>NaN</v>
      </c>
      <c r="I43" s="193" t="str">
        <f>main!J47</f>
        <v>NaN</v>
      </c>
      <c r="J43" s="500">
        <v>9</v>
      </c>
      <c r="K43" s="505" t="s">
        <v>2328</v>
      </c>
      <c r="L43" s="505" t="s">
        <v>2328</v>
      </c>
      <c r="M43" s="504">
        <v>9</v>
      </c>
      <c r="N43" s="505" t="str">
        <f>main!M47</f>
        <v>NaN</v>
      </c>
      <c r="O43" s="504">
        <v>9</v>
      </c>
      <c r="P43" s="505" t="str">
        <f>main!O47</f>
        <v>NaN</v>
      </c>
      <c r="Q43" s="504">
        <v>9</v>
      </c>
      <c r="R43" s="505" t="s">
        <v>2328</v>
      </c>
      <c r="S43" s="504">
        <v>9</v>
      </c>
      <c r="T43" s="505" t="str">
        <f>main!AB47</f>
        <v>NaN</v>
      </c>
      <c r="U43" s="504">
        <v>9</v>
      </c>
      <c r="V43" s="505" t="s">
        <v>2328</v>
      </c>
      <c r="W43" s="505" t="s">
        <v>2328</v>
      </c>
      <c r="X43" s="505" t="s">
        <v>2328</v>
      </c>
      <c r="Y43" s="505" t="s">
        <v>2328</v>
      </c>
      <c r="Z43" s="505" t="s">
        <v>2328</v>
      </c>
      <c r="AA43" s="505" t="s">
        <v>2328</v>
      </c>
      <c r="AB43" s="505" t="s">
        <v>2328</v>
      </c>
      <c r="AC43" s="89">
        <f>main!T47</f>
        <v>45308</v>
      </c>
      <c r="AD43" s="89">
        <f>main!U47</f>
        <v>45323</v>
      </c>
      <c r="AE43" s="89">
        <f>main!V47</f>
        <v>45315.5</v>
      </c>
      <c r="AF43" s="503">
        <f>main!H47</f>
        <v>15</v>
      </c>
      <c r="AG43" s="505" t="s">
        <v>2328</v>
      </c>
      <c r="AH43" s="505" t="s">
        <v>2328</v>
      </c>
      <c r="AI43" s="505" t="s">
        <v>2328</v>
      </c>
      <c r="AJ43" s="505" t="s">
        <v>2328</v>
      </c>
      <c r="AK43" s="505" t="s">
        <v>2328</v>
      </c>
      <c r="AL43" s="505" t="s">
        <v>2328</v>
      </c>
      <c r="AM43" s="138">
        <f>depths!$B$3</f>
        <v>2080.1999999999998</v>
      </c>
      <c r="AN43" s="43"/>
      <c r="AO43" s="505" t="s">
        <v>2328</v>
      </c>
      <c r="AP43" s="504">
        <v>9</v>
      </c>
      <c r="AQ43" s="505" t="s">
        <v>2328</v>
      </c>
      <c r="AR43" s="504">
        <v>9</v>
      </c>
      <c r="AS43" s="505" t="s">
        <v>2328</v>
      </c>
      <c r="AT43" s="504">
        <v>9</v>
      </c>
      <c r="AU43" s="505" t="s">
        <v>2328</v>
      </c>
      <c r="AV43" s="504">
        <v>9</v>
      </c>
      <c r="AW43" s="505" t="s">
        <v>2328</v>
      </c>
      <c r="AX43" s="504">
        <v>9</v>
      </c>
      <c r="AY43" s="505" t="s">
        <v>2328</v>
      </c>
      <c r="AZ43" s="505" t="s">
        <v>2328</v>
      </c>
      <c r="BA43" s="505">
        <f>main!R47</f>
        <v>40.94</v>
      </c>
      <c r="BB43" s="506">
        <v>1</v>
      </c>
      <c r="BC43" s="505">
        <f>main!S47</f>
        <v>8.64</v>
      </c>
      <c r="BD43" s="506">
        <v>1</v>
      </c>
    </row>
    <row r="44" spans="1:56" s="513" customFormat="1">
      <c r="A44" s="43">
        <f>main!A48</f>
        <v>2023</v>
      </c>
      <c r="B44" s="43" t="str">
        <f>main!B48</f>
        <v>47_2000</v>
      </c>
      <c r="C44" s="43">
        <v>18</v>
      </c>
      <c r="D44" s="43" t="str">
        <f>main!$B$30</f>
        <v>McLane-PARFLUX-Mark78H-21 ; frame# 14182-01, controller# 11741-01 and Motor # 14182-01 Cup set Ex21</v>
      </c>
      <c r="E44" s="43">
        <v>2000</v>
      </c>
      <c r="F44" s="502">
        <v>4</v>
      </c>
      <c r="G44" s="503" t="str">
        <f>main!E48</f>
        <v>NaN</v>
      </c>
      <c r="H44" s="193" t="str">
        <f>main!I48</f>
        <v>NaN</v>
      </c>
      <c r="I44" s="193" t="str">
        <f>main!J48</f>
        <v>NaN</v>
      </c>
      <c r="J44" s="500">
        <v>9</v>
      </c>
      <c r="K44" s="505" t="s">
        <v>2328</v>
      </c>
      <c r="L44" s="505" t="s">
        <v>2328</v>
      </c>
      <c r="M44" s="504">
        <v>9</v>
      </c>
      <c r="N44" s="505" t="str">
        <f>main!M48</f>
        <v>NaN</v>
      </c>
      <c r="O44" s="504">
        <v>9</v>
      </c>
      <c r="P44" s="505" t="str">
        <f>main!O48</f>
        <v>NaN</v>
      </c>
      <c r="Q44" s="504">
        <v>9</v>
      </c>
      <c r="R44" s="505" t="s">
        <v>2328</v>
      </c>
      <c r="S44" s="504">
        <v>9</v>
      </c>
      <c r="T44" s="505" t="str">
        <f>main!AB48</f>
        <v>NaN</v>
      </c>
      <c r="U44" s="504">
        <v>9</v>
      </c>
      <c r="V44" s="505" t="s">
        <v>2328</v>
      </c>
      <c r="W44" s="505" t="s">
        <v>2328</v>
      </c>
      <c r="X44" s="505" t="s">
        <v>2328</v>
      </c>
      <c r="Y44" s="505" t="s">
        <v>2328</v>
      </c>
      <c r="Z44" s="505" t="s">
        <v>2328</v>
      </c>
      <c r="AA44" s="505" t="s">
        <v>2328</v>
      </c>
      <c r="AB44" s="505" t="s">
        <v>2328</v>
      </c>
      <c r="AC44" s="89">
        <f>main!T48</f>
        <v>45323</v>
      </c>
      <c r="AD44" s="89">
        <f>main!U48</f>
        <v>45338</v>
      </c>
      <c r="AE44" s="89">
        <f>main!V48</f>
        <v>45330.5</v>
      </c>
      <c r="AF44" s="503">
        <f>main!H48</f>
        <v>15</v>
      </c>
      <c r="AG44" s="505" t="s">
        <v>2328</v>
      </c>
      <c r="AH44" s="505" t="s">
        <v>2328</v>
      </c>
      <c r="AI44" s="505" t="s">
        <v>2328</v>
      </c>
      <c r="AJ44" s="505" t="s">
        <v>2328</v>
      </c>
      <c r="AK44" s="505" t="s">
        <v>2328</v>
      </c>
      <c r="AL44" s="505" t="s">
        <v>2328</v>
      </c>
      <c r="AM44" s="138">
        <f>depths!$B$3</f>
        <v>2080.1999999999998</v>
      </c>
      <c r="AN44" s="43"/>
      <c r="AO44" s="505" t="s">
        <v>2328</v>
      </c>
      <c r="AP44" s="504">
        <v>9</v>
      </c>
      <c r="AQ44" s="505" t="s">
        <v>2328</v>
      </c>
      <c r="AR44" s="504">
        <v>9</v>
      </c>
      <c r="AS44" s="505" t="s">
        <v>2328</v>
      </c>
      <c r="AT44" s="504">
        <v>9</v>
      </c>
      <c r="AU44" s="505" t="s">
        <v>2328</v>
      </c>
      <c r="AV44" s="504">
        <v>9</v>
      </c>
      <c r="AW44" s="505" t="s">
        <v>2328</v>
      </c>
      <c r="AX44" s="504">
        <v>9</v>
      </c>
      <c r="AY44" s="505" t="s">
        <v>2328</v>
      </c>
      <c r="AZ44" s="505" t="s">
        <v>2328</v>
      </c>
      <c r="BA44" s="505">
        <f>main!R48</f>
        <v>41.03</v>
      </c>
      <c r="BB44" s="506">
        <v>1</v>
      </c>
      <c r="BC44" s="505">
        <f>main!S48</f>
        <v>8.5</v>
      </c>
      <c r="BD44" s="506">
        <v>1</v>
      </c>
    </row>
    <row r="45" spans="1:56" s="513" customFormat="1">
      <c r="A45" s="43">
        <f>main!A49</f>
        <v>2023</v>
      </c>
      <c r="B45" s="43" t="str">
        <f>main!B49</f>
        <v>47_2000</v>
      </c>
      <c r="C45" s="43">
        <v>19</v>
      </c>
      <c r="D45" s="43" t="str">
        <f>main!$B$30</f>
        <v>McLane-PARFLUX-Mark78H-21 ; frame# 14182-01, controller# 11741-01 and Motor # 14182-01 Cup set Ex21</v>
      </c>
      <c r="E45" s="43">
        <v>2000</v>
      </c>
      <c r="F45" s="502">
        <v>4</v>
      </c>
      <c r="G45" s="503" t="str">
        <f>main!E49</f>
        <v>NaN</v>
      </c>
      <c r="H45" s="193" t="str">
        <f>main!I49</f>
        <v>NaN</v>
      </c>
      <c r="I45" s="193" t="str">
        <f>main!J49</f>
        <v>NaN</v>
      </c>
      <c r="J45" s="500">
        <v>9</v>
      </c>
      <c r="K45" s="505" t="s">
        <v>2328</v>
      </c>
      <c r="L45" s="505" t="s">
        <v>2328</v>
      </c>
      <c r="M45" s="504">
        <v>9</v>
      </c>
      <c r="N45" s="505" t="str">
        <f>main!M49</f>
        <v>NaN</v>
      </c>
      <c r="O45" s="504">
        <v>9</v>
      </c>
      <c r="P45" s="505" t="str">
        <f>main!O49</f>
        <v>NaN</v>
      </c>
      <c r="Q45" s="504">
        <v>9</v>
      </c>
      <c r="R45" s="505" t="s">
        <v>2328</v>
      </c>
      <c r="S45" s="504">
        <v>9</v>
      </c>
      <c r="T45" s="505" t="str">
        <f>main!AB49</f>
        <v>NaN</v>
      </c>
      <c r="U45" s="504">
        <v>9</v>
      </c>
      <c r="V45" s="505" t="s">
        <v>2328</v>
      </c>
      <c r="W45" s="505" t="s">
        <v>2328</v>
      </c>
      <c r="X45" s="505" t="s">
        <v>2328</v>
      </c>
      <c r="Y45" s="505" t="s">
        <v>2328</v>
      </c>
      <c r="Z45" s="505" t="s">
        <v>2328</v>
      </c>
      <c r="AA45" s="505" t="s">
        <v>2328</v>
      </c>
      <c r="AB45" s="505" t="s">
        <v>2328</v>
      </c>
      <c r="AC45" s="89">
        <f>main!T49</f>
        <v>45338</v>
      </c>
      <c r="AD45" s="89">
        <f>main!U49</f>
        <v>45353</v>
      </c>
      <c r="AE45" s="89">
        <f>main!V49</f>
        <v>45345.5</v>
      </c>
      <c r="AF45" s="503">
        <f>main!H49</f>
        <v>15</v>
      </c>
      <c r="AG45" s="505" t="s">
        <v>2328</v>
      </c>
      <c r="AH45" s="505" t="s">
        <v>2328</v>
      </c>
      <c r="AI45" s="505" t="s">
        <v>2328</v>
      </c>
      <c r="AJ45" s="505" t="s">
        <v>2328</v>
      </c>
      <c r="AK45" s="505" t="s">
        <v>2328</v>
      </c>
      <c r="AL45" s="505" t="s">
        <v>2328</v>
      </c>
      <c r="AM45" s="138">
        <f>depths!$B$3</f>
        <v>2080.1999999999998</v>
      </c>
      <c r="AN45" s="43"/>
      <c r="AO45" s="505" t="s">
        <v>2328</v>
      </c>
      <c r="AP45" s="504">
        <v>9</v>
      </c>
      <c r="AQ45" s="505" t="s">
        <v>2328</v>
      </c>
      <c r="AR45" s="504">
        <v>9</v>
      </c>
      <c r="AS45" s="505" t="s">
        <v>2328</v>
      </c>
      <c r="AT45" s="504">
        <v>9</v>
      </c>
      <c r="AU45" s="505" t="s">
        <v>2328</v>
      </c>
      <c r="AV45" s="504">
        <v>9</v>
      </c>
      <c r="AW45" s="505" t="s">
        <v>2328</v>
      </c>
      <c r="AX45" s="504">
        <v>9</v>
      </c>
      <c r="AY45" s="505" t="s">
        <v>2328</v>
      </c>
      <c r="AZ45" s="505" t="s">
        <v>2328</v>
      </c>
      <c r="BA45" s="505">
        <f>main!R49</f>
        <v>41.04</v>
      </c>
      <c r="BB45" s="506">
        <v>1</v>
      </c>
      <c r="BC45" s="505">
        <f>main!S49</f>
        <v>8.67</v>
      </c>
      <c r="BD45" s="506">
        <v>1</v>
      </c>
    </row>
    <row r="46" spans="1:56">
      <c r="A46" s="43">
        <f>main!A50</f>
        <v>2023</v>
      </c>
      <c r="B46" s="43" t="str">
        <f>main!B50</f>
        <v>47_2000</v>
      </c>
      <c r="C46" s="43">
        <v>20</v>
      </c>
      <c r="D46" s="43" t="str">
        <f>main!$B$30</f>
        <v>McLane-PARFLUX-Mark78H-21 ; frame# 14182-01, controller# 11741-01 and Motor # 14182-01 Cup set Ex21</v>
      </c>
      <c r="E46" s="43">
        <v>2000</v>
      </c>
      <c r="F46" s="502">
        <v>4</v>
      </c>
      <c r="G46" s="503" t="str">
        <f>main!E50</f>
        <v>NaN</v>
      </c>
      <c r="H46" s="193" t="str">
        <f>main!I50</f>
        <v>NaN</v>
      </c>
      <c r="I46" s="193" t="str">
        <f>main!J50</f>
        <v>NaN</v>
      </c>
      <c r="J46" s="500">
        <v>9</v>
      </c>
      <c r="K46" s="505" t="s">
        <v>2328</v>
      </c>
      <c r="L46" s="505" t="s">
        <v>2328</v>
      </c>
      <c r="M46" s="504">
        <v>9</v>
      </c>
      <c r="N46" s="505" t="str">
        <f>main!M50</f>
        <v>NaN</v>
      </c>
      <c r="O46" s="504">
        <v>9</v>
      </c>
      <c r="P46" s="505" t="str">
        <f>main!O50</f>
        <v>NaN</v>
      </c>
      <c r="Q46" s="504">
        <v>9</v>
      </c>
      <c r="R46" s="505" t="s">
        <v>2328</v>
      </c>
      <c r="S46" s="504">
        <v>9</v>
      </c>
      <c r="T46" s="505" t="str">
        <f>main!AB50</f>
        <v>NaN</v>
      </c>
      <c r="U46" s="504">
        <v>9</v>
      </c>
      <c r="V46" s="505" t="s">
        <v>2328</v>
      </c>
      <c r="W46" s="505" t="s">
        <v>2328</v>
      </c>
      <c r="X46" s="505" t="s">
        <v>2328</v>
      </c>
      <c r="Y46" s="505" t="s">
        <v>2328</v>
      </c>
      <c r="Z46" s="505" t="s">
        <v>2328</v>
      </c>
      <c r="AA46" s="505" t="s">
        <v>2328</v>
      </c>
      <c r="AB46" s="505" t="s">
        <v>2328</v>
      </c>
      <c r="AC46" s="89">
        <f>main!T50</f>
        <v>45353</v>
      </c>
      <c r="AD46" s="89">
        <f>main!U50</f>
        <v>45368</v>
      </c>
      <c r="AE46" s="89">
        <f>main!V50</f>
        <v>45360.5</v>
      </c>
      <c r="AF46" s="503">
        <f>main!H50</f>
        <v>15</v>
      </c>
      <c r="AG46" s="505" t="s">
        <v>2328</v>
      </c>
      <c r="AH46" s="505" t="s">
        <v>2328</v>
      </c>
      <c r="AI46" s="505" t="s">
        <v>2328</v>
      </c>
      <c r="AJ46" s="505" t="s">
        <v>2328</v>
      </c>
      <c r="AK46" s="505" t="s">
        <v>2328</v>
      </c>
      <c r="AL46" s="505" t="s">
        <v>2328</v>
      </c>
      <c r="AM46" s="138">
        <f>depths!$B$3</f>
        <v>2080.1999999999998</v>
      </c>
      <c r="AN46" s="43"/>
      <c r="AO46" s="505" t="s">
        <v>2328</v>
      </c>
      <c r="AP46" s="504">
        <v>9</v>
      </c>
      <c r="AQ46" s="505" t="s">
        <v>2328</v>
      </c>
      <c r="AR46" s="504">
        <v>9</v>
      </c>
      <c r="AS46" s="505" t="s">
        <v>2328</v>
      </c>
      <c r="AT46" s="504">
        <v>9</v>
      </c>
      <c r="AU46" s="505" t="s">
        <v>2328</v>
      </c>
      <c r="AV46" s="504">
        <v>9</v>
      </c>
      <c r="AW46" s="505" t="s">
        <v>2328</v>
      </c>
      <c r="AX46" s="504">
        <v>9</v>
      </c>
      <c r="AY46" s="505" t="s">
        <v>2328</v>
      </c>
      <c r="AZ46" s="505" t="s">
        <v>2328</v>
      </c>
      <c r="BA46" s="505">
        <f>main!R50</f>
        <v>41.19</v>
      </c>
      <c r="BB46" s="506">
        <v>1</v>
      </c>
      <c r="BC46" s="505">
        <f>main!S50</f>
        <v>8.65</v>
      </c>
      <c r="BD46" s="506">
        <v>1</v>
      </c>
    </row>
    <row r="47" spans="1:56" s="268" customFormat="1" ht="15.75" thickBot="1">
      <c r="A47" s="426">
        <f>main!A51</f>
        <v>2023</v>
      </c>
      <c r="B47" s="426" t="str">
        <f>main!B51</f>
        <v>47_2000</v>
      </c>
      <c r="C47" s="426">
        <v>21</v>
      </c>
      <c r="D47" s="426" t="str">
        <f>main!$B$30</f>
        <v>McLane-PARFLUX-Mark78H-21 ; frame# 14182-01, controller# 11741-01 and Motor # 14182-01 Cup set Ex21</v>
      </c>
      <c r="E47" s="426">
        <v>2000</v>
      </c>
      <c r="F47" s="502">
        <v>4</v>
      </c>
      <c r="G47" s="503" t="str">
        <f>main!E51</f>
        <v>NaN</v>
      </c>
      <c r="H47" s="508" t="str">
        <f>main!I51</f>
        <v>NaN</v>
      </c>
      <c r="I47" s="508" t="str">
        <f>main!J51</f>
        <v>NaN</v>
      </c>
      <c r="J47" s="514">
        <v>9</v>
      </c>
      <c r="K47" s="510" t="s">
        <v>2328</v>
      </c>
      <c r="L47" s="510" t="s">
        <v>2328</v>
      </c>
      <c r="M47" s="509">
        <v>9</v>
      </c>
      <c r="N47" s="510" t="str">
        <f>main!M51</f>
        <v>NaN</v>
      </c>
      <c r="O47" s="509">
        <v>9</v>
      </c>
      <c r="P47" s="510" t="str">
        <f>main!O51</f>
        <v>NaN</v>
      </c>
      <c r="Q47" s="509">
        <v>9</v>
      </c>
      <c r="R47" s="510" t="s">
        <v>2328</v>
      </c>
      <c r="S47" s="509">
        <v>9</v>
      </c>
      <c r="T47" s="510" t="str">
        <f>main!AB51</f>
        <v>NaN</v>
      </c>
      <c r="U47" s="509">
        <v>9</v>
      </c>
      <c r="V47" s="510" t="s">
        <v>2328</v>
      </c>
      <c r="W47" s="510" t="s">
        <v>2328</v>
      </c>
      <c r="X47" s="510" t="s">
        <v>2328</v>
      </c>
      <c r="Y47" s="510" t="s">
        <v>2328</v>
      </c>
      <c r="Z47" s="510" t="s">
        <v>2328</v>
      </c>
      <c r="AA47" s="510" t="s">
        <v>2328</v>
      </c>
      <c r="AB47" s="510" t="s">
        <v>2328</v>
      </c>
      <c r="AC47" s="511">
        <f>main!T51</f>
        <v>45368</v>
      </c>
      <c r="AD47" s="511">
        <f>main!U51</f>
        <v>45383</v>
      </c>
      <c r="AE47" s="511">
        <f>main!V51</f>
        <v>45375.5</v>
      </c>
      <c r="AF47" s="507">
        <f>main!H51</f>
        <v>15</v>
      </c>
      <c r="AG47" s="510" t="s">
        <v>2328</v>
      </c>
      <c r="AH47" s="510" t="s">
        <v>2328</v>
      </c>
      <c r="AI47" s="510" t="s">
        <v>2328</v>
      </c>
      <c r="AJ47" s="510" t="s">
        <v>2328</v>
      </c>
      <c r="AK47" s="510" t="s">
        <v>2328</v>
      </c>
      <c r="AL47" s="510" t="s">
        <v>2328</v>
      </c>
      <c r="AM47" s="553">
        <f>depths!$B$3</f>
        <v>2080.1999999999998</v>
      </c>
      <c r="AN47" s="426"/>
      <c r="AO47" s="510" t="s">
        <v>2328</v>
      </c>
      <c r="AP47" s="509">
        <v>9</v>
      </c>
      <c r="AQ47" s="510" t="s">
        <v>2328</v>
      </c>
      <c r="AR47" s="509">
        <v>9</v>
      </c>
      <c r="AS47" s="510" t="s">
        <v>2328</v>
      </c>
      <c r="AT47" s="509">
        <v>9</v>
      </c>
      <c r="AU47" s="510" t="s">
        <v>2328</v>
      </c>
      <c r="AV47" s="509">
        <v>9</v>
      </c>
      <c r="AW47" s="510" t="s">
        <v>2328</v>
      </c>
      <c r="AX47" s="509">
        <v>9</v>
      </c>
      <c r="AY47" s="510" t="s">
        <v>2328</v>
      </c>
      <c r="AZ47" s="510" t="s">
        <v>2328</v>
      </c>
      <c r="BA47" s="510">
        <f>main!R51</f>
        <v>41.27</v>
      </c>
      <c r="BB47" s="506">
        <v>1</v>
      </c>
      <c r="BC47" s="510">
        <f>main!S51</f>
        <v>8.48</v>
      </c>
      <c r="BD47" s="506">
        <v>1</v>
      </c>
    </row>
    <row r="48" spans="1:56">
      <c r="A48" s="43">
        <f>main!A55</f>
        <v>2023</v>
      </c>
      <c r="B48" s="43" t="str">
        <f>main!B55</f>
        <v>47_3800</v>
      </c>
      <c r="C48" s="43">
        <v>1</v>
      </c>
      <c r="D48" s="43" t="str">
        <f>main!$B$54</f>
        <v>McLane-PARFLUX-Mark78H-21 ; frame# 10705, controller# 11649-01 and Motor # 11649-01 Cup set Lx21</v>
      </c>
      <c r="E48" s="43">
        <v>3800</v>
      </c>
      <c r="F48" s="502">
        <v>1</v>
      </c>
      <c r="G48" s="503">
        <f>main!E55</f>
        <v>798.97142857142853</v>
      </c>
      <c r="H48" s="193">
        <f>main!I55</f>
        <v>106.52952380952381</v>
      </c>
      <c r="I48" s="193">
        <f>main!J55</f>
        <v>38.909908571428574</v>
      </c>
      <c r="J48" s="500">
        <v>1</v>
      </c>
      <c r="K48" s="505">
        <f>main!AF55</f>
        <v>64.111804256835711</v>
      </c>
      <c r="L48" s="505">
        <f>main!AG55</f>
        <v>7.6931423505433463</v>
      </c>
      <c r="M48" s="504">
        <v>1</v>
      </c>
      <c r="N48" s="505">
        <f>main!M55</f>
        <v>14.708972930908203</v>
      </c>
      <c r="O48" s="504">
        <v>1</v>
      </c>
      <c r="P48" s="505">
        <f>main!O55</f>
        <v>1.0882322788238525</v>
      </c>
      <c r="Q48" s="504">
        <v>1</v>
      </c>
      <c r="R48" s="505">
        <f>main!AH55</f>
        <v>7.0158305803648568</v>
      </c>
      <c r="S48" s="504">
        <v>1</v>
      </c>
      <c r="T48" s="505">
        <f>main!AB55</f>
        <v>6.1639201969283812</v>
      </c>
      <c r="U48" s="504">
        <v>1</v>
      </c>
      <c r="V48" s="505">
        <f>main!AC55</f>
        <v>13.185829997629989</v>
      </c>
      <c r="W48" s="505">
        <f t="shared" si="19"/>
        <v>24.945844419828028</v>
      </c>
      <c r="X48" s="505">
        <f t="shared" si="20"/>
        <v>2.9933946548662669</v>
      </c>
      <c r="Y48" s="505">
        <f t="shared" si="21"/>
        <v>5.72324791921256</v>
      </c>
      <c r="Z48" s="505">
        <f t="shared" si="22"/>
        <v>0.42343018473513466</v>
      </c>
      <c r="AA48" s="505">
        <f t="shared" si="23"/>
        <v>2.7298532643462923</v>
      </c>
      <c r="AB48" s="505">
        <f t="shared" si="24"/>
        <v>5.1305943964618308</v>
      </c>
      <c r="AC48" s="89">
        <f>main!T55</f>
        <v>45068</v>
      </c>
      <c r="AD48" s="89">
        <f>main!U55</f>
        <v>45083</v>
      </c>
      <c r="AE48" s="89">
        <f>main!V55</f>
        <v>45075.5</v>
      </c>
      <c r="AF48" s="503">
        <f>main!H55</f>
        <v>15</v>
      </c>
      <c r="AG48" s="193">
        <f t="shared" si="6"/>
        <v>2.3983757130406533</v>
      </c>
      <c r="AH48" s="193">
        <f t="shared" si="7"/>
        <v>0.47654020975958034</v>
      </c>
      <c r="AI48" s="193">
        <f t="shared" si="8"/>
        <v>3.0223425034627743E-2</v>
      </c>
      <c r="AJ48" s="193">
        <f t="shared" si="9"/>
        <v>0.22729835673158139</v>
      </c>
      <c r="AK48" s="193">
        <f t="shared" si="10"/>
        <v>0.24924185302799892</v>
      </c>
      <c r="AL48" s="193">
        <f t="shared" si="11"/>
        <v>8.5381833856911837E-2</v>
      </c>
      <c r="AM48" s="138">
        <f>depths!$B$4</f>
        <v>3816.4</v>
      </c>
      <c r="AN48" s="43"/>
      <c r="AO48" s="505">
        <f t="shared" si="25"/>
        <v>476.54020975958031</v>
      </c>
      <c r="AP48" s="504">
        <v>1</v>
      </c>
      <c r="AQ48" s="505">
        <f t="shared" si="26"/>
        <v>30.223425034627745</v>
      </c>
      <c r="AR48" s="504">
        <v>1</v>
      </c>
      <c r="AS48" s="505">
        <f t="shared" si="27"/>
        <v>227.29835673158138</v>
      </c>
      <c r="AT48" s="504">
        <v>1</v>
      </c>
      <c r="AU48" s="505">
        <f t="shared" si="28"/>
        <v>249.24185302799893</v>
      </c>
      <c r="AV48" s="504">
        <v>1</v>
      </c>
      <c r="AW48" s="505">
        <f t="shared" si="29"/>
        <v>85.38183385691184</v>
      </c>
      <c r="AX48" s="504">
        <v>1</v>
      </c>
      <c r="AY48" s="505">
        <f t="shared" si="30"/>
        <v>7.5206021975060695</v>
      </c>
      <c r="AZ48" s="505">
        <f t="shared" si="31"/>
        <v>8.2466448704088364</v>
      </c>
      <c r="BA48" s="505">
        <f>main!R55</f>
        <v>39.47</v>
      </c>
      <c r="BB48" s="506">
        <v>1</v>
      </c>
      <c r="BC48" s="505">
        <f>main!S55</f>
        <v>8.5</v>
      </c>
      <c r="BD48" s="506">
        <v>1</v>
      </c>
    </row>
    <row r="49" spans="1:56">
      <c r="A49" s="43">
        <f>main!A56</f>
        <v>2023</v>
      </c>
      <c r="B49" s="43" t="str">
        <f>main!B56</f>
        <v>47_3800</v>
      </c>
      <c r="C49" s="43">
        <v>2</v>
      </c>
      <c r="D49" s="43" t="str">
        <f>main!$B$54</f>
        <v>McLane-PARFLUX-Mark78H-21 ; frame# 10705, controller# 11649-01 and Motor # 11649-01 Cup set Lx21</v>
      </c>
      <c r="E49" s="43">
        <v>3800</v>
      </c>
      <c r="F49" s="502">
        <v>1</v>
      </c>
      <c r="G49" s="503">
        <f>main!E56</f>
        <v>258.91428571428571</v>
      </c>
      <c r="H49" s="193">
        <f>main!I56</f>
        <v>34.521904761904764</v>
      </c>
      <c r="I49" s="193">
        <f>main!J56</f>
        <v>12.609125714285714</v>
      </c>
      <c r="J49" s="500">
        <v>1</v>
      </c>
      <c r="K49" s="505">
        <f>main!AF56</f>
        <v>73.037669159249134</v>
      </c>
      <c r="L49" s="505">
        <f>main!AG56</f>
        <v>8.7642079693004984</v>
      </c>
      <c r="M49" s="504">
        <v>1</v>
      </c>
      <c r="N49" s="505">
        <f>main!M56</f>
        <v>13.25831413269043</v>
      </c>
      <c r="O49" s="504">
        <v>1</v>
      </c>
      <c r="P49" s="505">
        <f>main!O56</f>
        <v>0.66240662336349487</v>
      </c>
      <c r="Q49" s="504">
        <v>1</v>
      </c>
      <c r="R49" s="505">
        <f>main!AH56</f>
        <v>4.4941061633899313</v>
      </c>
      <c r="S49" s="504">
        <v>1</v>
      </c>
      <c r="T49" s="505">
        <f>main!AB56</f>
        <v>5.2068795361780396</v>
      </c>
      <c r="U49" s="504">
        <v>1</v>
      </c>
      <c r="V49" s="505">
        <f>main!AC56</f>
        <v>11.138532977178297</v>
      </c>
      <c r="W49" s="505">
        <f t="shared" si="19"/>
        <v>9.2094115230738076</v>
      </c>
      <c r="X49" s="505">
        <f t="shared" si="20"/>
        <v>1.1050900007105469</v>
      </c>
      <c r="Y49" s="505">
        <f t="shared" si="21"/>
        <v>1.6717574965858459</v>
      </c>
      <c r="Z49" s="505">
        <f t="shared" si="22"/>
        <v>8.3523683879658153E-2</v>
      </c>
      <c r="AA49" s="505">
        <f t="shared" si="23"/>
        <v>0.56666749587529897</v>
      </c>
      <c r="AB49" s="505">
        <f t="shared" si="24"/>
        <v>1.4044716258195828</v>
      </c>
      <c r="AC49" s="89">
        <f>main!T56</f>
        <v>45083</v>
      </c>
      <c r="AD49" s="89">
        <f>main!U56</f>
        <v>45098</v>
      </c>
      <c r="AE49" s="89">
        <f>main!V56</f>
        <v>45090.5</v>
      </c>
      <c r="AF49" s="503">
        <f>main!H56</f>
        <v>15</v>
      </c>
      <c r="AG49" s="193">
        <f t="shared" si="6"/>
        <v>0.65654198650810591</v>
      </c>
      <c r="AH49" s="193">
        <f t="shared" si="7"/>
        <v>0.13919712710956253</v>
      </c>
      <c r="AI49" s="193">
        <f t="shared" si="8"/>
        <v>5.9617190492261352E-3</v>
      </c>
      <c r="AJ49" s="193">
        <f t="shared" si="9"/>
        <v>4.7182972179458701E-2</v>
      </c>
      <c r="AK49" s="193">
        <f t="shared" si="10"/>
        <v>9.2014154930103814E-2</v>
      </c>
      <c r="AL49" s="193">
        <f t="shared" si="11"/>
        <v>2.3372801228483658E-2</v>
      </c>
      <c r="AM49" s="138">
        <f>depths!$B$4</f>
        <v>3816.4</v>
      </c>
      <c r="AN49" s="43"/>
      <c r="AO49" s="505">
        <f t="shared" si="25"/>
        <v>139.19712710956253</v>
      </c>
      <c r="AP49" s="504">
        <v>1</v>
      </c>
      <c r="AQ49" s="505">
        <f t="shared" si="26"/>
        <v>5.9617190492261356</v>
      </c>
      <c r="AR49" s="504">
        <v>1</v>
      </c>
      <c r="AS49" s="505">
        <f t="shared" si="27"/>
        <v>47.182972179458702</v>
      </c>
      <c r="AT49" s="504">
        <v>1</v>
      </c>
      <c r="AU49" s="505">
        <f t="shared" si="28"/>
        <v>92.014154930103814</v>
      </c>
      <c r="AV49" s="504">
        <v>1</v>
      </c>
      <c r="AW49" s="505">
        <f t="shared" si="29"/>
        <v>23.372801228483656</v>
      </c>
      <c r="AX49" s="504">
        <v>1</v>
      </c>
      <c r="AY49" s="505">
        <f t="shared" ref="AY49:AY68" si="32">AS49/AQ49</f>
        <v>7.9143233335665686</v>
      </c>
      <c r="AZ49" s="505">
        <f t="shared" ref="AZ49:AZ68" si="33">AU49/AQ49</f>
        <v>15.434164906185535</v>
      </c>
      <c r="BA49" s="505">
        <f>main!R56</f>
        <v>39.590000000000003</v>
      </c>
      <c r="BB49" s="506">
        <v>1</v>
      </c>
      <c r="BC49" s="505">
        <f>main!S56</f>
        <v>8.66</v>
      </c>
      <c r="BD49" s="506">
        <v>1</v>
      </c>
    </row>
    <row r="50" spans="1:56">
      <c r="A50" s="43">
        <f>main!A57</f>
        <v>2023</v>
      </c>
      <c r="B50" s="43" t="str">
        <f>main!B57</f>
        <v>47_3800</v>
      </c>
      <c r="C50" s="43">
        <v>3</v>
      </c>
      <c r="D50" s="43" t="str">
        <f>main!$B$54</f>
        <v>McLane-PARFLUX-Mark78H-21 ; frame# 10705, controller# 11649-01 and Motor # 11649-01 Cup set Lx21</v>
      </c>
      <c r="E50" s="43">
        <v>3800</v>
      </c>
      <c r="F50" s="502">
        <v>1</v>
      </c>
      <c r="G50" s="503">
        <f>main!E57</f>
        <v>111.45714285714288</v>
      </c>
      <c r="H50" s="193">
        <f>main!I57</f>
        <v>14.860952380952385</v>
      </c>
      <c r="I50" s="193">
        <f>main!J57</f>
        <v>5.4279628571428589</v>
      </c>
      <c r="J50" s="500">
        <v>1</v>
      </c>
      <c r="K50" s="505">
        <f>main!AF57</f>
        <v>72.444641581025849</v>
      </c>
      <c r="L50" s="505">
        <f>main!AG57</f>
        <v>8.6930471958679956</v>
      </c>
      <c r="M50" s="504">
        <v>1</v>
      </c>
      <c r="N50" s="505">
        <f>main!M57</f>
        <v>14.330452919006348</v>
      </c>
      <c r="O50" s="504">
        <v>1</v>
      </c>
      <c r="P50" s="505">
        <f>main!O57</f>
        <v>0.82626485824584961</v>
      </c>
      <c r="Q50" s="504">
        <v>1</v>
      </c>
      <c r="R50" s="505">
        <f>main!AH57</f>
        <v>5.6374057231383521</v>
      </c>
      <c r="S50" s="504">
        <v>1</v>
      </c>
      <c r="T50" s="505">
        <f>main!AB57</f>
        <v>4.2687705903628839</v>
      </c>
      <c r="U50" s="504">
        <v>1</v>
      </c>
      <c r="V50" s="505">
        <f>main!AC57</f>
        <v>9.1317345950482647</v>
      </c>
      <c r="W50" s="505">
        <f t="shared" si="19"/>
        <v>3.9322682370083544</v>
      </c>
      <c r="X50" s="505">
        <f t="shared" si="20"/>
        <v>0.47185537294561358</v>
      </c>
      <c r="Y50" s="505">
        <f t="shared" si="21"/>
        <v>0.77785166170400921</v>
      </c>
      <c r="Z50" s="505">
        <f t="shared" si="22"/>
        <v>4.4849349607208808E-2</v>
      </c>
      <c r="AA50" s="505">
        <f t="shared" si="23"/>
        <v>0.30599628875839552</v>
      </c>
      <c r="AB50" s="505">
        <f t="shared" si="24"/>
        <v>0.49566716203208466</v>
      </c>
      <c r="AC50" s="89">
        <f>main!T57</f>
        <v>45098</v>
      </c>
      <c r="AD50" s="89">
        <f>main!U57</f>
        <v>45113</v>
      </c>
      <c r="AE50" s="89">
        <f>main!V57</f>
        <v>45105.5</v>
      </c>
      <c r="AF50" s="503">
        <f>main!H57</f>
        <v>15</v>
      </c>
      <c r="AG50" s="193">
        <f t="shared" si="6"/>
        <v>0.23170728210153527</v>
      </c>
      <c r="AH50" s="193">
        <f t="shared" si="7"/>
        <v>6.4766999309243067E-2</v>
      </c>
      <c r="AI50" s="193">
        <f t="shared" si="8"/>
        <v>3.2012383731055537E-3</v>
      </c>
      <c r="AJ50" s="193">
        <f t="shared" si="9"/>
        <v>2.5478458680965488E-2</v>
      </c>
      <c r="AK50" s="193">
        <f t="shared" si="10"/>
        <v>3.9288540628277566E-2</v>
      </c>
      <c r="AL50" s="193">
        <f t="shared" si="11"/>
        <v>8.2487462478296643E-3</v>
      </c>
      <c r="AM50" s="138">
        <f>depths!$B$4</f>
        <v>3816.4</v>
      </c>
      <c r="AN50" s="43"/>
      <c r="AO50" s="505">
        <f t="shared" si="25"/>
        <v>64.766999309243062</v>
      </c>
      <c r="AP50" s="504">
        <v>1</v>
      </c>
      <c r="AQ50" s="505">
        <f t="shared" si="26"/>
        <v>3.2012383731055536</v>
      </c>
      <c r="AR50" s="504">
        <v>1</v>
      </c>
      <c r="AS50" s="505">
        <f t="shared" si="27"/>
        <v>25.478458680965488</v>
      </c>
      <c r="AT50" s="504">
        <v>1</v>
      </c>
      <c r="AU50" s="505">
        <f t="shared" si="28"/>
        <v>39.288540628277566</v>
      </c>
      <c r="AV50" s="504">
        <v>1</v>
      </c>
      <c r="AW50" s="505">
        <f t="shared" si="29"/>
        <v>8.2487462478296649</v>
      </c>
      <c r="AX50" s="504">
        <v>1</v>
      </c>
      <c r="AY50" s="505">
        <f t="shared" si="32"/>
        <v>7.9589382955723407</v>
      </c>
      <c r="AZ50" s="505">
        <f t="shared" si="33"/>
        <v>12.272919429665388</v>
      </c>
      <c r="BA50" s="505">
        <f>main!R57</f>
        <v>40.1</v>
      </c>
      <c r="BB50" s="506">
        <v>1</v>
      </c>
      <c r="BC50" s="505">
        <f>main!S57</f>
        <v>8.6999999999999993</v>
      </c>
      <c r="BD50" s="506">
        <v>1</v>
      </c>
    </row>
    <row r="51" spans="1:56">
      <c r="A51" s="43">
        <f>main!A58</f>
        <v>2023</v>
      </c>
      <c r="B51" s="43" t="str">
        <f>main!B58</f>
        <v>47_3800</v>
      </c>
      <c r="C51" s="43">
        <v>4</v>
      </c>
      <c r="D51" s="43" t="str">
        <f>main!$B$54</f>
        <v>McLane-PARFLUX-Mark78H-21 ; frame# 10705, controller# 11649-01 and Motor # 11649-01 Cup set Lx21</v>
      </c>
      <c r="E51" s="43">
        <v>3800</v>
      </c>
      <c r="F51" s="502">
        <v>1</v>
      </c>
      <c r="G51" s="503">
        <f>main!E58</f>
        <v>233.84285714285713</v>
      </c>
      <c r="H51" s="193">
        <f>main!I58</f>
        <v>31.179047619047616</v>
      </c>
      <c r="I51" s="193">
        <f>main!J58</f>
        <v>11.388147142857143</v>
      </c>
      <c r="J51" s="500">
        <v>1</v>
      </c>
      <c r="K51" s="505">
        <f>main!AF58</f>
        <v>77.126100462947051</v>
      </c>
      <c r="L51" s="505">
        <f>main!AG58</f>
        <v>9.2548022424512499</v>
      </c>
      <c r="M51" s="504">
        <v>1</v>
      </c>
      <c r="N51" s="505">
        <f>main!M58</f>
        <v>12.345164775848389</v>
      </c>
      <c r="O51" s="504">
        <v>1</v>
      </c>
      <c r="P51" s="505">
        <f>main!O58</f>
        <v>0.43261502683162689</v>
      </c>
      <c r="Q51" s="504">
        <v>1</v>
      </c>
      <c r="R51" s="505">
        <f>main!AH58</f>
        <v>3.0903625333971387</v>
      </c>
      <c r="S51" s="504">
        <v>1</v>
      </c>
      <c r="T51" s="505">
        <f>main!AB58</f>
        <v>5.0101056207442376</v>
      </c>
      <c r="U51" s="504">
        <v>1</v>
      </c>
      <c r="V51" s="505">
        <f>main!AC58</f>
        <v>10.717595113938103</v>
      </c>
      <c r="W51" s="505">
        <f t="shared" si="19"/>
        <v>8.7832338062682354</v>
      </c>
      <c r="X51" s="505">
        <f t="shared" si="20"/>
        <v>1.0539504971507909</v>
      </c>
      <c r="Y51" s="505">
        <f t="shared" si="21"/>
        <v>1.4058855297017847</v>
      </c>
      <c r="Z51" s="505">
        <f t="shared" si="22"/>
        <v>4.9266835817696586E-2</v>
      </c>
      <c r="AA51" s="505">
        <f t="shared" si="23"/>
        <v>0.35193503255099384</v>
      </c>
      <c r="AB51" s="505">
        <f t="shared" si="24"/>
        <v>1.2205355017509387</v>
      </c>
      <c r="AC51" s="89">
        <f>main!T58</f>
        <v>45113</v>
      </c>
      <c r="AD51" s="89">
        <f>main!U58</f>
        <v>45128</v>
      </c>
      <c r="AE51" s="89">
        <f>main!V58</f>
        <v>45120.5</v>
      </c>
      <c r="AF51" s="503">
        <f>main!H58</f>
        <v>15</v>
      </c>
      <c r="AG51" s="193">
        <f t="shared" si="6"/>
        <v>0.57055820010291003</v>
      </c>
      <c r="AH51" s="193">
        <f t="shared" si="7"/>
        <v>0.1170595778269596</v>
      </c>
      <c r="AI51" s="193">
        <f t="shared" si="8"/>
        <v>3.5165478813487926E-3</v>
      </c>
      <c r="AJ51" s="193">
        <f t="shared" si="9"/>
        <v>2.9303499796086083E-2</v>
      </c>
      <c r="AK51" s="193">
        <f t="shared" si="10"/>
        <v>8.7756078030873513E-2</v>
      </c>
      <c r="AL51" s="193">
        <f t="shared" si="11"/>
        <v>2.031179067650089E-2</v>
      </c>
      <c r="AM51" s="138">
        <f>depths!$B$4</f>
        <v>3816.4</v>
      </c>
      <c r="AN51" s="43"/>
      <c r="AO51" s="505">
        <f t="shared" si="25"/>
        <v>117.0595778269596</v>
      </c>
      <c r="AP51" s="504">
        <v>1</v>
      </c>
      <c r="AQ51" s="505">
        <f t="shared" si="26"/>
        <v>3.5165478813487927</v>
      </c>
      <c r="AR51" s="504">
        <v>1</v>
      </c>
      <c r="AS51" s="505">
        <f t="shared" si="27"/>
        <v>29.303499796086083</v>
      </c>
      <c r="AT51" s="504">
        <v>1</v>
      </c>
      <c r="AU51" s="505">
        <f t="shared" si="28"/>
        <v>87.75607803087351</v>
      </c>
      <c r="AV51" s="504">
        <v>1</v>
      </c>
      <c r="AW51" s="505">
        <f t="shared" si="29"/>
        <v>20.311790676500891</v>
      </c>
      <c r="AX51" s="504">
        <v>1</v>
      </c>
      <c r="AY51" s="505">
        <f t="shared" si="32"/>
        <v>8.3330302287385756</v>
      </c>
      <c r="AZ51" s="505">
        <f t="shared" si="33"/>
        <v>24.955177916478178</v>
      </c>
      <c r="BA51" s="505">
        <f>main!R58</f>
        <v>39.65</v>
      </c>
      <c r="BB51" s="506">
        <v>1</v>
      </c>
      <c r="BC51" s="505">
        <f>main!S58</f>
        <v>8.67</v>
      </c>
      <c r="BD51" s="506">
        <v>1</v>
      </c>
    </row>
    <row r="52" spans="1:56">
      <c r="A52" s="43">
        <f>main!A59</f>
        <v>2023</v>
      </c>
      <c r="B52" s="43" t="str">
        <f>main!B59</f>
        <v>47_3800</v>
      </c>
      <c r="C52" s="43">
        <v>5</v>
      </c>
      <c r="D52" s="43" t="str">
        <f>main!$B$54</f>
        <v>McLane-PARFLUX-Mark78H-21 ; frame# 10705, controller# 11649-01 and Motor # 11649-01 Cup set Lx21</v>
      </c>
      <c r="E52" s="43">
        <v>3800</v>
      </c>
      <c r="F52" s="502">
        <v>1</v>
      </c>
      <c r="G52" s="503">
        <f>main!E59</f>
        <v>161.41428571428571</v>
      </c>
      <c r="H52" s="193">
        <f>main!I59</f>
        <v>21.521904761904761</v>
      </c>
      <c r="I52" s="193">
        <f>main!J59</f>
        <v>7.8608757142857142</v>
      </c>
      <c r="J52" s="500">
        <v>1</v>
      </c>
      <c r="K52" s="505">
        <f>main!AF59</f>
        <v>74.410123616801727</v>
      </c>
      <c r="L52" s="505">
        <f>main!AG59</f>
        <v>8.9288966352018964</v>
      </c>
      <c r="M52" s="504">
        <v>1</v>
      </c>
      <c r="N52" s="505">
        <f>main!M59</f>
        <v>12.082046508789063</v>
      </c>
      <c r="O52" s="504">
        <v>1</v>
      </c>
      <c r="P52" s="505">
        <f>main!O59</f>
        <v>0.45895856618881226</v>
      </c>
      <c r="Q52" s="504">
        <v>1</v>
      </c>
      <c r="R52" s="505">
        <f>main!AH59</f>
        <v>3.1531498735871661</v>
      </c>
      <c r="S52" s="504">
        <v>1</v>
      </c>
      <c r="T52" s="505">
        <f>main!AB59</f>
        <v>5.0193551141446857</v>
      </c>
      <c r="U52" s="504">
        <v>1</v>
      </c>
      <c r="V52" s="505">
        <f>main!AC59</f>
        <v>10.737381588072415</v>
      </c>
      <c r="W52" s="505">
        <f t="shared" si="19"/>
        <v>5.8492873363631457</v>
      </c>
      <c r="X52" s="505">
        <f t="shared" si="20"/>
        <v>0.70188946715026024</v>
      </c>
      <c r="Y52" s="505">
        <f t="shared" si="21"/>
        <v>0.94975465979810447</v>
      </c>
      <c r="Z52" s="505">
        <f t="shared" si="22"/>
        <v>3.607816246817027E-2</v>
      </c>
      <c r="AA52" s="505">
        <f t="shared" si="23"/>
        <v>0.24786519264784423</v>
      </c>
      <c r="AB52" s="505">
        <f t="shared" si="24"/>
        <v>0.84405222160697013</v>
      </c>
      <c r="AC52" s="89">
        <f>main!T59</f>
        <v>45128</v>
      </c>
      <c r="AD52" s="89">
        <f>main!U59</f>
        <v>45143</v>
      </c>
      <c r="AE52" s="89">
        <f>main!V59</f>
        <v>45135.5</v>
      </c>
      <c r="AF52" s="503">
        <f>main!H59</f>
        <v>15</v>
      </c>
      <c r="AG52" s="193">
        <f t="shared" si="6"/>
        <v>0.3945652671815576</v>
      </c>
      <c r="AH52" s="193">
        <f t="shared" si="7"/>
        <v>7.9080321382023686E-2</v>
      </c>
      <c r="AI52" s="193">
        <f t="shared" si="8"/>
        <v>2.5751721961577638E-3</v>
      </c>
      <c r="AJ52" s="193">
        <f t="shared" si="9"/>
        <v>2.063823419216022E-2</v>
      </c>
      <c r="AK52" s="193">
        <f t="shared" si="10"/>
        <v>5.8442087189863469E-2</v>
      </c>
      <c r="AL52" s="193">
        <f t="shared" si="11"/>
        <v>1.4046467325794147E-2</v>
      </c>
      <c r="AM52" s="138">
        <f>depths!$B$4</f>
        <v>3816.4</v>
      </c>
      <c r="AN52" s="43"/>
      <c r="AO52" s="505">
        <f t="shared" si="25"/>
        <v>79.080321382023683</v>
      </c>
      <c r="AP52" s="504">
        <v>1</v>
      </c>
      <c r="AQ52" s="505">
        <f t="shared" si="26"/>
        <v>2.5751721961577636</v>
      </c>
      <c r="AR52" s="504">
        <v>1</v>
      </c>
      <c r="AS52" s="505">
        <f t="shared" si="27"/>
        <v>20.638234192160219</v>
      </c>
      <c r="AT52" s="504">
        <v>1</v>
      </c>
      <c r="AU52" s="505">
        <f t="shared" si="28"/>
        <v>58.442087189863472</v>
      </c>
      <c r="AV52" s="504">
        <v>1</v>
      </c>
      <c r="AW52" s="505">
        <f t="shared" si="29"/>
        <v>14.046467325794147</v>
      </c>
      <c r="AX52" s="504">
        <v>1</v>
      </c>
      <c r="AY52" s="505">
        <f t="shared" si="32"/>
        <v>8.0143122945149461</v>
      </c>
      <c r="AZ52" s="505">
        <f t="shared" si="33"/>
        <v>22.694438561064331</v>
      </c>
      <c r="BA52" s="505">
        <f>main!R59</f>
        <v>39.54</v>
      </c>
      <c r="BB52" s="506">
        <v>1</v>
      </c>
      <c r="BC52" s="505">
        <f>main!S59</f>
        <v>8.65</v>
      </c>
      <c r="BD52" s="506">
        <v>1</v>
      </c>
    </row>
    <row r="53" spans="1:56">
      <c r="A53" s="43">
        <f>main!A60</f>
        <v>2023</v>
      </c>
      <c r="B53" s="43" t="str">
        <f>main!B60</f>
        <v>47_3800</v>
      </c>
      <c r="C53" s="43">
        <v>6</v>
      </c>
      <c r="D53" s="43" t="str">
        <f>main!$B$54</f>
        <v>McLane-PARFLUX-Mark78H-21 ; frame# 10705, controller# 11649-01 and Motor # 11649-01 Cup set Lx21</v>
      </c>
      <c r="E53" s="43">
        <v>3800</v>
      </c>
      <c r="F53" s="502">
        <v>1</v>
      </c>
      <c r="G53" s="503">
        <f>main!E60</f>
        <v>174.12857142857146</v>
      </c>
      <c r="H53" s="193">
        <f>main!I60</f>
        <v>23.217142857142861</v>
      </c>
      <c r="I53" s="193">
        <f>main!J60</f>
        <v>8.48006142857143</v>
      </c>
      <c r="J53" s="500">
        <v>1</v>
      </c>
      <c r="K53" s="505">
        <f>main!AF60</f>
        <v>74.752033588136442</v>
      </c>
      <c r="L53" s="505">
        <f>main!AG60</f>
        <v>8.9699243696579547</v>
      </c>
      <c r="M53" s="504">
        <v>1</v>
      </c>
      <c r="N53" s="505">
        <f>main!M60</f>
        <v>13.242649078369141</v>
      </c>
      <c r="O53" s="504">
        <v>1</v>
      </c>
      <c r="P53" s="505">
        <f>main!O60</f>
        <v>0.65128165483474731</v>
      </c>
      <c r="Q53" s="504">
        <v>1</v>
      </c>
      <c r="R53" s="505">
        <f>main!AH60</f>
        <v>4.2727247087111859</v>
      </c>
      <c r="S53" s="504">
        <v>1</v>
      </c>
      <c r="T53" s="505">
        <f>main!AB60</f>
        <v>4.4344260593336244</v>
      </c>
      <c r="U53" s="504">
        <v>1</v>
      </c>
      <c r="V53" s="505">
        <f>main!AC60</f>
        <v>9.4861040194146504</v>
      </c>
      <c r="W53" s="505">
        <f t="shared" si="19"/>
        <v>6.3390183673803184</v>
      </c>
      <c r="X53" s="505">
        <f t="shared" si="20"/>
        <v>0.76065509664339315</v>
      </c>
      <c r="Y53" s="505">
        <f t="shared" si="21"/>
        <v>1.1229847766158514</v>
      </c>
      <c r="Z53" s="505">
        <f t="shared" si="22"/>
        <v>5.5229084403003122E-2</v>
      </c>
      <c r="AA53" s="505">
        <f t="shared" si="23"/>
        <v>0.3623296799724583</v>
      </c>
      <c r="AB53" s="505">
        <f t="shared" si="24"/>
        <v>0.8044274480245458</v>
      </c>
      <c r="AC53" s="89">
        <f>main!T60</f>
        <v>45143</v>
      </c>
      <c r="AD53" s="89">
        <f>main!U60</f>
        <v>45158</v>
      </c>
      <c r="AE53" s="89">
        <f>main!V60</f>
        <v>45150.5</v>
      </c>
      <c r="AF53" s="503">
        <f>main!H60</f>
        <v>15</v>
      </c>
      <c r="AG53" s="193">
        <f t="shared" si="6"/>
        <v>0.3760420538360707</v>
      </c>
      <c r="AH53" s="193">
        <f t="shared" si="7"/>
        <v>9.3504144597489708E-2</v>
      </c>
      <c r="AI53" s="193">
        <f t="shared" si="8"/>
        <v>3.9421188010708864E-3</v>
      </c>
      <c r="AJ53" s="193">
        <f t="shared" si="9"/>
        <v>3.0168999165067302E-2</v>
      </c>
      <c r="AK53" s="193">
        <f t="shared" si="10"/>
        <v>6.3335145432422413E-2</v>
      </c>
      <c r="AL53" s="193">
        <f t="shared" si="11"/>
        <v>1.3387043568389843E-2</v>
      </c>
      <c r="AM53" s="138">
        <f>depths!$B$4</f>
        <v>3816.4</v>
      </c>
      <c r="AN53" s="43"/>
      <c r="AO53" s="505">
        <f t="shared" si="25"/>
        <v>93.504144597489713</v>
      </c>
      <c r="AP53" s="504">
        <v>1</v>
      </c>
      <c r="AQ53" s="505">
        <f t="shared" si="26"/>
        <v>3.9421188010708863</v>
      </c>
      <c r="AR53" s="504">
        <v>1</v>
      </c>
      <c r="AS53" s="505">
        <f t="shared" si="27"/>
        <v>30.168999165067302</v>
      </c>
      <c r="AT53" s="504">
        <v>1</v>
      </c>
      <c r="AU53" s="505">
        <f t="shared" si="28"/>
        <v>63.335145432422415</v>
      </c>
      <c r="AV53" s="504">
        <v>1</v>
      </c>
      <c r="AW53" s="505">
        <f t="shared" si="29"/>
        <v>13.387043568389844</v>
      </c>
      <c r="AX53" s="504">
        <v>1</v>
      </c>
      <c r="AY53" s="505">
        <f t="shared" si="32"/>
        <v>7.6529908629013965</v>
      </c>
      <c r="AZ53" s="505">
        <f t="shared" si="33"/>
        <v>16.066270102062187</v>
      </c>
      <c r="BA53" s="505">
        <f>main!R60</f>
        <v>39.82</v>
      </c>
      <c r="BB53" s="506">
        <v>1</v>
      </c>
      <c r="BC53" s="505">
        <f>main!S60</f>
        <v>8.68</v>
      </c>
      <c r="BD53" s="506">
        <v>1</v>
      </c>
    </row>
    <row r="54" spans="1:56">
      <c r="A54" s="43">
        <f>main!A61</f>
        <v>2023</v>
      </c>
      <c r="B54" s="43" t="str">
        <f>main!B61</f>
        <v>47_3800</v>
      </c>
      <c r="C54" s="43">
        <v>7</v>
      </c>
      <c r="D54" s="43" t="str">
        <f>main!$B$54</f>
        <v>McLane-PARFLUX-Mark78H-21 ; frame# 10705, controller# 11649-01 and Motor # 11649-01 Cup set Lx21</v>
      </c>
      <c r="E54" s="43">
        <v>3800</v>
      </c>
      <c r="F54" s="502">
        <v>1</v>
      </c>
      <c r="G54" s="503">
        <f>main!E61</f>
        <v>142.79999999999998</v>
      </c>
      <c r="H54" s="193">
        <f>main!I61</f>
        <v>19.04</v>
      </c>
      <c r="I54" s="193">
        <f>main!J61</f>
        <v>6.9543599999999994</v>
      </c>
      <c r="J54" s="500">
        <v>1</v>
      </c>
      <c r="K54" s="505">
        <f>main!AF61</f>
        <v>74.931311872385535</v>
      </c>
      <c r="L54" s="505">
        <f>main!AG61</f>
        <v>8.991436997123003</v>
      </c>
      <c r="M54" s="504">
        <v>1</v>
      </c>
      <c r="N54" s="505">
        <f>main!M61</f>
        <v>12.876192092895508</v>
      </c>
      <c r="O54" s="504">
        <v>1</v>
      </c>
      <c r="P54" s="505">
        <f>main!O61</f>
        <v>0.54511123895645142</v>
      </c>
      <c r="Q54" s="504">
        <v>1</v>
      </c>
      <c r="R54" s="505">
        <f>main!AH61</f>
        <v>3.8847550957725048</v>
      </c>
      <c r="S54" s="504">
        <v>1</v>
      </c>
      <c r="T54" s="505">
        <f>main!AB61</f>
        <v>4.5929593926033796</v>
      </c>
      <c r="U54" s="504">
        <v>1</v>
      </c>
      <c r="V54" s="505">
        <f>main!AC61</f>
        <v>9.8252378035435086</v>
      </c>
      <c r="W54" s="505">
        <f t="shared" si="19"/>
        <v>5.2109931803284297</v>
      </c>
      <c r="X54" s="505">
        <f t="shared" si="20"/>
        <v>0.62529689795312327</v>
      </c>
      <c r="Y54" s="505">
        <f t="shared" si="21"/>
        <v>0.89545675243148803</v>
      </c>
      <c r="Z54" s="505">
        <f t="shared" si="22"/>
        <v>3.790899795749187E-2</v>
      </c>
      <c r="AA54" s="505">
        <f t="shared" si="23"/>
        <v>0.27015985447836471</v>
      </c>
      <c r="AB54" s="505">
        <f t="shared" si="24"/>
        <v>0.68328240771450832</v>
      </c>
      <c r="AC54" s="89">
        <f>main!T61</f>
        <v>45158</v>
      </c>
      <c r="AD54" s="89">
        <f>main!U61</f>
        <v>45173</v>
      </c>
      <c r="AE54" s="89">
        <f>main!V61</f>
        <v>45165.5</v>
      </c>
      <c r="AF54" s="503">
        <f>main!H61</f>
        <v>15</v>
      </c>
      <c r="AG54" s="193">
        <f t="shared" si="6"/>
        <v>0.31941093081545235</v>
      </c>
      <c r="AH54" s="193">
        <f t="shared" si="7"/>
        <v>7.4559263316526903E-2</v>
      </c>
      <c r="AI54" s="193">
        <f t="shared" si="8"/>
        <v>2.7058528163805759E-3</v>
      </c>
      <c r="AJ54" s="193">
        <f t="shared" si="9"/>
        <v>2.2494575726758094E-2</v>
      </c>
      <c r="AK54" s="193">
        <f t="shared" si="10"/>
        <v>5.2064687589768802E-2</v>
      </c>
      <c r="AL54" s="193">
        <f t="shared" si="11"/>
        <v>1.1370983653095492E-2</v>
      </c>
      <c r="AM54" s="138">
        <f>depths!$B$4</f>
        <v>3816.4</v>
      </c>
      <c r="AN54" s="43"/>
      <c r="AO54" s="505">
        <f t="shared" si="25"/>
        <v>74.559263316526909</v>
      </c>
      <c r="AP54" s="504">
        <v>1</v>
      </c>
      <c r="AQ54" s="505">
        <f t="shared" si="26"/>
        <v>2.7058528163805757</v>
      </c>
      <c r="AR54" s="504">
        <v>1</v>
      </c>
      <c r="AS54" s="505">
        <f t="shared" si="27"/>
        <v>22.494575726758093</v>
      </c>
      <c r="AT54" s="504">
        <v>1</v>
      </c>
      <c r="AU54" s="505">
        <f t="shared" si="28"/>
        <v>52.064687589768802</v>
      </c>
      <c r="AV54" s="504">
        <v>1</v>
      </c>
      <c r="AW54" s="505">
        <f t="shared" si="29"/>
        <v>11.370983653095491</v>
      </c>
      <c r="AX54" s="504">
        <v>1</v>
      </c>
      <c r="AY54" s="505">
        <f t="shared" si="32"/>
        <v>8.3133035139906344</v>
      </c>
      <c r="AZ54" s="505">
        <f t="shared" si="33"/>
        <v>19.24150762176783</v>
      </c>
      <c r="BA54" s="505">
        <f>main!R61</f>
        <v>39.54</v>
      </c>
      <c r="BB54" s="506">
        <v>1</v>
      </c>
      <c r="BC54" s="505">
        <f>main!S61</f>
        <v>8.66</v>
      </c>
      <c r="BD54" s="506">
        <v>1</v>
      </c>
    </row>
    <row r="55" spans="1:56">
      <c r="A55" s="43">
        <f>main!A62</f>
        <v>2023</v>
      </c>
      <c r="B55" s="43" t="str">
        <f>main!B62</f>
        <v>47_3800</v>
      </c>
      <c r="C55" s="43">
        <v>8</v>
      </c>
      <c r="D55" s="43" t="str">
        <f>main!$B$54</f>
        <v>McLane-PARFLUX-Mark78H-21 ; frame# 10705, controller# 11649-01 and Motor # 11649-01 Cup set Lx21</v>
      </c>
      <c r="E55" s="43">
        <v>3800</v>
      </c>
      <c r="F55" s="502">
        <v>1</v>
      </c>
      <c r="G55" s="503">
        <f>main!E62</f>
        <v>205.8</v>
      </c>
      <c r="H55" s="193">
        <f>main!I62</f>
        <v>27.44</v>
      </c>
      <c r="I55" s="193">
        <f>main!J62</f>
        <v>10.022460000000001</v>
      </c>
      <c r="J55" s="500">
        <v>1</v>
      </c>
      <c r="K55" s="505">
        <f>main!AF62</f>
        <v>74.282443019335858</v>
      </c>
      <c r="L55" s="505">
        <f>main!AG62</f>
        <v>8.9135755095044775</v>
      </c>
      <c r="M55" s="504">
        <v>1</v>
      </c>
      <c r="N55" s="505">
        <f>main!M62</f>
        <v>12.361801147460938</v>
      </c>
      <c r="O55" s="504">
        <v>1</v>
      </c>
      <c r="P55" s="505">
        <f>main!O62</f>
        <v>0.44688236713409424</v>
      </c>
      <c r="Q55" s="504">
        <v>1</v>
      </c>
      <c r="R55" s="505">
        <f>main!AH62</f>
        <v>3.44822563795646</v>
      </c>
      <c r="S55" s="504">
        <v>1</v>
      </c>
      <c r="T55" s="505">
        <f>main!AB62</f>
        <v>5.1715275437005124</v>
      </c>
      <c r="U55" s="504">
        <v>1</v>
      </c>
      <c r="V55" s="505">
        <f>main!AC62</f>
        <v>11.062908155961688</v>
      </c>
      <c r="W55" s="505">
        <f t="shared" si="19"/>
        <v>7.4449281386357287</v>
      </c>
      <c r="X55" s="505">
        <f t="shared" si="20"/>
        <v>0.89335954000988249</v>
      </c>
      <c r="Y55" s="505">
        <f t="shared" si="21"/>
        <v>1.2389565752838136</v>
      </c>
      <c r="Z55" s="505">
        <f t="shared" si="22"/>
        <v>4.4788606493067741E-2</v>
      </c>
      <c r="AA55" s="505">
        <f t="shared" si="23"/>
        <v>0.34559703527393104</v>
      </c>
      <c r="AB55" s="505">
        <f t="shared" si="24"/>
        <v>1.1087755447679979</v>
      </c>
      <c r="AC55" s="89">
        <f>main!T62</f>
        <v>45173</v>
      </c>
      <c r="AD55" s="89">
        <f>main!U62</f>
        <v>45188</v>
      </c>
      <c r="AE55" s="89">
        <f>main!V62</f>
        <v>45180.5</v>
      </c>
      <c r="AF55" s="503">
        <f>main!H62</f>
        <v>15</v>
      </c>
      <c r="AG55" s="193">
        <f t="shared" si="6"/>
        <v>0.51831427945636643</v>
      </c>
      <c r="AH55" s="193">
        <f t="shared" si="7"/>
        <v>0.10316041426176634</v>
      </c>
      <c r="AI55" s="193">
        <f t="shared" si="8"/>
        <v>3.1969026761647212E-3</v>
      </c>
      <c r="AJ55" s="193">
        <f t="shared" si="9"/>
        <v>2.8775773128553794E-2</v>
      </c>
      <c r="AK55" s="193">
        <f t="shared" si="10"/>
        <v>7.4384641133212526E-2</v>
      </c>
      <c r="AL55" s="193">
        <f t="shared" si="11"/>
        <v>1.845191454098848E-2</v>
      </c>
      <c r="AM55" s="138">
        <f>depths!$B$4</f>
        <v>3816.4</v>
      </c>
      <c r="AN55" s="43"/>
      <c r="AO55" s="505">
        <f t="shared" si="25"/>
        <v>103.16041426176633</v>
      </c>
      <c r="AP55" s="504">
        <v>1</v>
      </c>
      <c r="AQ55" s="505">
        <f t="shared" si="26"/>
        <v>3.1969026761647212</v>
      </c>
      <c r="AR55" s="504">
        <v>1</v>
      </c>
      <c r="AS55" s="505">
        <f t="shared" si="27"/>
        <v>28.775773128553794</v>
      </c>
      <c r="AT55" s="504">
        <v>1</v>
      </c>
      <c r="AU55" s="505">
        <f t="shared" si="28"/>
        <v>74.384641133212526</v>
      </c>
      <c r="AV55" s="504">
        <v>1</v>
      </c>
      <c r="AW55" s="505">
        <f t="shared" si="29"/>
        <v>18.451914540988479</v>
      </c>
      <c r="AX55" s="504">
        <v>1</v>
      </c>
      <c r="AY55" s="505">
        <f t="shared" si="32"/>
        <v>9.0011414307662569</v>
      </c>
      <c r="AZ55" s="505">
        <f t="shared" si="33"/>
        <v>23.267721500502706</v>
      </c>
      <c r="BA55" s="505">
        <f>main!R62</f>
        <v>39.71</v>
      </c>
      <c r="BB55" s="506">
        <v>1</v>
      </c>
      <c r="BC55" s="505">
        <f>main!S62</f>
        <v>8.73</v>
      </c>
      <c r="BD55" s="506">
        <v>1</v>
      </c>
    </row>
    <row r="56" spans="1:56">
      <c r="A56" s="43">
        <f>main!A63</f>
        <v>2023</v>
      </c>
      <c r="B56" s="43" t="str">
        <f>main!B63</f>
        <v>47_3800</v>
      </c>
      <c r="C56" s="43">
        <v>9</v>
      </c>
      <c r="D56" s="43" t="str">
        <f>main!$B$54</f>
        <v>McLane-PARFLUX-Mark78H-21 ; frame# 10705, controller# 11649-01 and Motor # 11649-01 Cup set Lx21</v>
      </c>
      <c r="E56" s="43">
        <v>3800</v>
      </c>
      <c r="F56" s="502">
        <v>1</v>
      </c>
      <c r="G56" s="503">
        <f>main!E63</f>
        <v>146.2714285714286</v>
      </c>
      <c r="H56" s="193">
        <f>main!I63</f>
        <v>19.502857142857145</v>
      </c>
      <c r="I56" s="193">
        <f>main!J63</f>
        <v>7.1234185714285729</v>
      </c>
      <c r="J56" s="500">
        <v>1</v>
      </c>
      <c r="K56" s="505">
        <f>main!AF63</f>
        <v>76.992719209210293</v>
      </c>
      <c r="L56" s="505">
        <f>main!AG63</f>
        <v>9.2387970623789482</v>
      </c>
      <c r="M56" s="504">
        <v>1</v>
      </c>
      <c r="N56" s="505">
        <f>main!M63</f>
        <v>12.352426528930664</v>
      </c>
      <c r="O56" s="504">
        <v>1</v>
      </c>
      <c r="P56" s="505">
        <f>main!O63</f>
        <v>0.39903417229652405</v>
      </c>
      <c r="Q56" s="504">
        <v>1</v>
      </c>
      <c r="R56" s="505">
        <f>main!AH63</f>
        <v>3.1136294665517159</v>
      </c>
      <c r="S56" s="504">
        <v>1</v>
      </c>
      <c r="T56" s="505">
        <f>main!AB63</f>
        <v>4.75447923665525</v>
      </c>
      <c r="U56" s="504">
        <v>1</v>
      </c>
      <c r="V56" s="505">
        <f>main!AC63</f>
        <v>10.170760317928588</v>
      </c>
      <c r="W56" s="505">
        <f t="shared" si="19"/>
        <v>5.4845136587967405</v>
      </c>
      <c r="X56" s="505">
        <f t="shared" si="20"/>
        <v>0.65811818571809944</v>
      </c>
      <c r="Y56" s="505">
        <f t="shared" si="21"/>
        <v>0.87991504538391674</v>
      </c>
      <c r="Z56" s="505">
        <f t="shared" si="22"/>
        <v>2.8424874335716884E-2</v>
      </c>
      <c r="AA56" s="505">
        <f t="shared" si="23"/>
        <v>0.22179685966581736</v>
      </c>
      <c r="AB56" s="505">
        <f t="shared" si="24"/>
        <v>0.72450582934281282</v>
      </c>
      <c r="AC56" s="89">
        <f>main!T63</f>
        <v>45188</v>
      </c>
      <c r="AD56" s="89">
        <f>main!U63</f>
        <v>45203</v>
      </c>
      <c r="AE56" s="89">
        <f>main!V63</f>
        <v>45195.5</v>
      </c>
      <c r="AF56" s="503">
        <f>main!H63</f>
        <v>15</v>
      </c>
      <c r="AG56" s="193">
        <f t="shared" si="6"/>
        <v>0.33868145691861551</v>
      </c>
      <c r="AH56" s="193">
        <f t="shared" si="7"/>
        <v>7.3265199449118801E-2</v>
      </c>
      <c r="AI56" s="193">
        <f t="shared" si="8"/>
        <v>2.0288989532988499E-3</v>
      </c>
      <c r="AJ56" s="193">
        <f t="shared" si="9"/>
        <v>1.8467681903898199E-2</v>
      </c>
      <c r="AK56" s="193">
        <f t="shared" si="10"/>
        <v>5.4797517545220602E-2</v>
      </c>
      <c r="AL56" s="193">
        <f t="shared" si="11"/>
        <v>1.2057011638256159E-2</v>
      </c>
      <c r="AM56" s="138">
        <f>depths!$B$4</f>
        <v>3816.4</v>
      </c>
      <c r="AN56" s="43"/>
      <c r="AO56" s="505">
        <f t="shared" si="25"/>
        <v>73.265199449118796</v>
      </c>
      <c r="AP56" s="504">
        <v>1</v>
      </c>
      <c r="AQ56" s="505">
        <f t="shared" si="26"/>
        <v>2.0288989532988499</v>
      </c>
      <c r="AR56" s="504">
        <v>1</v>
      </c>
      <c r="AS56" s="505">
        <f t="shared" si="27"/>
        <v>18.4676819038982</v>
      </c>
      <c r="AT56" s="504">
        <v>1</v>
      </c>
      <c r="AU56" s="505">
        <f t="shared" si="28"/>
        <v>54.7975175452206</v>
      </c>
      <c r="AV56" s="504">
        <v>1</v>
      </c>
      <c r="AW56" s="505">
        <f t="shared" si="29"/>
        <v>12.057011638256158</v>
      </c>
      <c r="AX56" s="504">
        <v>1</v>
      </c>
      <c r="AY56" s="505">
        <f t="shared" si="32"/>
        <v>9.1023172316546468</v>
      </c>
      <c r="AZ56" s="505">
        <f t="shared" si="33"/>
        <v>27.008500081348856</v>
      </c>
      <c r="BA56" s="505">
        <f>main!R63</f>
        <v>39.619999999999997</v>
      </c>
      <c r="BB56" s="506">
        <v>1</v>
      </c>
      <c r="BC56" s="505">
        <f>main!S63</f>
        <v>8.73</v>
      </c>
      <c r="BD56" s="506">
        <v>1</v>
      </c>
    </row>
    <row r="57" spans="1:56">
      <c r="A57" s="43">
        <f>main!A64</f>
        <v>2023</v>
      </c>
      <c r="B57" s="43" t="str">
        <f>main!B64</f>
        <v>47_3800</v>
      </c>
      <c r="C57" s="43">
        <v>10</v>
      </c>
      <c r="D57" s="43" t="str">
        <f>main!$B$54</f>
        <v>McLane-PARFLUX-Mark78H-21 ; frame# 10705, controller# 11649-01 and Motor # 11649-01 Cup set Lx21</v>
      </c>
      <c r="E57" s="43">
        <v>3800</v>
      </c>
      <c r="F57" s="502">
        <v>1</v>
      </c>
      <c r="G57" s="503">
        <f>main!E64</f>
        <v>323.22857142857146</v>
      </c>
      <c r="H57" s="193">
        <f>main!I64</f>
        <v>43.097142857142863</v>
      </c>
      <c r="I57" s="193">
        <f>main!J64</f>
        <v>15.741231428571432</v>
      </c>
      <c r="J57" s="500">
        <v>1</v>
      </c>
      <c r="K57" s="505">
        <f>main!AF64</f>
        <v>77.951479092145476</v>
      </c>
      <c r="L57" s="505">
        <f>main!AG64</f>
        <v>9.3538441484017092</v>
      </c>
      <c r="M57" s="504">
        <v>1</v>
      </c>
      <c r="N57" s="505">
        <f>main!M64</f>
        <v>12.193502426147461</v>
      </c>
      <c r="O57" s="504">
        <v>1</v>
      </c>
      <c r="P57" s="505">
        <f>main!O64</f>
        <v>0.36282044649124146</v>
      </c>
      <c r="Q57" s="504">
        <v>1</v>
      </c>
      <c r="R57" s="505">
        <f>main!AH64</f>
        <v>2.8396582777457517</v>
      </c>
      <c r="S57" s="504">
        <v>1</v>
      </c>
      <c r="T57" s="505">
        <f>main!AB64</f>
        <v>4.8360228066795798</v>
      </c>
      <c r="U57" s="504">
        <v>1</v>
      </c>
      <c r="V57" s="505">
        <f>main!AC64</f>
        <v>10.345197951348378</v>
      </c>
      <c r="W57" s="505">
        <f t="shared" si="19"/>
        <v>12.270522725889093</v>
      </c>
      <c r="X57" s="505">
        <f t="shared" si="20"/>
        <v>1.4724102548677995</v>
      </c>
      <c r="Y57" s="505">
        <f t="shared" si="21"/>
        <v>1.9194074361483442</v>
      </c>
      <c r="Z57" s="505">
        <f t="shared" si="22"/>
        <v>5.7112406152362495E-2</v>
      </c>
      <c r="AA57" s="505">
        <f t="shared" si="23"/>
        <v>0.44699718128054455</v>
      </c>
      <c r="AB57" s="505">
        <f t="shared" si="24"/>
        <v>1.6284615512655789</v>
      </c>
      <c r="AC57" s="89">
        <f>main!T64</f>
        <v>45203</v>
      </c>
      <c r="AD57" s="89">
        <f>main!U64</f>
        <v>45218</v>
      </c>
      <c r="AE57" s="89">
        <f>main!V64</f>
        <v>45210.5</v>
      </c>
      <c r="AF57" s="503">
        <f>main!H64</f>
        <v>15</v>
      </c>
      <c r="AG57" s="193">
        <f t="shared" si="6"/>
        <v>0.76124954193792826</v>
      </c>
      <c r="AH57" s="193">
        <f t="shared" si="7"/>
        <v>0.15981743848029512</v>
      </c>
      <c r="AI57" s="193">
        <f t="shared" si="8"/>
        <v>4.0765457639088147E-3</v>
      </c>
      <c r="AJ57" s="193">
        <f t="shared" si="9"/>
        <v>3.7218749482143591E-2</v>
      </c>
      <c r="AK57" s="193">
        <f t="shared" si="10"/>
        <v>0.1225986889981515</v>
      </c>
      <c r="AL57" s="193">
        <f t="shared" si="11"/>
        <v>2.7100375291489079E-2</v>
      </c>
      <c r="AM57" s="138">
        <f>depths!$B$4</f>
        <v>3816.4</v>
      </c>
      <c r="AN57" s="43"/>
      <c r="AO57" s="505">
        <f t="shared" si="25"/>
        <v>159.81743848029512</v>
      </c>
      <c r="AP57" s="504">
        <v>1</v>
      </c>
      <c r="AQ57" s="505">
        <f t="shared" si="26"/>
        <v>4.0765457639088147</v>
      </c>
      <c r="AR57" s="504">
        <v>1</v>
      </c>
      <c r="AS57" s="505">
        <f t="shared" si="27"/>
        <v>37.218749482143593</v>
      </c>
      <c r="AT57" s="504">
        <v>1</v>
      </c>
      <c r="AU57" s="505">
        <f t="shared" si="28"/>
        <v>122.5986889981515</v>
      </c>
      <c r="AV57" s="504">
        <v>1</v>
      </c>
      <c r="AW57" s="505">
        <f t="shared" si="29"/>
        <v>27.10037529148908</v>
      </c>
      <c r="AX57" s="504">
        <v>1</v>
      </c>
      <c r="AY57" s="505">
        <f t="shared" si="32"/>
        <v>9.1299721964745526</v>
      </c>
      <c r="AZ57" s="505">
        <f t="shared" si="33"/>
        <v>30.074159864354666</v>
      </c>
      <c r="BA57" s="505">
        <f>main!R64</f>
        <v>39.659999999999997</v>
      </c>
      <c r="BB57" s="506">
        <v>1</v>
      </c>
      <c r="BC57" s="505">
        <f>main!S64</f>
        <v>8.39</v>
      </c>
      <c r="BD57" s="506">
        <v>1</v>
      </c>
    </row>
    <row r="58" spans="1:56">
      <c r="A58" s="43">
        <f>main!A65</f>
        <v>2023</v>
      </c>
      <c r="B58" s="43" t="str">
        <f>main!B65</f>
        <v>47_3800</v>
      </c>
      <c r="C58" s="43">
        <v>11</v>
      </c>
      <c r="D58" s="43" t="str">
        <f>main!$B$54</f>
        <v>McLane-PARFLUX-Mark78H-21 ; frame# 10705, controller# 11649-01 and Motor # 11649-01 Cup set Lx21</v>
      </c>
      <c r="E58" s="43">
        <v>3800</v>
      </c>
      <c r="F58" s="502">
        <v>1</v>
      </c>
      <c r="G58" s="503">
        <f>main!E65</f>
        <v>399.3</v>
      </c>
      <c r="H58" s="193">
        <f>main!I65</f>
        <v>53.24</v>
      </c>
      <c r="I58" s="193">
        <f>main!J65</f>
        <v>19.445910000000001</v>
      </c>
      <c r="J58" s="500">
        <v>1</v>
      </c>
      <c r="K58" s="505">
        <f>main!AF65</f>
        <v>76.809847280003325</v>
      </c>
      <c r="L58" s="505">
        <f>main!AG65</f>
        <v>9.2168532128864005</v>
      </c>
      <c r="M58" s="504">
        <v>1</v>
      </c>
      <c r="N58" s="505">
        <f>main!M65</f>
        <v>12.338925361633301</v>
      </c>
      <c r="O58" s="504">
        <v>1</v>
      </c>
      <c r="P58" s="505">
        <f>main!O65</f>
        <v>0.41840517520904541</v>
      </c>
      <c r="Q58" s="504">
        <v>1</v>
      </c>
      <c r="R58" s="505">
        <f>main!AH65</f>
        <v>3.1220721487469003</v>
      </c>
      <c r="S58" s="504">
        <v>1</v>
      </c>
      <c r="T58" s="505">
        <f>main!AB65</f>
        <v>4.9558574752183464</v>
      </c>
      <c r="U58" s="504">
        <v>1</v>
      </c>
      <c r="V58" s="505">
        <f>main!AC65</f>
        <v>10.601547728226073</v>
      </c>
      <c r="W58" s="505">
        <f t="shared" si="19"/>
        <v>14.936373773206897</v>
      </c>
      <c r="X58" s="505">
        <f t="shared" si="20"/>
        <v>1.7923009806099979</v>
      </c>
      <c r="Y58" s="505">
        <f t="shared" si="21"/>
        <v>2.3994163207903862</v>
      </c>
      <c r="Z58" s="505">
        <f t="shared" si="22"/>
        <v>8.1362693806493289E-2</v>
      </c>
      <c r="AA58" s="505">
        <f t="shared" si="23"/>
        <v>0.60711534018038837</v>
      </c>
      <c r="AB58" s="505">
        <f t="shared" si="24"/>
        <v>2.0615674298378872</v>
      </c>
      <c r="AC58" s="89">
        <f>main!T65</f>
        <v>45218</v>
      </c>
      <c r="AD58" s="89">
        <f>main!U65</f>
        <v>45233</v>
      </c>
      <c r="AE58" s="89">
        <f>main!V65</f>
        <v>45225.5</v>
      </c>
      <c r="AF58" s="503">
        <f>main!H65</f>
        <v>15</v>
      </c>
      <c r="AG58" s="193">
        <f t="shared" si="6"/>
        <v>0.96371158435923199</v>
      </c>
      <c r="AH58" s="193">
        <f t="shared" si="7"/>
        <v>0.1997848726719722</v>
      </c>
      <c r="AI58" s="193">
        <f t="shared" si="8"/>
        <v>5.8074727913271446E-3</v>
      </c>
      <c r="AJ58" s="193">
        <f t="shared" si="9"/>
        <v>5.0550819332255484E-2</v>
      </c>
      <c r="AK58" s="193">
        <f t="shared" si="10"/>
        <v>0.14923405333971673</v>
      </c>
      <c r="AL58" s="193">
        <f t="shared" si="11"/>
        <v>3.4307995171207972E-2</v>
      </c>
      <c r="AM58" s="138">
        <f>depths!$B$4</f>
        <v>3816.4</v>
      </c>
      <c r="AN58" s="43"/>
      <c r="AO58" s="505">
        <f t="shared" si="25"/>
        <v>199.78487267197221</v>
      </c>
      <c r="AP58" s="504">
        <v>1</v>
      </c>
      <c r="AQ58" s="505">
        <f t="shared" si="26"/>
        <v>5.8074727913271449</v>
      </c>
      <c r="AR58" s="504">
        <v>1</v>
      </c>
      <c r="AS58" s="505">
        <f t="shared" si="27"/>
        <v>50.550819332255486</v>
      </c>
      <c r="AT58" s="504">
        <v>1</v>
      </c>
      <c r="AU58" s="505">
        <f t="shared" si="28"/>
        <v>149.23405333971672</v>
      </c>
      <c r="AV58" s="504">
        <v>1</v>
      </c>
      <c r="AW58" s="505">
        <f t="shared" si="29"/>
        <v>34.30799517120797</v>
      </c>
      <c r="AX58" s="504">
        <v>1</v>
      </c>
      <c r="AY58" s="505">
        <f t="shared" si="32"/>
        <v>8.7044435933902022</v>
      </c>
      <c r="AZ58" s="505">
        <f t="shared" si="33"/>
        <v>25.696900993248256</v>
      </c>
      <c r="BA58" s="505">
        <f>main!R65</f>
        <v>39.799999999999997</v>
      </c>
      <c r="BB58" s="506">
        <v>1</v>
      </c>
      <c r="BC58" s="505">
        <f>main!S65</f>
        <v>8.66</v>
      </c>
      <c r="BD58" s="506">
        <v>1</v>
      </c>
    </row>
    <row r="59" spans="1:56">
      <c r="A59" s="43">
        <f>main!A66</f>
        <v>2023</v>
      </c>
      <c r="B59" s="43" t="str">
        <f>main!B66</f>
        <v>47_3800</v>
      </c>
      <c r="C59" s="43">
        <v>12</v>
      </c>
      <c r="D59" s="43" t="str">
        <f>main!$B$54</f>
        <v>McLane-PARFLUX-Mark78H-21 ; frame# 10705, controller# 11649-01 and Motor # 11649-01 Cup set Lx21</v>
      </c>
      <c r="E59" s="43">
        <v>3800</v>
      </c>
      <c r="F59" s="502">
        <v>1</v>
      </c>
      <c r="G59" s="503">
        <f>main!E66</f>
        <v>410.7</v>
      </c>
      <c r="H59" s="193">
        <f>main!I66</f>
        <v>54.76</v>
      </c>
      <c r="I59" s="193">
        <f>main!J66</f>
        <v>20.001089999999998</v>
      </c>
      <c r="J59" s="500">
        <v>1</v>
      </c>
      <c r="K59" s="505">
        <f>main!AF66</f>
        <v>73.529149351928837</v>
      </c>
      <c r="L59" s="505">
        <f>main!AG66</f>
        <v>8.8231834907132232</v>
      </c>
      <c r="M59" s="504">
        <v>1</v>
      </c>
      <c r="N59" s="505">
        <f>main!M66</f>
        <v>13.286656379699707</v>
      </c>
      <c r="O59" s="504">
        <v>1</v>
      </c>
      <c r="P59" s="505">
        <f>main!O66</f>
        <v>0.60423123836517334</v>
      </c>
      <c r="Q59" s="504">
        <v>1</v>
      </c>
      <c r="R59" s="505">
        <f>main!AH66</f>
        <v>4.4634728889864839</v>
      </c>
      <c r="S59" s="504">
        <v>1</v>
      </c>
      <c r="T59" s="505">
        <f>main!AB66</f>
        <v>4.9262419441444081</v>
      </c>
      <c r="U59" s="504">
        <v>1</v>
      </c>
      <c r="V59" s="505">
        <f>main!AC66</f>
        <v>10.538194319104218</v>
      </c>
      <c r="W59" s="505">
        <f t="shared" si="19"/>
        <v>14.706631338113702</v>
      </c>
      <c r="X59" s="505">
        <f t="shared" si="20"/>
        <v>1.764732870842693</v>
      </c>
      <c r="Y59" s="505">
        <f t="shared" si="21"/>
        <v>2.6574761004944798</v>
      </c>
      <c r="Z59" s="505">
        <f t="shared" si="22"/>
        <v>0.12085283379353283</v>
      </c>
      <c r="AA59" s="505">
        <f t="shared" si="23"/>
        <v>0.89274322965178665</v>
      </c>
      <c r="AB59" s="505">
        <f t="shared" si="24"/>
        <v>2.1077537301389215</v>
      </c>
      <c r="AC59" s="89">
        <f>main!T66</f>
        <v>45233</v>
      </c>
      <c r="AD59" s="89">
        <f>main!U66</f>
        <v>45248</v>
      </c>
      <c r="AE59" s="89">
        <f>main!V66</f>
        <v>45240.5</v>
      </c>
      <c r="AF59" s="503">
        <f>main!H66</f>
        <v>15</v>
      </c>
      <c r="AG59" s="193">
        <f t="shared" si="6"/>
        <v>0.98530208486607262</v>
      </c>
      <c r="AH59" s="193">
        <f t="shared" si="7"/>
        <v>0.22127194841752537</v>
      </c>
      <c r="AI59" s="193">
        <f t="shared" si="8"/>
        <v>8.6261837111729356E-3</v>
      </c>
      <c r="AJ59" s="193">
        <f t="shared" si="9"/>
        <v>7.4333324700398551E-2</v>
      </c>
      <c r="AK59" s="193">
        <f t="shared" si="10"/>
        <v>0.14693862371712682</v>
      </c>
      <c r="AL59" s="193">
        <f t="shared" si="11"/>
        <v>3.5076613914776525E-2</v>
      </c>
      <c r="AM59" s="138">
        <f>depths!$B$4</f>
        <v>3816.4</v>
      </c>
      <c r="AN59" s="43"/>
      <c r="AO59" s="505">
        <f t="shared" si="25"/>
        <v>221.27194841752538</v>
      </c>
      <c r="AP59" s="504">
        <v>1</v>
      </c>
      <c r="AQ59" s="505">
        <f t="shared" si="26"/>
        <v>8.6261837111729349</v>
      </c>
      <c r="AR59" s="504">
        <v>1</v>
      </c>
      <c r="AS59" s="505">
        <f t="shared" si="27"/>
        <v>74.333324700398549</v>
      </c>
      <c r="AT59" s="504">
        <v>1</v>
      </c>
      <c r="AU59" s="505">
        <f t="shared" si="28"/>
        <v>146.93862371712683</v>
      </c>
      <c r="AV59" s="504">
        <v>1</v>
      </c>
      <c r="AW59" s="505">
        <f t="shared" si="29"/>
        <v>35.076613914776523</v>
      </c>
      <c r="AX59" s="504">
        <v>1</v>
      </c>
      <c r="AY59" s="505">
        <f t="shared" si="32"/>
        <v>8.6171738499053099</v>
      </c>
      <c r="AZ59" s="505">
        <f t="shared" si="33"/>
        <v>17.034024388653673</v>
      </c>
      <c r="BA59" s="505">
        <f>main!R66</f>
        <v>39.715000000000003</v>
      </c>
      <c r="BB59" s="506">
        <v>1</v>
      </c>
      <c r="BC59" s="505">
        <f>main!S66</f>
        <v>8.6649999999999991</v>
      </c>
      <c r="BD59" s="506">
        <v>1</v>
      </c>
    </row>
    <row r="60" spans="1:56">
      <c r="A60" s="43">
        <f>main!A67</f>
        <v>2023</v>
      </c>
      <c r="B60" s="43" t="str">
        <f>main!B67</f>
        <v>47_3800</v>
      </c>
      <c r="C60" s="43">
        <v>13</v>
      </c>
      <c r="D60" s="43" t="str">
        <f>main!$B$54</f>
        <v>McLane-PARFLUX-Mark78H-21 ; frame# 10705, controller# 11649-01 and Motor # 11649-01 Cup set Lx21</v>
      </c>
      <c r="E60" s="43">
        <v>3800</v>
      </c>
      <c r="F60" s="502">
        <v>1</v>
      </c>
      <c r="G60" s="503">
        <f>main!E67</f>
        <v>1258.4428571428571</v>
      </c>
      <c r="H60" s="193">
        <f>main!I67</f>
        <v>167.79238095238094</v>
      </c>
      <c r="I60" s="193">
        <f>main!J67</f>
        <v>61.286167142857146</v>
      </c>
      <c r="J60" s="500">
        <v>2</v>
      </c>
      <c r="K60" s="505">
        <f>main!AF67</f>
        <v>64.590771084804572</v>
      </c>
      <c r="L60" s="505">
        <f>main!AG67</f>
        <v>7.7506163217014707</v>
      </c>
      <c r="M60" s="504">
        <v>1</v>
      </c>
      <c r="N60" s="505">
        <f>main!M67</f>
        <v>13.127504348754883</v>
      </c>
      <c r="O60" s="504">
        <v>1</v>
      </c>
      <c r="P60" s="505">
        <f>main!O67</f>
        <v>0.69014662504196167</v>
      </c>
      <c r="Q60" s="504">
        <v>1</v>
      </c>
      <c r="R60" s="505">
        <f>main!AH67</f>
        <v>5.3768880270534121</v>
      </c>
      <c r="S60" s="504">
        <v>1</v>
      </c>
      <c r="T60" s="505">
        <f>main!AB67</f>
        <v>8.2995230023769722</v>
      </c>
      <c r="U60" s="504">
        <v>2</v>
      </c>
      <c r="V60" s="505">
        <f>main!AC67</f>
        <v>17.75430178756968</v>
      </c>
      <c r="W60" s="505">
        <f t="shared" si="19"/>
        <v>39.585207925893577</v>
      </c>
      <c r="X60" s="505">
        <f t="shared" si="20"/>
        <v>4.7500556735195296</v>
      </c>
      <c r="Y60" s="505">
        <f t="shared" si="21"/>
        <v>8.045344256863757</v>
      </c>
      <c r="Z60" s="505">
        <f t="shared" si="22"/>
        <v>0.42296441415400421</v>
      </c>
      <c r="AA60" s="505">
        <f t="shared" si="23"/>
        <v>3.2952885833442283</v>
      </c>
      <c r="AB60" s="505">
        <f t="shared" si="24"/>
        <v>10.88093106857723</v>
      </c>
      <c r="AC60" s="89">
        <f>main!T67</f>
        <v>45248</v>
      </c>
      <c r="AD60" s="89">
        <f>main!U67</f>
        <v>45263</v>
      </c>
      <c r="AE60" s="89">
        <f>main!V67</f>
        <v>45255.5</v>
      </c>
      <c r="AF60" s="503">
        <f>main!H67</f>
        <v>15</v>
      </c>
      <c r="AG60" s="193">
        <f t="shared" si="6"/>
        <v>5.0864595392966274</v>
      </c>
      <c r="AH60" s="193">
        <f t="shared" si="7"/>
        <v>0.66988711547574997</v>
      </c>
      <c r="AI60" s="193">
        <f t="shared" si="8"/>
        <v>3.0190179454247266E-2</v>
      </c>
      <c r="AJ60" s="193">
        <f t="shared" si="9"/>
        <v>0.2743787330011847</v>
      </c>
      <c r="AK60" s="193">
        <f t="shared" si="10"/>
        <v>0.39550838247456532</v>
      </c>
      <c r="AL60" s="193">
        <f t="shared" si="11"/>
        <v>0.18107723529001879</v>
      </c>
      <c r="AM60" s="138">
        <f>depths!$B$4</f>
        <v>3816.4</v>
      </c>
      <c r="AN60" s="43"/>
      <c r="AO60" s="505">
        <f t="shared" si="25"/>
        <v>669.88711547574997</v>
      </c>
      <c r="AP60" s="504">
        <v>2</v>
      </c>
      <c r="AQ60" s="505">
        <f t="shared" si="26"/>
        <v>30.190179454247264</v>
      </c>
      <c r="AR60" s="504">
        <v>2</v>
      </c>
      <c r="AS60" s="505">
        <f t="shared" si="27"/>
        <v>274.37873300118468</v>
      </c>
      <c r="AT60" s="504">
        <v>2</v>
      </c>
      <c r="AU60" s="505">
        <f t="shared" si="28"/>
        <v>395.50838247456534</v>
      </c>
      <c r="AV60" s="504">
        <v>2</v>
      </c>
      <c r="AW60" s="505">
        <f t="shared" si="29"/>
        <v>181.07723529001879</v>
      </c>
      <c r="AX60" s="504">
        <v>2</v>
      </c>
      <c r="AY60" s="505">
        <f t="shared" si="32"/>
        <v>9.0883438906681988</v>
      </c>
      <c r="AZ60" s="505">
        <f t="shared" si="33"/>
        <v>13.10056414450772</v>
      </c>
      <c r="BA60" s="505">
        <f>main!R67</f>
        <v>39.49</v>
      </c>
      <c r="BB60" s="506">
        <v>1</v>
      </c>
      <c r="BC60" s="505">
        <f>main!S67</f>
        <v>8.49</v>
      </c>
      <c r="BD60" s="506">
        <v>1</v>
      </c>
    </row>
    <row r="61" spans="1:56">
      <c r="A61" s="43">
        <f>main!A68</f>
        <v>2023</v>
      </c>
      <c r="B61" s="43" t="str">
        <f>main!B68</f>
        <v>47_3800</v>
      </c>
      <c r="C61" s="43">
        <v>14</v>
      </c>
      <c r="D61" s="43" t="str">
        <f>main!$B$54</f>
        <v>McLane-PARFLUX-Mark78H-21 ; frame# 10705, controller# 11649-01 and Motor # 11649-01 Cup set Lx21</v>
      </c>
      <c r="E61" s="43">
        <v>3800</v>
      </c>
      <c r="F61" s="502">
        <v>1</v>
      </c>
      <c r="G61" s="503">
        <f>main!E68</f>
        <v>1290.1428571428571</v>
      </c>
      <c r="H61" s="193">
        <f>main!I68</f>
        <v>172.01904761904763</v>
      </c>
      <c r="I61" s="193">
        <f>main!J68</f>
        <v>62.82995714285714</v>
      </c>
      <c r="J61" s="500">
        <v>2</v>
      </c>
      <c r="K61" s="505">
        <f>main!AF68</f>
        <v>60.122097947580741</v>
      </c>
      <c r="L61" s="505">
        <f>main!AG68</f>
        <v>7.2143946545496433</v>
      </c>
      <c r="M61" s="504">
        <v>1</v>
      </c>
      <c r="N61" s="505">
        <f>main!M68</f>
        <v>11.583279609680176</v>
      </c>
      <c r="O61" s="504">
        <v>1</v>
      </c>
      <c r="P61" s="505">
        <f>main!O68</f>
        <v>0.62558716535568237</v>
      </c>
      <c r="Q61" s="504">
        <v>1</v>
      </c>
      <c r="R61" s="505">
        <f>main!AH68</f>
        <v>4.3688849551305324</v>
      </c>
      <c r="S61" s="504">
        <v>1</v>
      </c>
      <c r="T61" s="505">
        <f>main!AB68</f>
        <v>10.758794629562725</v>
      </c>
      <c r="U61" s="504">
        <v>1</v>
      </c>
      <c r="V61" s="505">
        <f>main!AC68</f>
        <v>23.015164446081315</v>
      </c>
      <c r="W61" s="505">
        <f t="shared" si="19"/>
        <v>37.774688373851575</v>
      </c>
      <c r="X61" s="505">
        <f t="shared" si="20"/>
        <v>4.5328010695701177</v>
      </c>
      <c r="Y61" s="505">
        <f t="shared" si="21"/>
        <v>7.2777696144993644</v>
      </c>
      <c r="Z61" s="505">
        <f t="shared" si="22"/>
        <v>0.39305614788419008</v>
      </c>
      <c r="AA61" s="505">
        <f t="shared" si="23"/>
        <v>2.7449685449292467</v>
      </c>
      <c r="AB61" s="505">
        <f t="shared" si="24"/>
        <v>14.460417957830984</v>
      </c>
      <c r="AC61" s="89">
        <f>main!T68</f>
        <v>45263</v>
      </c>
      <c r="AD61" s="89">
        <f>main!U68</f>
        <v>45278</v>
      </c>
      <c r="AE61" s="89">
        <f>main!V68</f>
        <v>45270.5</v>
      </c>
      <c r="AF61" s="503">
        <f>main!H68</f>
        <v>15</v>
      </c>
      <c r="AG61" s="193">
        <f t="shared" si="6"/>
        <v>6.7597460548422754</v>
      </c>
      <c r="AH61" s="193">
        <f t="shared" si="7"/>
        <v>0.60597582135714945</v>
      </c>
      <c r="AI61" s="193">
        <f t="shared" si="8"/>
        <v>2.8055399563468243E-2</v>
      </c>
      <c r="AJ61" s="193">
        <f t="shared" si="9"/>
        <v>0.22855691464856343</v>
      </c>
      <c r="AK61" s="193">
        <f t="shared" si="10"/>
        <v>0.37741890670858602</v>
      </c>
      <c r="AL61" s="193">
        <f t="shared" si="11"/>
        <v>0.24064599696839714</v>
      </c>
      <c r="AM61" s="138">
        <f>depths!$B$4</f>
        <v>3816.4</v>
      </c>
      <c r="AN61" s="43"/>
      <c r="AO61" s="505">
        <f t="shared" si="25"/>
        <v>605.97582135714947</v>
      </c>
      <c r="AP61" s="504">
        <v>2</v>
      </c>
      <c r="AQ61" s="505">
        <f t="shared" si="26"/>
        <v>28.055399563468242</v>
      </c>
      <c r="AR61" s="504">
        <v>2</v>
      </c>
      <c r="AS61" s="505">
        <f t="shared" si="27"/>
        <v>228.55691464856343</v>
      </c>
      <c r="AT61" s="504">
        <v>2</v>
      </c>
      <c r="AU61" s="505">
        <f t="shared" si="28"/>
        <v>377.41890670858601</v>
      </c>
      <c r="AV61" s="504">
        <v>2</v>
      </c>
      <c r="AW61" s="505">
        <f t="shared" si="29"/>
        <v>240.64599696839713</v>
      </c>
      <c r="AX61" s="504">
        <v>2</v>
      </c>
      <c r="AY61" s="505">
        <f t="shared" si="32"/>
        <v>8.1466283925670435</v>
      </c>
      <c r="AZ61" s="505">
        <f t="shared" si="33"/>
        <v>13.45262988875889</v>
      </c>
      <c r="BA61" s="505">
        <f>main!R68</f>
        <v>39.15</v>
      </c>
      <c r="BB61" s="506">
        <v>1</v>
      </c>
      <c r="BC61" s="505">
        <f>main!S68</f>
        <v>8.5399999999999991</v>
      </c>
      <c r="BD61" s="506">
        <v>1</v>
      </c>
    </row>
    <row r="62" spans="1:56">
      <c r="A62" s="43">
        <f>main!A69</f>
        <v>2023</v>
      </c>
      <c r="B62" s="43" t="str">
        <f>main!B69</f>
        <v>47_3800</v>
      </c>
      <c r="C62" s="43">
        <v>15</v>
      </c>
      <c r="D62" s="43" t="str">
        <f>main!$B$54</f>
        <v>McLane-PARFLUX-Mark78H-21 ; frame# 10705, controller# 11649-01 and Motor # 11649-01 Cup set Lx21</v>
      </c>
      <c r="E62" s="43">
        <v>3800</v>
      </c>
      <c r="F62" s="502">
        <v>1</v>
      </c>
      <c r="G62" s="503">
        <f>main!E69</f>
        <v>996.25714285714275</v>
      </c>
      <c r="H62" s="193">
        <f>main!I69</f>
        <v>132.8342857142857</v>
      </c>
      <c r="I62" s="193">
        <f>main!J69</f>
        <v>48.517722857142857</v>
      </c>
      <c r="J62" s="500">
        <v>1</v>
      </c>
      <c r="K62" s="505">
        <f>main!AF69</f>
        <v>59.931755101875503</v>
      </c>
      <c r="L62" s="505">
        <f>main!AG69</f>
        <v>7.1915543270250621</v>
      </c>
      <c r="M62" s="504">
        <v>1</v>
      </c>
      <c r="N62" s="505">
        <f>main!M69</f>
        <v>11.752729415893555</v>
      </c>
      <c r="O62" s="504">
        <v>1</v>
      </c>
      <c r="P62" s="505">
        <f>main!O69</f>
        <v>0.60996341705322266</v>
      </c>
      <c r="Q62" s="504">
        <v>1</v>
      </c>
      <c r="R62" s="505">
        <f>main!AH69</f>
        <v>4.5611750888684925</v>
      </c>
      <c r="S62" s="504">
        <v>1</v>
      </c>
      <c r="T62" s="505">
        <f>main!AB69</f>
        <v>10.548169766895079</v>
      </c>
      <c r="U62" s="504">
        <v>1</v>
      </c>
      <c r="V62" s="505">
        <f>main!AC69</f>
        <v>22.564596699634222</v>
      </c>
      <c r="W62" s="505">
        <f t="shared" si="19"/>
        <v>29.077522843749534</v>
      </c>
      <c r="X62" s="505">
        <f t="shared" si="20"/>
        <v>3.4891783975068851</v>
      </c>
      <c r="Y62" s="505">
        <f t="shared" si="21"/>
        <v>5.7021566861531392</v>
      </c>
      <c r="Z62" s="505">
        <f t="shared" si="22"/>
        <v>0.29594036021584103</v>
      </c>
      <c r="AA62" s="505">
        <f t="shared" si="23"/>
        <v>2.2129782886462546</v>
      </c>
      <c r="AB62" s="505">
        <f t="shared" si="24"/>
        <v>10.947828490560536</v>
      </c>
      <c r="AC62" s="89">
        <f>main!T69</f>
        <v>45278</v>
      </c>
      <c r="AD62" s="89">
        <f>main!U69</f>
        <v>45293</v>
      </c>
      <c r="AE62" s="89">
        <f>main!V69</f>
        <v>45285.5</v>
      </c>
      <c r="AF62" s="503">
        <f>main!H69</f>
        <v>15</v>
      </c>
      <c r="AG62" s="193">
        <f t="shared" si="6"/>
        <v>5.1177317740030857</v>
      </c>
      <c r="AH62" s="193">
        <f t="shared" si="7"/>
        <v>0.47478407045404991</v>
      </c>
      <c r="AI62" s="193">
        <f t="shared" si="8"/>
        <v>2.1123508937604642E-2</v>
      </c>
      <c r="AJ62" s="193">
        <f t="shared" si="9"/>
        <v>0.18426130629860571</v>
      </c>
      <c r="AK62" s="193">
        <f t="shared" si="10"/>
        <v>0.2905227641554442</v>
      </c>
      <c r="AL62" s="193">
        <f t="shared" si="11"/>
        <v>0.18219052239242028</v>
      </c>
      <c r="AM62" s="138">
        <f>depths!$B$4</f>
        <v>3816.4</v>
      </c>
      <c r="AN62" s="43"/>
      <c r="AO62" s="505">
        <f t="shared" si="25"/>
        <v>474.78407045404992</v>
      </c>
      <c r="AP62" s="504">
        <v>1</v>
      </c>
      <c r="AQ62" s="505">
        <f t="shared" si="26"/>
        <v>21.123508937604644</v>
      </c>
      <c r="AR62" s="504">
        <v>1</v>
      </c>
      <c r="AS62" s="505">
        <f t="shared" si="27"/>
        <v>184.26130629860572</v>
      </c>
      <c r="AT62" s="504">
        <v>1</v>
      </c>
      <c r="AU62" s="505">
        <f t="shared" si="28"/>
        <v>290.52276415544418</v>
      </c>
      <c r="AV62" s="504">
        <v>1</v>
      </c>
      <c r="AW62" s="505">
        <f t="shared" si="29"/>
        <v>182.19052239242029</v>
      </c>
      <c r="AX62" s="504">
        <v>1</v>
      </c>
      <c r="AY62" s="505">
        <f t="shared" si="32"/>
        <v>8.7230443977316074</v>
      </c>
      <c r="AZ62" s="505">
        <f t="shared" si="33"/>
        <v>13.753527646074355</v>
      </c>
      <c r="BA62" s="505">
        <f>main!R69</f>
        <v>39.31</v>
      </c>
      <c r="BB62" s="506">
        <v>1</v>
      </c>
      <c r="BC62" s="505">
        <f>main!S69</f>
        <v>8.58</v>
      </c>
      <c r="BD62" s="506">
        <v>1</v>
      </c>
    </row>
    <row r="63" spans="1:56">
      <c r="A63" s="43">
        <f>main!A70</f>
        <v>2023</v>
      </c>
      <c r="B63" s="43" t="str">
        <f>main!B70</f>
        <v>47_3800</v>
      </c>
      <c r="C63" s="43">
        <v>16</v>
      </c>
      <c r="D63" s="43" t="str">
        <f>main!$B$54</f>
        <v>McLane-PARFLUX-Mark78H-21 ; frame# 10705, controller# 11649-01 and Motor # 11649-01 Cup set Lx21</v>
      </c>
      <c r="E63" s="43">
        <v>3800</v>
      </c>
      <c r="F63" s="502">
        <v>1</v>
      </c>
      <c r="G63" s="503">
        <f>main!E70</f>
        <v>385.32857142857148</v>
      </c>
      <c r="H63" s="193">
        <f>main!I70</f>
        <v>51.377142857142864</v>
      </c>
      <c r="I63" s="193">
        <f>main!J70</f>
        <v>18.765501428571433</v>
      </c>
      <c r="J63" s="500">
        <v>1</v>
      </c>
      <c r="K63" s="505">
        <f>main!AF70</f>
        <v>69.633516813843912</v>
      </c>
      <c r="L63" s="505">
        <f>main!AG70</f>
        <v>8.3557242449737714</v>
      </c>
      <c r="M63" s="504">
        <v>1</v>
      </c>
      <c r="N63" s="505">
        <f>main!M70</f>
        <v>12.215057373046875</v>
      </c>
      <c r="O63" s="504">
        <v>1</v>
      </c>
      <c r="P63" s="505">
        <f>main!O70</f>
        <v>0.59540712833404541</v>
      </c>
      <c r="Q63" s="504">
        <v>1</v>
      </c>
      <c r="R63" s="505">
        <f>main!AH70</f>
        <v>3.8593331280731036</v>
      </c>
      <c r="S63" s="504">
        <v>1</v>
      </c>
      <c r="T63" s="505">
        <f>main!AB70</f>
        <v>7.0820878037999151</v>
      </c>
      <c r="U63" s="504">
        <v>1</v>
      </c>
      <c r="V63" s="505">
        <f>main!AC70</f>
        <v>15.149969958360161</v>
      </c>
      <c r="W63" s="505">
        <f t="shared" si="19"/>
        <v>13.067078592466407</v>
      </c>
      <c r="X63" s="505">
        <f t="shared" si="20"/>
        <v>1.5679935525580426</v>
      </c>
      <c r="Y63" s="505">
        <f t="shared" si="21"/>
        <v>2.2922167658399317</v>
      </c>
      <c r="Z63" s="505">
        <f t="shared" si="22"/>
        <v>0.11173113317334145</v>
      </c>
      <c r="AA63" s="505">
        <f t="shared" si="23"/>
        <v>0.72422321328188888</v>
      </c>
      <c r="AB63" s="505">
        <f t="shared" si="24"/>
        <v>2.8429678289642193</v>
      </c>
      <c r="AC63" s="89">
        <f>main!T70</f>
        <v>45293</v>
      </c>
      <c r="AD63" s="89">
        <f>main!U70</f>
        <v>45308</v>
      </c>
      <c r="AE63" s="89">
        <f>main!V70</f>
        <v>45300.5</v>
      </c>
      <c r="AF63" s="503">
        <f>main!H70</f>
        <v>15</v>
      </c>
      <c r="AG63" s="193">
        <f t="shared" si="6"/>
        <v>1.3289892879947562</v>
      </c>
      <c r="AH63" s="193">
        <f t="shared" si="7"/>
        <v>0.1908590146411267</v>
      </c>
      <c r="AI63" s="193">
        <f t="shared" si="8"/>
        <v>7.9750987275761208E-3</v>
      </c>
      <c r="AJ63" s="193">
        <f t="shared" si="9"/>
        <v>6.030168303762605E-2</v>
      </c>
      <c r="AK63" s="193">
        <f t="shared" si="10"/>
        <v>0.13055733160350064</v>
      </c>
      <c r="AL63" s="193">
        <f t="shared" si="11"/>
        <v>4.7311829405295699E-2</v>
      </c>
      <c r="AM63" s="138">
        <f>depths!$B$4</f>
        <v>3816.4</v>
      </c>
      <c r="AN63" s="43"/>
      <c r="AO63" s="505">
        <f t="shared" si="25"/>
        <v>190.85901464112669</v>
      </c>
      <c r="AP63" s="504">
        <v>1</v>
      </c>
      <c r="AQ63" s="505">
        <f t="shared" si="26"/>
        <v>7.9750987275761211</v>
      </c>
      <c r="AR63" s="504">
        <v>1</v>
      </c>
      <c r="AS63" s="505">
        <f t="shared" si="27"/>
        <v>60.301683037626049</v>
      </c>
      <c r="AT63" s="504">
        <v>1</v>
      </c>
      <c r="AU63" s="505">
        <f t="shared" si="28"/>
        <v>130.55733160350064</v>
      </c>
      <c r="AV63" s="504">
        <v>1</v>
      </c>
      <c r="AW63" s="505">
        <f t="shared" si="29"/>
        <v>47.311829405295697</v>
      </c>
      <c r="AX63" s="504">
        <v>1</v>
      </c>
      <c r="AY63" s="505">
        <f t="shared" si="32"/>
        <v>7.5612459603937205</v>
      </c>
      <c r="AZ63" s="505">
        <f t="shared" si="33"/>
        <v>16.370622617129786</v>
      </c>
      <c r="BA63" s="505">
        <f>main!R70</f>
        <v>39.659999999999997</v>
      </c>
      <c r="BB63" s="506">
        <v>1</v>
      </c>
      <c r="BC63" s="505">
        <f>main!S70</f>
        <v>8.67</v>
      </c>
      <c r="BD63" s="506">
        <v>1</v>
      </c>
    </row>
    <row r="64" spans="1:56">
      <c r="A64" s="43">
        <f>main!A71</f>
        <v>2023</v>
      </c>
      <c r="B64" s="43" t="str">
        <f>main!B71</f>
        <v>47_3800</v>
      </c>
      <c r="C64" s="43">
        <v>17</v>
      </c>
      <c r="D64" s="43" t="str">
        <f>main!$B$54</f>
        <v>McLane-PARFLUX-Mark78H-21 ; frame# 10705, controller# 11649-01 and Motor # 11649-01 Cup set Lx21</v>
      </c>
      <c r="E64" s="43">
        <v>3800</v>
      </c>
      <c r="F64" s="502">
        <v>1</v>
      </c>
      <c r="G64" s="503">
        <f>main!E71</f>
        <v>466.67142857142858</v>
      </c>
      <c r="H64" s="193">
        <f>main!I71</f>
        <v>62.222857142857144</v>
      </c>
      <c r="I64" s="193">
        <f>main!J71</f>
        <v>22.726898571428574</v>
      </c>
      <c r="J64" s="500">
        <v>1</v>
      </c>
      <c r="K64" s="505">
        <f>main!AF71</f>
        <v>71.007655938794088</v>
      </c>
      <c r="L64" s="505">
        <f>main!AG71</f>
        <v>8.520615063758763</v>
      </c>
      <c r="M64" s="504">
        <v>1</v>
      </c>
      <c r="N64" s="505">
        <f>main!M71</f>
        <v>12.282519340515137</v>
      </c>
      <c r="O64" s="504">
        <v>1</v>
      </c>
      <c r="P64" s="505">
        <f>main!O71</f>
        <v>0.52007579803466797</v>
      </c>
      <c r="Q64" s="504">
        <v>1</v>
      </c>
      <c r="R64" s="505">
        <f>main!AH71</f>
        <v>3.7619042767563737</v>
      </c>
      <c r="S64" s="504">
        <v>1</v>
      </c>
      <c r="T64" s="505">
        <f>main!AB71</f>
        <v>6.7905727351027068</v>
      </c>
      <c r="U64" s="504">
        <v>1</v>
      </c>
      <c r="V64" s="505">
        <f>main!AC71</f>
        <v>14.526362251773644</v>
      </c>
      <c r="W64" s="505">
        <f t="shared" si="19"/>
        <v>16.137837943158711</v>
      </c>
      <c r="X64" s="505">
        <f t="shared" si="20"/>
        <v>1.9364715432023183</v>
      </c>
      <c r="Y64" s="505">
        <f t="shared" si="21"/>
        <v>2.7914357125349731</v>
      </c>
      <c r="Z64" s="505">
        <f t="shared" si="22"/>
        <v>0.11819709911388672</v>
      </c>
      <c r="AA64" s="505">
        <f t="shared" si="23"/>
        <v>0.85496416933265484</v>
      </c>
      <c r="AB64" s="505">
        <f t="shared" si="24"/>
        <v>3.301391615078884</v>
      </c>
      <c r="AC64" s="89">
        <f>main!T71</f>
        <v>45308</v>
      </c>
      <c r="AD64" s="89">
        <f>main!U71</f>
        <v>45323</v>
      </c>
      <c r="AE64" s="89">
        <f>main!V71</f>
        <v>45315.5</v>
      </c>
      <c r="AF64" s="503">
        <f>main!H71</f>
        <v>15</v>
      </c>
      <c r="AG64" s="193">
        <f t="shared" si="6"/>
        <v>1.5432865779258753</v>
      </c>
      <c r="AH64" s="193">
        <f t="shared" si="7"/>
        <v>0.23242595441590119</v>
      </c>
      <c r="AI64" s="193">
        <f t="shared" si="8"/>
        <v>8.4366237768655761E-3</v>
      </c>
      <c r="AJ64" s="193">
        <f t="shared" si="9"/>
        <v>7.1187691035191916E-2</v>
      </c>
      <c r="AK64" s="193">
        <f t="shared" si="10"/>
        <v>0.16123826338070926</v>
      </c>
      <c r="AL64" s="193">
        <f t="shared" si="11"/>
        <v>5.4940782411031515E-2</v>
      </c>
      <c r="AM64" s="138">
        <f>depths!$B$4</f>
        <v>3816.4</v>
      </c>
      <c r="AN64" s="43"/>
      <c r="AO64" s="505">
        <f t="shared" si="25"/>
        <v>232.4259544159012</v>
      </c>
      <c r="AP64" s="504">
        <v>1</v>
      </c>
      <c r="AQ64" s="505">
        <f t="shared" si="26"/>
        <v>8.4366237768655754</v>
      </c>
      <c r="AR64" s="504">
        <v>1</v>
      </c>
      <c r="AS64" s="505">
        <f t="shared" si="27"/>
        <v>71.187691035191918</v>
      </c>
      <c r="AT64" s="504">
        <v>1</v>
      </c>
      <c r="AU64" s="505">
        <f t="shared" si="28"/>
        <v>161.23826338070927</v>
      </c>
      <c r="AV64" s="504">
        <v>1</v>
      </c>
      <c r="AW64" s="505">
        <f t="shared" si="29"/>
        <v>54.940782411031513</v>
      </c>
      <c r="AX64" s="504">
        <v>1</v>
      </c>
      <c r="AY64" s="505">
        <f t="shared" si="32"/>
        <v>8.4379359466518711</v>
      </c>
      <c r="AZ64" s="505">
        <f t="shared" si="33"/>
        <v>19.111704829465971</v>
      </c>
      <c r="BA64" s="505">
        <f>main!R71</f>
        <v>39.4</v>
      </c>
      <c r="BB64" s="506">
        <v>1</v>
      </c>
      <c r="BC64" s="505">
        <f>main!S71</f>
        <v>8.67</v>
      </c>
      <c r="BD64" s="506">
        <v>1</v>
      </c>
    </row>
    <row r="65" spans="1:56">
      <c r="A65" s="43">
        <f>main!A72</f>
        <v>2023</v>
      </c>
      <c r="B65" s="43" t="str">
        <f>main!B72</f>
        <v>47_3800</v>
      </c>
      <c r="C65" s="43">
        <v>18</v>
      </c>
      <c r="D65" s="43" t="str">
        <f>main!$B$54</f>
        <v>McLane-PARFLUX-Mark78H-21 ; frame# 10705, controller# 11649-01 and Motor # 11649-01 Cup set Lx21</v>
      </c>
      <c r="E65" s="43">
        <v>3800</v>
      </c>
      <c r="F65" s="502">
        <v>1</v>
      </c>
      <c r="G65" s="503">
        <f>main!E72</f>
        <v>330.79999999999995</v>
      </c>
      <c r="H65" s="193">
        <f>main!I72</f>
        <v>44.106666666666662</v>
      </c>
      <c r="I65" s="193">
        <f>main!J72</f>
        <v>16.109959999999997</v>
      </c>
      <c r="J65" s="500">
        <v>1</v>
      </c>
      <c r="K65" s="505">
        <f>main!AF72</f>
        <v>73.175592708371099</v>
      </c>
      <c r="L65" s="505">
        <f>main!AG72</f>
        <v>8.7807582053948803</v>
      </c>
      <c r="M65" s="504">
        <v>1</v>
      </c>
      <c r="N65" s="505">
        <f>main!M72</f>
        <v>12.192169189453125</v>
      </c>
      <c r="O65" s="504">
        <v>1</v>
      </c>
      <c r="P65" s="505">
        <f>main!O72</f>
        <v>0.41507834196090698</v>
      </c>
      <c r="Q65" s="504">
        <v>1</v>
      </c>
      <c r="R65" s="505">
        <f>main!AH72</f>
        <v>3.4114109840582447</v>
      </c>
      <c r="S65" s="504">
        <v>1</v>
      </c>
      <c r="T65" s="505">
        <f>main!AB72</f>
        <v>5.6802096079029036</v>
      </c>
      <c r="U65" s="504">
        <v>1</v>
      </c>
      <c r="V65" s="505">
        <f>main!AC72</f>
        <v>12.151078509750285</v>
      </c>
      <c r="W65" s="505">
        <f t="shared" si="19"/>
        <v>11.788558715081498</v>
      </c>
      <c r="X65" s="505">
        <f t="shared" si="20"/>
        <v>1.4145766345858328</v>
      </c>
      <c r="Y65" s="505">
        <f t="shared" si="21"/>
        <v>1.9641535795532223</v>
      </c>
      <c r="Z65" s="505">
        <f t="shared" si="22"/>
        <v>6.686895485856531E-2</v>
      </c>
      <c r="AA65" s="505">
        <f t="shared" si="23"/>
        <v>0.54957694496738951</v>
      </c>
      <c r="AB65" s="505">
        <f t="shared" si="24"/>
        <v>1.9575338874893666</v>
      </c>
      <c r="AC65" s="89">
        <f>main!T72</f>
        <v>45323</v>
      </c>
      <c r="AD65" s="89">
        <f>main!U72</f>
        <v>45338</v>
      </c>
      <c r="AE65" s="89">
        <f>main!V72</f>
        <v>45330.5</v>
      </c>
      <c r="AF65" s="503">
        <f>main!H72</f>
        <v>15</v>
      </c>
      <c r="AG65" s="193">
        <f t="shared" si="6"/>
        <v>0.91507949574931446</v>
      </c>
      <c r="AH65" s="193">
        <f t="shared" si="7"/>
        <v>0.16354317898028495</v>
      </c>
      <c r="AI65" s="193">
        <f t="shared" si="8"/>
        <v>4.7729446722744691E-3</v>
      </c>
      <c r="AJ65" s="193">
        <f t="shared" si="9"/>
        <v>4.5759945459399626E-2</v>
      </c>
      <c r="AK65" s="193">
        <f t="shared" si="10"/>
        <v>0.11778323352088534</v>
      </c>
      <c r="AL65" s="193">
        <f t="shared" si="11"/>
        <v>3.257669974187663E-2</v>
      </c>
      <c r="AM65" s="138">
        <f>depths!$B$4</f>
        <v>3816.4</v>
      </c>
      <c r="AN65" s="43"/>
      <c r="AO65" s="505">
        <f t="shared" si="25"/>
        <v>163.54317898028495</v>
      </c>
      <c r="AP65" s="504">
        <v>1</v>
      </c>
      <c r="AQ65" s="505">
        <f t="shared" si="26"/>
        <v>4.7729446722744688</v>
      </c>
      <c r="AR65" s="504">
        <v>1</v>
      </c>
      <c r="AS65" s="505">
        <f t="shared" si="27"/>
        <v>45.759945459399624</v>
      </c>
      <c r="AT65" s="504">
        <v>1</v>
      </c>
      <c r="AU65" s="505">
        <f t="shared" si="28"/>
        <v>117.78323352088533</v>
      </c>
      <c r="AV65" s="504">
        <v>1</v>
      </c>
      <c r="AW65" s="505">
        <f t="shared" si="29"/>
        <v>32.576699741876631</v>
      </c>
      <c r="AX65" s="504">
        <v>1</v>
      </c>
      <c r="AY65" s="505">
        <f t="shared" si="32"/>
        <v>9.5873613882880964</v>
      </c>
      <c r="AZ65" s="505">
        <f t="shared" si="33"/>
        <v>24.67726772637355</v>
      </c>
      <c r="BA65" s="505">
        <f>main!R72</f>
        <v>39.42</v>
      </c>
      <c r="BB65" s="506">
        <v>1</v>
      </c>
      <c r="BC65" s="505">
        <f>main!S72</f>
        <v>8.6999999999999993</v>
      </c>
      <c r="BD65" s="506">
        <v>1</v>
      </c>
    </row>
    <row r="66" spans="1:56">
      <c r="A66" s="43">
        <f>main!A73</f>
        <v>2023</v>
      </c>
      <c r="B66" s="43" t="str">
        <f>main!B73</f>
        <v>47_3800</v>
      </c>
      <c r="C66" s="43">
        <v>19</v>
      </c>
      <c r="D66" s="43" t="str">
        <f>main!$B$54</f>
        <v>McLane-PARFLUX-Mark78H-21 ; frame# 10705, controller# 11649-01 and Motor # 11649-01 Cup set Lx21</v>
      </c>
      <c r="E66" s="43">
        <v>3800</v>
      </c>
      <c r="F66" s="502">
        <v>1</v>
      </c>
      <c r="G66" s="503">
        <f>main!E73</f>
        <v>474.2285714285714</v>
      </c>
      <c r="H66" s="193">
        <f>main!I73</f>
        <v>63.230476190476189</v>
      </c>
      <c r="I66" s="193">
        <f>main!J73</f>
        <v>23.094931428571428</v>
      </c>
      <c r="J66" s="500">
        <v>1</v>
      </c>
      <c r="K66" s="505">
        <f>main!AF73</f>
        <v>80.567666009343725</v>
      </c>
      <c r="L66" s="505">
        <f>main!AG73</f>
        <v>9.6677753909074831</v>
      </c>
      <c r="M66" s="504">
        <v>1</v>
      </c>
      <c r="N66" s="505">
        <f>main!M73</f>
        <v>12.442910194396973</v>
      </c>
      <c r="O66" s="504">
        <v>1</v>
      </c>
      <c r="P66" s="505">
        <f>main!O73</f>
        <v>0.40945658087730408</v>
      </c>
      <c r="Q66" s="504">
        <v>1</v>
      </c>
      <c r="R66" s="505">
        <f>main!AH73</f>
        <v>2.7751348034894896</v>
      </c>
      <c r="S66" s="504">
        <v>1</v>
      </c>
      <c r="T66" s="505">
        <f>main!AB73</f>
        <v>4.2321698656129758</v>
      </c>
      <c r="U66" s="504">
        <v>1</v>
      </c>
      <c r="V66" s="505">
        <f>main!AC73</f>
        <v>9.0534384914447745</v>
      </c>
      <c r="W66" s="505">
        <f t="shared" si="19"/>
        <v>18.607047218458383</v>
      </c>
      <c r="X66" s="505">
        <f t="shared" si="20"/>
        <v>2.2327660971983865</v>
      </c>
      <c r="Y66" s="505">
        <f t="shared" si="21"/>
        <v>2.8736815771147044</v>
      </c>
      <c r="Z66" s="505">
        <f t="shared" si="22"/>
        <v>9.4563716583386484E-2</v>
      </c>
      <c r="AA66" s="505">
        <f t="shared" si="23"/>
        <v>0.64091547991631803</v>
      </c>
      <c r="AB66" s="505">
        <f t="shared" si="24"/>
        <v>2.0908854115270623</v>
      </c>
      <c r="AC66" s="89">
        <f>main!T73</f>
        <v>45338</v>
      </c>
      <c r="AD66" s="89">
        <f>main!U73</f>
        <v>45353</v>
      </c>
      <c r="AE66" s="89">
        <f>main!V73</f>
        <v>45345.5</v>
      </c>
      <c r="AF66" s="503">
        <f>main!H73</f>
        <v>15</v>
      </c>
      <c r="AG66" s="193">
        <f t="shared" si="6"/>
        <v>0.97741672840398031</v>
      </c>
      <c r="AH66" s="193">
        <f t="shared" si="7"/>
        <v>0.23927406970147413</v>
      </c>
      <c r="AI66" s="193">
        <f t="shared" si="8"/>
        <v>6.7497299488498558E-3</v>
      </c>
      <c r="AJ66" s="193">
        <f t="shared" si="9"/>
        <v>5.336515236605479E-2</v>
      </c>
      <c r="AK66" s="193">
        <f t="shared" si="10"/>
        <v>0.18590891733541937</v>
      </c>
      <c r="AL66" s="193">
        <f t="shared" si="11"/>
        <v>3.4795896347596306E-2</v>
      </c>
      <c r="AM66" s="138">
        <f>depths!$B$4</f>
        <v>3816.4</v>
      </c>
      <c r="AN66" s="43"/>
      <c r="AO66" s="505">
        <f t="shared" si="25"/>
        <v>239.27406970147413</v>
      </c>
      <c r="AP66" s="504">
        <v>1</v>
      </c>
      <c r="AQ66" s="505">
        <f t="shared" si="26"/>
        <v>6.7497299488498559</v>
      </c>
      <c r="AR66" s="504">
        <v>1</v>
      </c>
      <c r="AS66" s="505">
        <f t="shared" si="27"/>
        <v>53.365152366054787</v>
      </c>
      <c r="AT66" s="504">
        <v>1</v>
      </c>
      <c r="AU66" s="505">
        <f t="shared" si="28"/>
        <v>185.90891733541937</v>
      </c>
      <c r="AV66" s="504">
        <v>1</v>
      </c>
      <c r="AW66" s="505">
        <f t="shared" si="29"/>
        <v>34.795896347596305</v>
      </c>
      <c r="AX66" s="504">
        <v>1</v>
      </c>
      <c r="AY66" s="505">
        <f t="shared" si="32"/>
        <v>7.9062648091792367</v>
      </c>
      <c r="AZ66" s="505">
        <f t="shared" si="33"/>
        <v>27.543163762736608</v>
      </c>
      <c r="BA66" s="505">
        <f>main!R73</f>
        <v>37.79</v>
      </c>
      <c r="BB66" s="506">
        <v>1</v>
      </c>
      <c r="BC66" s="505">
        <f>main!S73</f>
        <v>8.67</v>
      </c>
      <c r="BD66" s="506">
        <v>1</v>
      </c>
    </row>
    <row r="67" spans="1:56">
      <c r="A67" s="43">
        <f>main!A74</f>
        <v>2023</v>
      </c>
      <c r="B67" s="43" t="str">
        <f>main!B74</f>
        <v>47_3800</v>
      </c>
      <c r="C67" s="43">
        <v>20</v>
      </c>
      <c r="D67" s="43" t="str">
        <f>main!$B$54</f>
        <v>McLane-PARFLUX-Mark78H-21 ; frame# 10705, controller# 11649-01 and Motor # 11649-01 Cup set Lx21</v>
      </c>
      <c r="E67" s="43">
        <v>3800</v>
      </c>
      <c r="F67" s="502">
        <v>1</v>
      </c>
      <c r="G67" s="503">
        <f>main!E74</f>
        <v>507.17142857142852</v>
      </c>
      <c r="H67" s="193">
        <f>main!I74</f>
        <v>67.622857142857143</v>
      </c>
      <c r="I67" s="193">
        <f>main!J74</f>
        <v>24.699248571428573</v>
      </c>
      <c r="J67" s="500">
        <v>1</v>
      </c>
      <c r="K67" s="505">
        <f>main!AF74</f>
        <v>83.120682042415268</v>
      </c>
      <c r="L67" s="505">
        <f>main!AG74</f>
        <v>9.9741263974546843</v>
      </c>
      <c r="M67" s="504">
        <v>2</v>
      </c>
      <c r="N67" s="505">
        <f>main!M74</f>
        <v>12.380021095275879</v>
      </c>
      <c r="O67" s="504">
        <v>1</v>
      </c>
      <c r="P67" s="505">
        <f>main!O74</f>
        <v>0.30700737237930298</v>
      </c>
      <c r="Q67" s="504">
        <v>1</v>
      </c>
      <c r="R67" s="505">
        <f>main!AH74</f>
        <v>2.4058946978211946</v>
      </c>
      <c r="S67" s="504">
        <v>2</v>
      </c>
      <c r="T67" s="505">
        <f>main!AB74</f>
        <v>3.4350290601162907</v>
      </c>
      <c r="U67" s="504">
        <v>1</v>
      </c>
      <c r="V67" s="505">
        <f>main!AC74</f>
        <v>7.3481985127229592</v>
      </c>
      <c r="W67" s="505">
        <f t="shared" si="19"/>
        <v>20.53018387192294</v>
      </c>
      <c r="X67" s="505">
        <f t="shared" si="20"/>
        <v>2.4635342717358064</v>
      </c>
      <c r="Y67" s="505">
        <f t="shared" si="21"/>
        <v>3.0577721835174834</v>
      </c>
      <c r="Z67" s="505">
        <f t="shared" si="22"/>
        <v>7.5828514036575395E-2</v>
      </c>
      <c r="AA67" s="505">
        <f t="shared" si="23"/>
        <v>0.59423791178167717</v>
      </c>
      <c r="AB67" s="505">
        <f t="shared" si="24"/>
        <v>1.8149498161794611</v>
      </c>
      <c r="AC67" s="89">
        <f>main!T74</f>
        <v>45353</v>
      </c>
      <c r="AD67" s="89">
        <f>main!U74</f>
        <v>45368</v>
      </c>
      <c r="AE67" s="89">
        <f>main!V74</f>
        <v>45360.5</v>
      </c>
      <c r="AF67" s="503">
        <f>main!H74</f>
        <v>15</v>
      </c>
      <c r="AG67" s="193">
        <f t="shared" si="6"/>
        <v>0.84842636605892929</v>
      </c>
      <c r="AH67" s="193">
        <f t="shared" si="7"/>
        <v>0.25460218014300445</v>
      </c>
      <c r="AI67" s="193">
        <f t="shared" si="8"/>
        <v>5.4124563909047395E-3</v>
      </c>
      <c r="AJ67" s="193">
        <f t="shared" si="9"/>
        <v>4.9478593820289525E-2</v>
      </c>
      <c r="AK67" s="193">
        <f t="shared" si="10"/>
        <v>0.20512358632271493</v>
      </c>
      <c r="AL67" s="193">
        <f t="shared" si="11"/>
        <v>3.0203857816266617E-2</v>
      </c>
      <c r="AM67" s="138">
        <f>depths!$B$4</f>
        <v>3816.4</v>
      </c>
      <c r="AN67" s="43"/>
      <c r="AO67" s="505">
        <f t="shared" si="25"/>
        <v>254.60218014300446</v>
      </c>
      <c r="AP67" s="504">
        <v>1</v>
      </c>
      <c r="AQ67" s="505">
        <f t="shared" si="26"/>
        <v>5.4124563909047394</v>
      </c>
      <c r="AR67" s="504">
        <v>1</v>
      </c>
      <c r="AS67" s="505">
        <f t="shared" si="27"/>
        <v>49.478593820289525</v>
      </c>
      <c r="AT67" s="504">
        <v>2</v>
      </c>
      <c r="AU67" s="505">
        <f t="shared" si="28"/>
        <v>205.12358632271494</v>
      </c>
      <c r="AV67" s="504">
        <v>2</v>
      </c>
      <c r="AW67" s="505">
        <f t="shared" si="29"/>
        <v>30.203857816266616</v>
      </c>
      <c r="AX67" s="504">
        <v>1</v>
      </c>
      <c r="AY67" s="505">
        <f t="shared" si="32"/>
        <v>9.1416152384035652</v>
      </c>
      <c r="AZ67" s="505">
        <f t="shared" si="33"/>
        <v>37.898427536046484</v>
      </c>
      <c r="BA67" s="505">
        <f>main!R74</f>
        <v>38.840000000000003</v>
      </c>
      <c r="BB67" s="506">
        <v>1</v>
      </c>
      <c r="BC67" s="505">
        <f>main!S74</f>
        <v>8.52</v>
      </c>
      <c r="BD67" s="506">
        <v>1</v>
      </c>
    </row>
    <row r="68" spans="1:56">
      <c r="A68" s="43">
        <f>main!A75</f>
        <v>2023</v>
      </c>
      <c r="B68" s="43" t="str">
        <f>main!B75</f>
        <v>47_3800</v>
      </c>
      <c r="C68" s="43">
        <v>21</v>
      </c>
      <c r="D68" s="43" t="str">
        <f>main!$B$54</f>
        <v>McLane-PARFLUX-Mark78H-21 ; frame# 10705, controller# 11649-01 and Motor # 11649-01 Cup set Lx21</v>
      </c>
      <c r="E68" s="43">
        <v>3800</v>
      </c>
      <c r="F68" s="502">
        <v>1</v>
      </c>
      <c r="G68" s="503">
        <f>main!E75</f>
        <v>459.5428571428572</v>
      </c>
      <c r="H68" s="193">
        <f>main!I75</f>
        <v>61.272380952380963</v>
      </c>
      <c r="I68" s="193">
        <f>main!J75</f>
        <v>22.379737142857149</v>
      </c>
      <c r="J68" s="500">
        <v>1</v>
      </c>
      <c r="K68" s="505">
        <f>main!AF75</f>
        <v>82.788216515817822</v>
      </c>
      <c r="L68" s="505">
        <f>main!AG75</f>
        <v>9.934231955979973</v>
      </c>
      <c r="M68" s="504">
        <v>1</v>
      </c>
      <c r="N68" s="505">
        <f>main!M75</f>
        <v>12.553975582122803</v>
      </c>
      <c r="O68" s="504">
        <v>1</v>
      </c>
      <c r="P68" s="505">
        <f>main!O75</f>
        <v>0.36767220497131348</v>
      </c>
      <c r="Q68" s="504">
        <v>1</v>
      </c>
      <c r="R68" s="505">
        <f>main!AH75</f>
        <v>2.6197436261428297</v>
      </c>
      <c r="S68" s="504">
        <v>1</v>
      </c>
      <c r="T68" s="505">
        <f>main!AB75</f>
        <v>3.4583152898644407</v>
      </c>
      <c r="U68" s="504">
        <v>1</v>
      </c>
      <c r="V68" s="505">
        <f>main!AC75</f>
        <v>7.3980123092899346</v>
      </c>
      <c r="W68" s="505">
        <f t="shared" si="19"/>
        <v>18.52778524149948</v>
      </c>
      <c r="X68" s="505">
        <f t="shared" si="20"/>
        <v>2.2232549989100345</v>
      </c>
      <c r="Y68" s="505">
        <f t="shared" si="21"/>
        <v>2.8095467362575541</v>
      </c>
      <c r="Z68" s="505">
        <f t="shared" si="22"/>
        <v>8.228407301992692E-2</v>
      </c>
      <c r="AA68" s="505">
        <f t="shared" si="23"/>
        <v>0.5862917373475196</v>
      </c>
      <c r="AB68" s="505">
        <f t="shared" si="24"/>
        <v>1.6556557086153034</v>
      </c>
      <c r="AC68" s="89">
        <f>main!T75</f>
        <v>45368</v>
      </c>
      <c r="AD68" s="89">
        <f>main!U75</f>
        <v>45383</v>
      </c>
      <c r="AE68" s="89">
        <f>main!V75</f>
        <v>45375.5</v>
      </c>
      <c r="AF68" s="503">
        <f>main!H75</f>
        <v>15</v>
      </c>
      <c r="AG68" s="193">
        <f t="shared" si="6"/>
        <v>0.77396187144290007</v>
      </c>
      <c r="AH68" s="193">
        <f t="shared" si="7"/>
        <v>0.23393394973002116</v>
      </c>
      <c r="AI68" s="193">
        <f t="shared" si="8"/>
        <v>5.8732386166971389E-3</v>
      </c>
      <c r="AJ68" s="193">
        <f t="shared" si="9"/>
        <v>4.8816963975646929E-2</v>
      </c>
      <c r="AK68" s="193">
        <f t="shared" si="10"/>
        <v>0.18511698575437424</v>
      </c>
      <c r="AL68" s="193">
        <f t="shared" si="11"/>
        <v>2.7552932411637598E-2</v>
      </c>
      <c r="AM68" s="138">
        <f>depths!$B$4</f>
        <v>3816.4</v>
      </c>
      <c r="AN68" s="43"/>
      <c r="AO68" s="505">
        <f t="shared" si="25"/>
        <v>233.93394973002117</v>
      </c>
      <c r="AP68" s="504">
        <v>1</v>
      </c>
      <c r="AQ68" s="505">
        <f t="shared" si="26"/>
        <v>5.8732386166971393</v>
      </c>
      <c r="AR68" s="504">
        <v>1</v>
      </c>
      <c r="AS68" s="505">
        <f t="shared" si="27"/>
        <v>48.816963975646928</v>
      </c>
      <c r="AT68" s="504">
        <v>1</v>
      </c>
      <c r="AU68" s="505">
        <f t="shared" si="28"/>
        <v>185.11698575437424</v>
      </c>
      <c r="AV68" s="504">
        <v>1</v>
      </c>
      <c r="AW68" s="505">
        <f t="shared" si="29"/>
        <v>27.552932411637599</v>
      </c>
      <c r="AX68" s="504">
        <v>1</v>
      </c>
      <c r="AY68" s="505">
        <f t="shared" si="32"/>
        <v>8.3117624127962841</v>
      </c>
      <c r="AZ68" s="505">
        <f t="shared" si="33"/>
        <v>31.518723797140087</v>
      </c>
      <c r="BA68" s="505">
        <f>main!R75</f>
        <v>39.369999999999997</v>
      </c>
      <c r="BB68" s="506">
        <v>1</v>
      </c>
      <c r="BC68" s="505">
        <f>main!S75</f>
        <v>8.6999999999999993</v>
      </c>
      <c r="BD68" s="506">
        <v>1</v>
      </c>
    </row>
  </sheetData>
  <pageMargins left="0.7" right="0.7" top="0.75" bottom="0.75" header="0.3" footer="0.3"/>
  <headerFooter>
    <oddHeader>&amp;C&amp;"Aptos"&amp;12&amp;KFF0000 UNOFFICIAL&amp;1#_x000D_</oddHeader>
    <oddFooter>&amp;C_x000D_&amp;1#&amp;"Aptos"&amp;12&amp;KFF0000 UNOFFICIAL</oddFooter>
  </headerFooter>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F064-ADDC-4F56-9CB8-C847A664C076}">
  <dimension ref="A1:AK75"/>
  <sheetViews>
    <sheetView tabSelected="1" workbookViewId="0">
      <selection activeCell="H9" sqref="H9"/>
    </sheetView>
  </sheetViews>
  <sheetFormatPr defaultRowHeight="15"/>
  <cols>
    <col min="6" max="6" width="16.42578125" customWidth="1"/>
    <col min="7" max="7" width="16" customWidth="1"/>
    <col min="9" max="9" width="10.42578125" bestFit="1" customWidth="1"/>
    <col min="10" max="10" width="12" customWidth="1"/>
    <col min="11" max="11" width="24" bestFit="1" customWidth="1"/>
    <col min="12" max="12" width="11.7109375" customWidth="1"/>
    <col min="13" max="13" width="15.42578125" bestFit="1" customWidth="1"/>
    <col min="14" max="14" width="21.7109375" customWidth="1"/>
    <col min="15" max="15" width="19.85546875" customWidth="1"/>
    <col min="23" max="23" width="35.42578125" customWidth="1"/>
    <col min="26" max="26" width="32.85546875" bestFit="1" customWidth="1"/>
    <col min="29" max="29" width="28.85546875" customWidth="1"/>
    <col min="32" max="32" width="22.140625" customWidth="1"/>
    <col min="35" max="35" width="13" customWidth="1"/>
    <col min="37" max="37" width="11.28515625" customWidth="1"/>
  </cols>
  <sheetData>
    <row r="1" spans="1:37" s="61" customFormat="1">
      <c r="A1" s="61" t="s">
        <v>2379</v>
      </c>
      <c r="B1" s="61" t="s">
        <v>2380</v>
      </c>
      <c r="C1" s="61" t="s">
        <v>2381</v>
      </c>
      <c r="D1" s="554" t="s">
        <v>2382</v>
      </c>
      <c r="E1" s="61" t="s">
        <v>84</v>
      </c>
      <c r="F1" s="516" t="s">
        <v>2383</v>
      </c>
      <c r="G1" s="516" t="s">
        <v>2384</v>
      </c>
      <c r="H1" s="517" t="s">
        <v>840</v>
      </c>
      <c r="I1" s="517" t="s">
        <v>2385</v>
      </c>
      <c r="J1" s="518" t="s">
        <v>2386</v>
      </c>
      <c r="K1" s="516" t="s">
        <v>2387</v>
      </c>
      <c r="L1" s="516" t="s">
        <v>2388</v>
      </c>
      <c r="M1" s="519" t="s">
        <v>2389</v>
      </c>
      <c r="N1" s="520" t="s">
        <v>2390</v>
      </c>
      <c r="O1" s="520" t="s">
        <v>2391</v>
      </c>
      <c r="P1" s="521" t="s">
        <v>2392</v>
      </c>
      <c r="Q1" s="521" t="s">
        <v>2393</v>
      </c>
      <c r="R1" s="521" t="s">
        <v>2394</v>
      </c>
      <c r="S1" s="521" t="s">
        <v>2395</v>
      </c>
      <c r="T1" s="521" t="s">
        <v>2396</v>
      </c>
      <c r="U1" s="521" t="s">
        <v>2397</v>
      </c>
      <c r="V1" s="521" t="s">
        <v>2398</v>
      </c>
      <c r="W1" s="522" t="s">
        <v>2399</v>
      </c>
      <c r="X1" s="522" t="s">
        <v>2400</v>
      </c>
      <c r="Y1" s="515" t="s">
        <v>2401</v>
      </c>
      <c r="Z1" s="522" t="s">
        <v>2402</v>
      </c>
      <c r="AA1" s="522" t="s">
        <v>2403</v>
      </c>
      <c r="AB1" s="522" t="s">
        <v>2404</v>
      </c>
      <c r="AC1" s="522" t="s">
        <v>2405</v>
      </c>
      <c r="AD1" s="522" t="s">
        <v>2406</v>
      </c>
      <c r="AE1" s="515" t="s">
        <v>2407</v>
      </c>
      <c r="AF1" s="522" t="s">
        <v>2408</v>
      </c>
      <c r="AG1" s="522" t="s">
        <v>2409</v>
      </c>
      <c r="AH1" s="61" t="s">
        <v>2410</v>
      </c>
      <c r="AI1" s="3" t="s">
        <v>2411</v>
      </c>
      <c r="AJ1" s="3" t="s">
        <v>2412</v>
      </c>
      <c r="AK1" s="61" t="s">
        <v>2413</v>
      </c>
    </row>
    <row r="2" spans="1:37" s="523" customFormat="1" ht="15.75">
      <c r="D2" s="172"/>
      <c r="F2" s="525" t="s">
        <v>2414</v>
      </c>
      <c r="G2" s="525"/>
      <c r="H2" s="526"/>
      <c r="I2" s="526"/>
      <c r="J2" s="525"/>
      <c r="K2" s="525"/>
      <c r="L2" s="525"/>
      <c r="M2" s="524"/>
      <c r="N2" s="527"/>
      <c r="O2" s="527"/>
      <c r="P2" s="528"/>
      <c r="Q2" s="528"/>
      <c r="R2" s="528"/>
      <c r="S2" s="528"/>
      <c r="T2" s="528"/>
      <c r="U2" s="528"/>
      <c r="V2" s="528"/>
      <c r="W2" s="529"/>
      <c r="X2" s="529"/>
      <c r="Y2" s="524"/>
      <c r="AC2" s="530"/>
      <c r="AD2" s="530"/>
      <c r="AE2" s="524"/>
      <c r="AF2" s="529"/>
      <c r="AG2" s="529"/>
      <c r="AI2" s="531"/>
      <c r="AJ2" s="531"/>
    </row>
    <row r="3" spans="1:37" s="523" customFormat="1" ht="15.75">
      <c r="A3" s="523" t="s">
        <v>86</v>
      </c>
      <c r="D3" s="555" t="s">
        <v>2415</v>
      </c>
      <c r="F3" s="162" t="s">
        <v>2416</v>
      </c>
      <c r="G3" s="162"/>
      <c r="H3" s="526" t="s">
        <v>2417</v>
      </c>
      <c r="I3" s="526"/>
      <c r="J3" s="525"/>
      <c r="K3" s="525"/>
      <c r="L3" s="525"/>
      <c r="M3" s="524" t="s">
        <v>2418</v>
      </c>
      <c r="N3" s="527" t="s">
        <v>2419</v>
      </c>
      <c r="O3" s="527"/>
      <c r="P3" s="529"/>
      <c r="Q3" s="528" t="s">
        <v>2420</v>
      </c>
      <c r="R3" s="528"/>
      <c r="S3" s="529"/>
      <c r="T3" s="532" t="s">
        <v>2421</v>
      </c>
      <c r="U3" s="532"/>
      <c r="V3" s="529"/>
      <c r="W3" s="529" t="s">
        <v>2422</v>
      </c>
      <c r="X3" s="529"/>
      <c r="Y3" s="533"/>
      <c r="Z3" s="534" t="s">
        <v>2423</v>
      </c>
      <c r="AA3" s="534"/>
      <c r="AB3" s="529"/>
      <c r="AC3" s="529" t="s">
        <v>2424</v>
      </c>
      <c r="AD3" s="529"/>
      <c r="AE3" s="533"/>
      <c r="AF3" s="529" t="s">
        <v>2425</v>
      </c>
      <c r="AG3" s="529"/>
      <c r="AH3" s="529"/>
      <c r="AI3" s="529" t="s">
        <v>2426</v>
      </c>
      <c r="AJ3" s="529"/>
      <c r="AK3" s="529"/>
    </row>
    <row r="4" spans="1:37" s="523" customFormat="1">
      <c r="A4" s="162" t="s">
        <v>2457</v>
      </c>
      <c r="C4" s="523" t="s">
        <v>2377</v>
      </c>
      <c r="D4" s="556" t="s">
        <v>2374</v>
      </c>
      <c r="F4" s="162" t="s">
        <v>2427</v>
      </c>
      <c r="G4" s="162"/>
      <c r="H4" s="526">
        <v>1</v>
      </c>
      <c r="I4" s="526"/>
      <c r="J4" s="525" t="s">
        <v>2428</v>
      </c>
      <c r="K4" s="525" t="s">
        <v>2428</v>
      </c>
      <c r="L4" s="525" t="s">
        <v>2428</v>
      </c>
      <c r="M4" s="524" t="s">
        <v>2429</v>
      </c>
      <c r="N4" s="527" t="s">
        <v>2430</v>
      </c>
      <c r="O4" s="527" t="s">
        <v>2430</v>
      </c>
      <c r="P4" s="529"/>
      <c r="Q4" s="535" t="s">
        <v>2431</v>
      </c>
      <c r="R4" s="535" t="s">
        <v>2431</v>
      </c>
      <c r="S4" s="529"/>
      <c r="T4" s="535" t="s">
        <v>2432</v>
      </c>
      <c r="U4" s="535" t="s">
        <v>2431</v>
      </c>
      <c r="V4" s="529"/>
      <c r="W4" s="527" t="s">
        <v>2430</v>
      </c>
      <c r="X4" s="527" t="s">
        <v>2430</v>
      </c>
      <c r="Y4" s="533"/>
      <c r="Z4" s="527" t="s">
        <v>2430</v>
      </c>
      <c r="AA4" s="527" t="s">
        <v>2430</v>
      </c>
      <c r="AB4" s="529"/>
      <c r="AC4" s="527" t="s">
        <v>2430</v>
      </c>
      <c r="AD4" s="527" t="s">
        <v>2430</v>
      </c>
      <c r="AE4" s="533"/>
      <c r="AF4" s="527" t="s">
        <v>2430</v>
      </c>
      <c r="AG4" s="527" t="s">
        <v>2430</v>
      </c>
      <c r="AH4" s="529"/>
      <c r="AI4" s="527" t="s">
        <v>2430</v>
      </c>
      <c r="AJ4" s="527" t="s">
        <v>2430</v>
      </c>
      <c r="AK4" s="529"/>
    </row>
    <row r="5" spans="1:37" s="532" customFormat="1" ht="15.75">
      <c r="D5" s="557"/>
      <c r="F5" s="536" t="s">
        <v>2433</v>
      </c>
      <c r="G5" s="536"/>
      <c r="I5" s="537"/>
      <c r="J5" s="538"/>
      <c r="K5" s="538"/>
      <c r="L5" s="538"/>
      <c r="N5" s="539">
        <v>5.9999999999999995E-4</v>
      </c>
      <c r="O5" s="539"/>
      <c r="P5" s="529"/>
      <c r="Q5" s="540">
        <v>2.1999999999999999E-2</v>
      </c>
      <c r="R5" s="540"/>
      <c r="S5" s="541"/>
      <c r="T5" s="540">
        <v>2.9000000000000001E-2</v>
      </c>
      <c r="U5" s="540"/>
      <c r="V5" s="529"/>
      <c r="W5" s="542">
        <v>2.1000000000000001E-2</v>
      </c>
      <c r="X5" s="542"/>
      <c r="Y5" s="542"/>
      <c r="Z5" s="542">
        <v>3.7999999999999999E-2</v>
      </c>
      <c r="AA5" s="542"/>
      <c r="AB5" s="542"/>
      <c r="AC5" s="542">
        <v>2.8000000000000001E-2</v>
      </c>
      <c r="AD5" s="542"/>
      <c r="AE5" s="529"/>
      <c r="AF5" s="542">
        <v>1.9E-2</v>
      </c>
      <c r="AG5" s="542"/>
      <c r="AH5" s="533"/>
      <c r="AI5" s="542">
        <v>4.9000000000000002E-2</v>
      </c>
      <c r="AJ5" s="542"/>
    </row>
    <row r="6" spans="1:37" s="523" customFormat="1" ht="15.75">
      <c r="D6" s="557">
        <v>3</v>
      </c>
      <c r="F6" s="523" t="s">
        <v>2434</v>
      </c>
    </row>
    <row r="7" spans="1:37" s="523" customFormat="1">
      <c r="C7" s="523" t="s">
        <v>2362</v>
      </c>
      <c r="D7" t="s">
        <v>2372</v>
      </c>
      <c r="F7" s="162" t="s">
        <v>2435</v>
      </c>
      <c r="G7" s="162"/>
      <c r="I7" s="526"/>
      <c r="J7" s="525"/>
      <c r="K7" s="525"/>
      <c r="L7" s="525"/>
      <c r="M7" s="524"/>
      <c r="N7" s="527" t="s">
        <v>337</v>
      </c>
      <c r="O7" s="527"/>
      <c r="P7" s="529"/>
      <c r="Q7" s="529" t="s">
        <v>2436</v>
      </c>
      <c r="R7" s="529"/>
      <c r="S7" s="529"/>
      <c r="T7" s="529" t="s">
        <v>2436</v>
      </c>
      <c r="U7" s="529"/>
      <c r="V7" s="529"/>
      <c r="W7" s="529" t="s">
        <v>337</v>
      </c>
      <c r="X7" s="529"/>
      <c r="Y7" s="533"/>
      <c r="Z7" s="529" t="s">
        <v>337</v>
      </c>
      <c r="AA7" s="529"/>
      <c r="AB7" s="529"/>
      <c r="AC7" s="529" t="s">
        <v>337</v>
      </c>
      <c r="AD7" s="529"/>
      <c r="AE7" s="533"/>
      <c r="AF7" s="529" t="s">
        <v>337</v>
      </c>
      <c r="AG7" s="529"/>
      <c r="AH7" s="529"/>
      <c r="AI7" s="529" t="s">
        <v>337</v>
      </c>
      <c r="AJ7" s="529"/>
      <c r="AK7" s="529"/>
    </row>
    <row r="8" spans="1:37" s="523" customFormat="1">
      <c r="D8" t="s">
        <v>2437</v>
      </c>
      <c r="F8" s="162" t="s">
        <v>2438</v>
      </c>
      <c r="G8" s="162"/>
      <c r="H8" s="526"/>
      <c r="I8" s="526"/>
      <c r="J8" s="525"/>
      <c r="K8" s="525"/>
      <c r="L8" s="525"/>
      <c r="M8" s="524"/>
      <c r="N8" s="527" t="s">
        <v>2439</v>
      </c>
      <c r="O8" s="527"/>
      <c r="P8" s="529"/>
      <c r="Q8" s="43" t="s">
        <v>2440</v>
      </c>
      <c r="R8" s="529"/>
      <c r="S8" s="529"/>
      <c r="T8" s="43" t="s">
        <v>2441</v>
      </c>
      <c r="U8" s="43"/>
      <c r="V8" s="529"/>
      <c r="W8" s="529" t="s">
        <v>2442</v>
      </c>
      <c r="X8" s="529"/>
      <c r="Y8" s="533"/>
      <c r="Z8" s="529" t="s">
        <v>2443</v>
      </c>
      <c r="AA8" s="529"/>
      <c r="AB8" s="529"/>
      <c r="AC8" s="529" t="s">
        <v>2444</v>
      </c>
      <c r="AD8" s="529"/>
      <c r="AE8" s="533"/>
      <c r="AF8" s="529" t="s">
        <v>2445</v>
      </c>
      <c r="AG8" s="529"/>
      <c r="AH8" s="529"/>
      <c r="AI8" s="529" t="s">
        <v>2446</v>
      </c>
      <c r="AJ8" s="529"/>
      <c r="AK8" s="529"/>
    </row>
    <row r="9" spans="1:37" s="523" customFormat="1">
      <c r="D9" s="171"/>
      <c r="F9" s="523" t="s">
        <v>2447</v>
      </c>
      <c r="G9" s="523">
        <v>2000</v>
      </c>
      <c r="H9" s="523" t="s">
        <v>2458</v>
      </c>
      <c r="I9" s="543"/>
      <c r="J9" s="525"/>
      <c r="K9" s="525"/>
      <c r="L9" s="525"/>
      <c r="M9" s="524"/>
      <c r="N9" s="527"/>
      <c r="O9" s="527"/>
      <c r="P9" s="529"/>
      <c r="Q9" s="529"/>
      <c r="R9" s="529"/>
      <c r="S9" s="529"/>
      <c r="T9" s="529"/>
      <c r="U9" s="529"/>
      <c r="V9" s="529"/>
      <c r="W9" s="529"/>
      <c r="X9" s="529"/>
      <c r="Y9" s="533"/>
      <c r="Z9" s="529"/>
      <c r="AA9" s="529"/>
      <c r="AB9" s="529"/>
      <c r="AC9" s="529"/>
      <c r="AD9" s="529"/>
      <c r="AE9" s="533"/>
      <c r="AF9" s="529"/>
      <c r="AG9" s="529"/>
      <c r="AH9" s="529"/>
      <c r="AI9" s="529"/>
      <c r="AJ9" s="529"/>
      <c r="AK9" s="529"/>
    </row>
    <row r="10" spans="1:37" s="523" customFormat="1" ht="15.75">
      <c r="D10" s="555">
        <v>-2</v>
      </c>
      <c r="F10" s="544" t="s">
        <v>2448</v>
      </c>
      <c r="G10" s="544"/>
      <c r="H10" s="543"/>
      <c r="I10" s="543"/>
      <c r="J10" s="525"/>
      <c r="K10" s="525"/>
      <c r="L10" s="525"/>
      <c r="M10" s="524"/>
      <c r="N10" s="545">
        <v>-10</v>
      </c>
      <c r="O10" s="527"/>
      <c r="P10" s="529"/>
      <c r="Q10" s="546">
        <v>20</v>
      </c>
      <c r="R10" s="529"/>
      <c r="S10" s="529"/>
      <c r="T10" s="546">
        <v>2</v>
      </c>
      <c r="U10" s="529"/>
      <c r="V10" s="529"/>
      <c r="W10" s="504">
        <v>-1</v>
      </c>
      <c r="X10" s="529"/>
      <c r="Y10" s="533"/>
      <c r="Z10" s="504">
        <v>-1</v>
      </c>
      <c r="AA10" s="529"/>
      <c r="AB10" s="529"/>
      <c r="AC10" s="504">
        <v>-1</v>
      </c>
      <c r="AD10" s="529"/>
      <c r="AE10" s="533"/>
      <c r="AF10" s="504">
        <v>-1</v>
      </c>
      <c r="AG10" s="529"/>
      <c r="AH10" s="529"/>
      <c r="AI10" s="504">
        <v>-1</v>
      </c>
      <c r="AJ10" s="529"/>
      <c r="AK10" s="529"/>
    </row>
    <row r="11" spans="1:37" s="43" customFormat="1" ht="15.75">
      <c r="D11" s="555">
        <v>12000</v>
      </c>
      <c r="E11" s="523"/>
      <c r="F11" s="544" t="s">
        <v>2449</v>
      </c>
      <c r="G11" s="544"/>
      <c r="H11" s="543"/>
      <c r="I11" s="543"/>
      <c r="J11" s="525"/>
      <c r="K11" s="525"/>
      <c r="L11" s="525"/>
      <c r="M11" s="524"/>
      <c r="N11" s="545">
        <v>1000</v>
      </c>
      <c r="O11" s="527"/>
      <c r="P11" s="529"/>
      <c r="Q11" s="546">
        <v>60</v>
      </c>
      <c r="R11" s="529"/>
      <c r="S11" s="529"/>
      <c r="T11" s="546">
        <v>12</v>
      </c>
      <c r="U11" s="529"/>
      <c r="V11" s="529"/>
      <c r="W11" s="504">
        <v>100</v>
      </c>
      <c r="X11" s="529"/>
      <c r="Y11" s="533"/>
      <c r="Z11" s="504">
        <v>100</v>
      </c>
      <c r="AA11" s="529"/>
      <c r="AB11" s="529"/>
      <c r="AC11" s="504">
        <v>100</v>
      </c>
      <c r="AD11" s="529"/>
      <c r="AE11" s="533"/>
      <c r="AF11" s="504">
        <v>100</v>
      </c>
      <c r="AG11" s="529"/>
      <c r="AH11" s="529"/>
      <c r="AI11" s="504">
        <v>100</v>
      </c>
      <c r="AJ11" s="529"/>
      <c r="AK11" s="529"/>
    </row>
    <row r="12" spans="1:37" s="43" customFormat="1" ht="15.75">
      <c r="D12" s="555"/>
      <c r="E12" s="523"/>
      <c r="F12" s="544"/>
      <c r="G12" s="544"/>
      <c r="H12" s="543"/>
      <c r="I12" s="543"/>
      <c r="J12" s="525"/>
      <c r="K12" s="525"/>
      <c r="L12" s="525"/>
      <c r="M12" s="524"/>
      <c r="N12" s="545"/>
      <c r="O12" s="527"/>
      <c r="P12" s="529"/>
      <c r="Q12" s="546"/>
      <c r="R12" s="529"/>
      <c r="S12" s="529"/>
      <c r="T12" s="546"/>
      <c r="U12" s="529"/>
      <c r="V12" s="529"/>
      <c r="W12" s="504"/>
      <c r="X12" s="529"/>
      <c r="Y12" s="533"/>
      <c r="Z12" s="504"/>
      <c r="AA12" s="529"/>
      <c r="AB12" s="529"/>
      <c r="AC12" s="504"/>
      <c r="AD12" s="529"/>
      <c r="AE12" s="533"/>
      <c r="AF12" s="504"/>
      <c r="AG12" s="529"/>
      <c r="AH12" s="529"/>
      <c r="AI12" s="504"/>
      <c r="AJ12" s="529"/>
      <c r="AK12" s="529"/>
    </row>
    <row r="13" spans="1:37" s="43" customFormat="1" ht="15.75">
      <c r="A13" s="43">
        <v>2023</v>
      </c>
      <c r="B13" s="43" t="str">
        <f>LEFT([1]report_47_flagged!B6,2)</f>
        <v>47</v>
      </c>
      <c r="C13" s="43">
        <f>report_47_flagged!E6</f>
        <v>1000</v>
      </c>
      <c r="D13" s="134">
        <f>report_47_flagged!AM6</f>
        <v>1076.5</v>
      </c>
      <c r="E13" s="43" t="str">
        <f>report_47_flagged!D6</f>
        <v>McLane-PARFLUX-Mark78H-21 ; frame# 2241, controller# 11640-01 and Motor # 11640-01 Cup set Dx21</v>
      </c>
      <c r="H13" s="43">
        <f>report_47_flagged!C6</f>
        <v>1</v>
      </c>
      <c r="I13" s="43">
        <f>report_47_flagged!F6</f>
        <v>1</v>
      </c>
      <c r="J13" s="89">
        <f>report_47_flagged!AC6</f>
        <v>45068</v>
      </c>
      <c r="K13" s="89">
        <f>report_47_flagged!AD6</f>
        <v>45083</v>
      </c>
      <c r="L13" s="89">
        <f>report_47_flagged!AE6</f>
        <v>45075.5</v>
      </c>
      <c r="M13" s="503">
        <f>report_47_flagged!AF6</f>
        <v>15</v>
      </c>
      <c r="N13" s="193">
        <f>report_47_flagged!H6</f>
        <v>65.956190476190471</v>
      </c>
      <c r="O13" s="193">
        <f>N13*$N$5</f>
        <v>3.9573714285714282E-2</v>
      </c>
      <c r="P13" s="503">
        <f>report_47_flagged!J6</f>
        <v>1</v>
      </c>
      <c r="Q13" s="547">
        <f>report_47_flagged!BA6</f>
        <v>40.659999999999997</v>
      </c>
      <c r="R13" s="547">
        <f>Q13*$Q$5</f>
        <v>0.89451999999999987</v>
      </c>
      <c r="S13" s="548">
        <f>report_47_flagged!BB6</f>
        <v>1</v>
      </c>
      <c r="T13" s="547">
        <f>report_47_flagged!BC6</f>
        <v>8.49</v>
      </c>
      <c r="U13" s="547">
        <f>T13*$T$5</f>
        <v>0.24621000000000001</v>
      </c>
      <c r="V13" s="548">
        <f>report_47_flagged!BD6</f>
        <v>1</v>
      </c>
      <c r="W13" s="505">
        <f>(report_47_flagged!N6/100)*report_47_flagged!H6</f>
        <v>9.7052767781757154</v>
      </c>
      <c r="X13" s="505">
        <f>W13*SQRT(($W$5)^2+($N$5)^2)</f>
        <v>0.20389398345812546</v>
      </c>
      <c r="Y13" s="503">
        <f>report_47_flagged!AP6</f>
        <v>1</v>
      </c>
      <c r="Z13" s="505">
        <f>(report_47_flagged!P6/100)*report_47_flagged!H6</f>
        <v>0.70779551722889844</v>
      </c>
      <c r="AA13" s="505">
        <f>Z13*SQRT(($Z$5)^2+($N$5)^2)</f>
        <v>2.6899582161367841E-2</v>
      </c>
      <c r="AB13" s="503">
        <f>report_47_flagged!AR6</f>
        <v>1</v>
      </c>
      <c r="AC13" s="505">
        <f>(report_47_flagged!R6/100)*report_47_flagged!H6</f>
        <v>4.3315192216341334</v>
      </c>
      <c r="AD13" s="505">
        <f>AC13*SQRT(($AC$5)^2+($N$5)^2)</f>
        <v>0.12131038049065242</v>
      </c>
      <c r="AE13" s="503">
        <f>report_47_flagged!AT6</f>
        <v>1</v>
      </c>
      <c r="AF13" s="505">
        <f>(report_47_flagged!L6/100)*report_47_flagged!H6</f>
        <v>5.3737575565415838</v>
      </c>
      <c r="AG13" s="505">
        <f>AF13*SQRT(($AF$5)^2+($N$5)^2)</f>
        <v>0.10215229017066442</v>
      </c>
      <c r="AH13" s="503">
        <f>report_47_flagged!AV6</f>
        <v>1</v>
      </c>
      <c r="AI13" s="505">
        <f>(report_47_flagged!T6/100)*report_47_flagged!H6</f>
        <v>3.5899252521175304</v>
      </c>
      <c r="AJ13" s="505">
        <f>AI13*SQRT(($AI$5)^2+($N$5)^2)</f>
        <v>0.1759195243399895</v>
      </c>
      <c r="AK13" s="503">
        <f>report_47_flagged!AX6</f>
        <v>1</v>
      </c>
    </row>
    <row r="14" spans="1:37" ht="15.75">
      <c r="A14" s="43">
        <v>2023</v>
      </c>
      <c r="B14" s="43" t="str">
        <f>LEFT([1]report_47_flagged!B7,2)</f>
        <v>47</v>
      </c>
      <c r="C14" s="43">
        <f>report_47_flagged!E7</f>
        <v>1000</v>
      </c>
      <c r="D14" s="134">
        <f>report_47_flagged!AM7</f>
        <v>1076.5</v>
      </c>
      <c r="E14" s="43" t="str">
        <f>report_47_flagged!D7</f>
        <v>McLane-PARFLUX-Mark78H-21 ; frame# 2241, controller# 11640-01 and Motor # 11640-01 Cup set Dx21</v>
      </c>
      <c r="F14" s="43"/>
      <c r="G14" s="43"/>
      <c r="H14" s="43">
        <f>report_47_flagged!C7</f>
        <v>2</v>
      </c>
      <c r="I14" s="43">
        <f>report_47_flagged!F7</f>
        <v>1</v>
      </c>
      <c r="J14" s="89">
        <f>report_47_flagged!AC7</f>
        <v>45083</v>
      </c>
      <c r="K14" s="89">
        <f>report_47_flagged!AD7</f>
        <v>45098</v>
      </c>
      <c r="L14" s="89">
        <f>report_47_flagged!AE7</f>
        <v>45090.5</v>
      </c>
      <c r="M14" s="503">
        <f>report_47_flagged!AF7</f>
        <v>15</v>
      </c>
      <c r="N14" s="193">
        <f>report_47_flagged!H7</f>
        <v>40.874285714285719</v>
      </c>
      <c r="O14" s="193">
        <f t="shared" ref="O14:O75" si="0">N14*$N$5</f>
        <v>2.452457142857143E-2</v>
      </c>
      <c r="P14" s="503">
        <f>report_47_flagged!J7</f>
        <v>1</v>
      </c>
      <c r="Q14" s="547">
        <f>report_47_flagged!BA7</f>
        <v>39.58</v>
      </c>
      <c r="R14" s="547">
        <f t="shared" ref="R14:R75" si="1">Q14*$Q$5</f>
        <v>0.87075999999999987</v>
      </c>
      <c r="S14" s="548">
        <f>report_47_flagged!BB7</f>
        <v>1</v>
      </c>
      <c r="T14" s="547">
        <f>report_47_flagged!BC7</f>
        <v>8.59</v>
      </c>
      <c r="U14" s="547">
        <f t="shared" ref="U14:U75" si="2">T14*$T$5</f>
        <v>0.24911</v>
      </c>
      <c r="V14" s="548">
        <f>report_47_flagged!BD7</f>
        <v>1</v>
      </c>
      <c r="W14" s="505">
        <f>(report_47_flagged!N7/100)*report_47_flagged!H7</f>
        <v>5.7989819840022498</v>
      </c>
      <c r="X14" s="505">
        <f t="shared" ref="X14:X75" si="3">W14*SQRT(($W$5)^2+($N$5)^2)</f>
        <v>0.1218283170840566</v>
      </c>
      <c r="Y14" s="503">
        <f>report_47_flagged!AP7</f>
        <v>1</v>
      </c>
      <c r="Z14" s="505">
        <f>(report_47_flagged!P7/100)*report_47_flagged!H7</f>
        <v>0.36763531058175231</v>
      </c>
      <c r="AA14" s="505">
        <f t="shared" ref="AA14:AA75" si="4">Z14*SQRT(($Z$5)^2+($N$5)^2)</f>
        <v>1.3971883124000752E-2</v>
      </c>
      <c r="AB14" s="503">
        <f>report_47_flagged!AR7</f>
        <v>1</v>
      </c>
      <c r="AC14" s="505">
        <f>(report_47_flagged!R7/100)*report_47_flagged!H7</f>
        <v>2.2747249122930588</v>
      </c>
      <c r="AD14" s="505">
        <f t="shared" ref="AD14:AD75" si="5">AC14*SQRT(($AC$5)^2+($N$5)^2)</f>
        <v>6.3706919097482689E-2</v>
      </c>
      <c r="AE14" s="503">
        <f>report_47_flagged!AT7</f>
        <v>1</v>
      </c>
      <c r="AF14" s="505">
        <f>(report_47_flagged!L7/100)*report_47_flagged!H7</f>
        <v>3.5242570717091914</v>
      </c>
      <c r="AG14" s="505">
        <f t="shared" ref="AG14:AG75" si="6">AF14*SQRT(($AF$5)^2+($N$5)^2)</f>
        <v>6.6994263741393542E-2</v>
      </c>
      <c r="AH14" s="503">
        <f>report_47_flagged!AV7</f>
        <v>1</v>
      </c>
      <c r="AI14" s="505">
        <f>(report_47_flagged!T7/100)*report_47_flagged!H7</f>
        <v>1.6694573192866473</v>
      </c>
      <c r="AJ14" s="505">
        <f t="shared" ref="AJ14:AJ75" si="7">AI14*SQRT(($AI$5)^2+($N$5)^2)</f>
        <v>8.1809541115539036E-2</v>
      </c>
      <c r="AK14" s="503">
        <f>report_47_flagged!AX7</f>
        <v>1</v>
      </c>
    </row>
    <row r="15" spans="1:37" ht="15.75">
      <c r="A15" s="43">
        <v>2023</v>
      </c>
      <c r="B15" s="43" t="str">
        <f>LEFT([1]report_47_flagged!B8,2)</f>
        <v>47</v>
      </c>
      <c r="C15" s="43">
        <f>report_47_flagged!E8</f>
        <v>1000</v>
      </c>
      <c r="D15" s="134">
        <f>report_47_flagged!AM8</f>
        <v>1076.5</v>
      </c>
      <c r="E15" s="43" t="str">
        <f>report_47_flagged!D8</f>
        <v>McLane-PARFLUX-Mark78H-21 ; frame# 2241, controller# 11640-01 and Motor # 11640-01 Cup set Dx21</v>
      </c>
      <c r="F15" s="43"/>
      <c r="G15" s="43"/>
      <c r="H15" s="43">
        <f>report_47_flagged!C8</f>
        <v>3</v>
      </c>
      <c r="I15" s="43">
        <f>report_47_flagged!F8</f>
        <v>1</v>
      </c>
      <c r="J15" s="89">
        <f>report_47_flagged!AC8</f>
        <v>45098</v>
      </c>
      <c r="K15" s="89">
        <f>report_47_flagged!AD8</f>
        <v>45113</v>
      </c>
      <c r="L15" s="89">
        <f>report_47_flagged!AE8</f>
        <v>45105.5</v>
      </c>
      <c r="M15" s="503">
        <f>report_47_flagged!AF8</f>
        <v>15</v>
      </c>
      <c r="N15" s="193">
        <f>report_47_flagged!H8</f>
        <v>17.35047619047619</v>
      </c>
      <c r="O15" s="193">
        <f t="shared" si="0"/>
        <v>1.0410285714285712E-2</v>
      </c>
      <c r="P15" s="503">
        <f>report_47_flagged!J8</f>
        <v>1</v>
      </c>
      <c r="Q15" s="547">
        <f>report_47_flagged!BA8</f>
        <v>38.844999999999999</v>
      </c>
      <c r="R15" s="547">
        <f t="shared" si="1"/>
        <v>0.85458999999999996</v>
      </c>
      <c r="S15" s="548">
        <f>report_47_flagged!BB8</f>
        <v>1</v>
      </c>
      <c r="T15" s="547">
        <f>report_47_flagged!BC8</f>
        <v>8.4700000000000006</v>
      </c>
      <c r="U15" s="547">
        <f t="shared" si="2"/>
        <v>0.24563000000000004</v>
      </c>
      <c r="V15" s="548">
        <f>report_47_flagged!BD8</f>
        <v>1</v>
      </c>
      <c r="W15" s="505">
        <f>(report_47_flagged!N8/100)*report_47_flagged!H8</f>
        <v>2.7032132779257636</v>
      </c>
      <c r="X15" s="505">
        <f t="shared" si="3"/>
        <v>5.6790644509242226E-2</v>
      </c>
      <c r="Y15" s="503">
        <f>report_47_flagged!AP8</f>
        <v>1</v>
      </c>
      <c r="Z15" s="505">
        <f>(report_47_flagged!P8/100)*report_47_flagged!H8</f>
        <v>0.21171864976655869</v>
      </c>
      <c r="AA15" s="505">
        <f t="shared" si="4"/>
        <v>8.0463115064454693E-3</v>
      </c>
      <c r="AB15" s="503">
        <f>report_47_flagged!AR8</f>
        <v>1</v>
      </c>
      <c r="AC15" s="505">
        <f>(report_47_flagged!R8/100)*report_47_flagged!H8</f>
        <v>1.2251157743107055</v>
      </c>
      <c r="AD15" s="505">
        <f t="shared" si="5"/>
        <v>3.4311116521067407E-2</v>
      </c>
      <c r="AE15" s="503">
        <f>report_47_flagged!AT8</f>
        <v>1</v>
      </c>
      <c r="AF15" s="505">
        <f>(report_47_flagged!L8/100)*report_47_flagged!H8</f>
        <v>1.4780975036150581</v>
      </c>
      <c r="AG15" s="505">
        <f t="shared" si="6"/>
        <v>2.8097852108347473E-2</v>
      </c>
      <c r="AH15" s="503">
        <f>report_47_flagged!AV8</f>
        <v>1</v>
      </c>
      <c r="AI15" s="505">
        <f>(report_47_flagged!T8/100)*report_47_flagged!H8</f>
        <v>0.53743201433759247</v>
      </c>
      <c r="AJ15" s="505">
        <f t="shared" si="7"/>
        <v>2.6336142868597083E-2</v>
      </c>
      <c r="AK15" s="503">
        <f>report_47_flagged!AX8</f>
        <v>1</v>
      </c>
    </row>
    <row r="16" spans="1:37" ht="15.75">
      <c r="A16" s="43">
        <v>2023</v>
      </c>
      <c r="B16" s="43" t="str">
        <f>LEFT([1]report_47_flagged!B9,2)</f>
        <v>47</v>
      </c>
      <c r="C16" s="43">
        <f>report_47_flagged!E9</f>
        <v>1000</v>
      </c>
      <c r="D16" s="134">
        <f>report_47_flagged!AM9</f>
        <v>1076.5</v>
      </c>
      <c r="E16" s="43" t="str">
        <f>report_47_flagged!D9</f>
        <v>McLane-PARFLUX-Mark78H-21 ; frame# 2241, controller# 11640-01 and Motor # 11640-01 Cup set Dx21</v>
      </c>
      <c r="F16" s="43"/>
      <c r="G16" s="43"/>
      <c r="H16" s="43">
        <f>report_47_flagged!C9</f>
        <v>4</v>
      </c>
      <c r="I16" s="43">
        <f>report_47_flagged!F9</f>
        <v>1</v>
      </c>
      <c r="J16" s="89">
        <f>report_47_flagged!AC9</f>
        <v>45113</v>
      </c>
      <c r="K16" s="89">
        <f>report_47_flagged!AD9</f>
        <v>45128</v>
      </c>
      <c r="L16" s="89">
        <f>report_47_flagged!AE9</f>
        <v>45120.5</v>
      </c>
      <c r="M16" s="503">
        <f>report_47_flagged!AF9</f>
        <v>15</v>
      </c>
      <c r="N16" s="193">
        <f>report_47_flagged!H9</f>
        <v>22.990476190476183</v>
      </c>
      <c r="O16" s="193">
        <f t="shared" si="0"/>
        <v>1.3794285714285709E-2</v>
      </c>
      <c r="P16" s="503">
        <f>report_47_flagged!J9</f>
        <v>1</v>
      </c>
      <c r="Q16" s="547">
        <f>report_47_flagged!BA9</f>
        <v>40.18</v>
      </c>
      <c r="R16" s="547">
        <f t="shared" si="1"/>
        <v>0.88395999999999997</v>
      </c>
      <c r="S16" s="548">
        <f>report_47_flagged!BB9</f>
        <v>1</v>
      </c>
      <c r="T16" s="547">
        <f>report_47_flagged!BC9</f>
        <v>8.5</v>
      </c>
      <c r="U16" s="547">
        <f t="shared" si="2"/>
        <v>0.24650000000000002</v>
      </c>
      <c r="V16" s="548">
        <f>report_47_flagged!BD9</f>
        <v>1</v>
      </c>
      <c r="W16" s="505">
        <f>(report_47_flagged!N9/100)*report_47_flagged!H9</f>
        <v>3.8950099501836855</v>
      </c>
      <c r="X16" s="505">
        <f t="shared" si="3"/>
        <v>8.1828587942781486E-2</v>
      </c>
      <c r="Y16" s="503">
        <f>report_47_flagged!AP9</f>
        <v>1</v>
      </c>
      <c r="Z16" s="505">
        <f>(report_47_flagged!P9/100)*report_47_flagged!H9</f>
        <v>0.3446165112994965</v>
      </c>
      <c r="AA16" s="505">
        <f t="shared" si="4"/>
        <v>1.309705972165243E-2</v>
      </c>
      <c r="AB16" s="503">
        <f>report_47_flagged!AR9</f>
        <v>1</v>
      </c>
      <c r="AC16" s="505">
        <f>(report_47_flagged!R9/100)*report_47_flagged!H9</f>
        <v>2.1197976565086423</v>
      </c>
      <c r="AD16" s="505">
        <f t="shared" si="5"/>
        <v>5.9367960088894986E-2</v>
      </c>
      <c r="AE16" s="503">
        <f>report_47_flagged!AT9</f>
        <v>1</v>
      </c>
      <c r="AF16" s="505">
        <f>(report_47_flagged!L9/100)*report_47_flagged!H9</f>
        <v>1.7752122936750436</v>
      </c>
      <c r="AG16" s="505">
        <f t="shared" si="6"/>
        <v>3.3745847189788548E-2</v>
      </c>
      <c r="AH16" s="503">
        <f>report_47_flagged!AV9</f>
        <v>1</v>
      </c>
      <c r="AI16" s="505">
        <f>(report_47_flagged!T9/100)*report_47_flagged!H9</f>
        <v>0.79859988528182024</v>
      </c>
      <c r="AJ16" s="505">
        <f t="shared" si="7"/>
        <v>3.9134327901083697E-2</v>
      </c>
      <c r="AK16" s="503">
        <f>report_47_flagged!AX9</f>
        <v>1</v>
      </c>
    </row>
    <row r="17" spans="1:37" ht="15.75">
      <c r="A17" s="43">
        <v>2023</v>
      </c>
      <c r="B17" s="43" t="str">
        <f>LEFT([1]report_47_flagged!B10,2)</f>
        <v>47</v>
      </c>
      <c r="C17" s="43">
        <f>report_47_flagged!E10</f>
        <v>1000</v>
      </c>
      <c r="D17" s="134">
        <f>report_47_flagged!AM10</f>
        <v>1076.5</v>
      </c>
      <c r="E17" s="43" t="str">
        <f>report_47_flagged!D10</f>
        <v>McLane-PARFLUX-Mark78H-21 ; frame# 2241, controller# 11640-01 and Motor # 11640-01 Cup set Dx21</v>
      </c>
      <c r="F17" s="43"/>
      <c r="G17" s="43"/>
      <c r="H17" s="43">
        <f>report_47_flagged!C10</f>
        <v>5</v>
      </c>
      <c r="I17" s="43">
        <f>report_47_flagged!F10</f>
        <v>1</v>
      </c>
      <c r="J17" s="89">
        <f>report_47_flagged!AC10</f>
        <v>45128</v>
      </c>
      <c r="K17" s="89">
        <f>report_47_flagged!AD10</f>
        <v>45143</v>
      </c>
      <c r="L17" s="89">
        <f>report_47_flagged!AE10</f>
        <v>45135.5</v>
      </c>
      <c r="M17" s="503">
        <f>report_47_flagged!AF10</f>
        <v>15</v>
      </c>
      <c r="N17" s="193">
        <f>report_47_flagged!H10</f>
        <v>19.211428571428574</v>
      </c>
      <c r="O17" s="193">
        <f t="shared" si="0"/>
        <v>1.1526857142857143E-2</v>
      </c>
      <c r="P17" s="503">
        <f>report_47_flagged!J10</f>
        <v>1</v>
      </c>
      <c r="Q17" s="547">
        <f>report_47_flagged!BA10</f>
        <v>40.21</v>
      </c>
      <c r="R17" s="547">
        <f t="shared" si="1"/>
        <v>0.88461999999999996</v>
      </c>
      <c r="S17" s="548">
        <f>report_47_flagged!BB10</f>
        <v>1</v>
      </c>
      <c r="T17" s="547">
        <f>report_47_flagged!BC10</f>
        <v>8.5399999999999991</v>
      </c>
      <c r="U17" s="547">
        <f t="shared" si="2"/>
        <v>0.24765999999999999</v>
      </c>
      <c r="V17" s="548">
        <f>report_47_flagged!BD10</f>
        <v>1</v>
      </c>
      <c r="W17" s="505">
        <f>(report_47_flagged!N10/100)*report_47_flagged!H10</f>
        <v>3.2466366334097732</v>
      </c>
      <c r="X17" s="505">
        <f t="shared" si="3"/>
        <v>6.8207191938675013E-2</v>
      </c>
      <c r="Y17" s="503">
        <f>report_47_flagged!AP10</f>
        <v>1</v>
      </c>
      <c r="Z17" s="505">
        <f>(report_47_flagged!P10/100)*report_47_flagged!H10</f>
        <v>0.28760176901136131</v>
      </c>
      <c r="AA17" s="505">
        <f t="shared" si="4"/>
        <v>1.0930229461701911E-2</v>
      </c>
      <c r="AB17" s="503">
        <f>report_47_flagged!AR10</f>
        <v>1</v>
      </c>
      <c r="AC17" s="505">
        <f>(report_47_flagged!R10/100)*report_47_flagged!H10</f>
        <v>1.7903907497813349</v>
      </c>
      <c r="AD17" s="505">
        <f t="shared" si="5"/>
        <v>5.0142449327739279E-2</v>
      </c>
      <c r="AE17" s="503">
        <f>report_47_flagged!AT10</f>
        <v>1</v>
      </c>
      <c r="AF17" s="505">
        <f>(report_47_flagged!L10/100)*report_47_flagged!H10</f>
        <v>1.4562458836284375</v>
      </c>
      <c r="AG17" s="505">
        <f t="shared" si="6"/>
        <v>2.7682464364839197E-2</v>
      </c>
      <c r="AH17" s="503">
        <f>report_47_flagged!AV10</f>
        <v>1</v>
      </c>
      <c r="AI17" s="505">
        <f>(report_47_flagged!T10/100)*report_47_flagged!H10</f>
        <v>0.78182017147568061</v>
      </c>
      <c r="AJ17" s="505">
        <f t="shared" si="7"/>
        <v>3.8312060287128205E-2</v>
      </c>
      <c r="AK17" s="503">
        <f>report_47_flagged!AX10</f>
        <v>1</v>
      </c>
    </row>
    <row r="18" spans="1:37" ht="15.75">
      <c r="A18" s="43">
        <v>2023</v>
      </c>
      <c r="B18" s="43" t="str">
        <f>LEFT([1]report_47_flagged!B11,2)</f>
        <v>47</v>
      </c>
      <c r="C18" s="43">
        <f>report_47_flagged!E11</f>
        <v>1000</v>
      </c>
      <c r="D18" s="134">
        <f>report_47_flagged!AM11</f>
        <v>1076.5</v>
      </c>
      <c r="E18" s="43" t="str">
        <f>report_47_flagged!D11</f>
        <v>McLane-PARFLUX-Mark78H-21 ; frame# 2241, controller# 11640-01 and Motor # 11640-01 Cup set Dx21</v>
      </c>
      <c r="F18" s="43"/>
      <c r="G18" s="43"/>
      <c r="H18" s="43">
        <f>report_47_flagged!C11</f>
        <v>6</v>
      </c>
      <c r="I18" s="43">
        <f>report_47_flagged!F11</f>
        <v>1</v>
      </c>
      <c r="J18" s="89">
        <f>report_47_flagged!AC11</f>
        <v>45143</v>
      </c>
      <c r="K18" s="89">
        <f>report_47_flagged!AD11</f>
        <v>45158</v>
      </c>
      <c r="L18" s="89">
        <f>report_47_flagged!AE11</f>
        <v>45150.5</v>
      </c>
      <c r="M18" s="503">
        <f>report_47_flagged!AF11</f>
        <v>15</v>
      </c>
      <c r="N18" s="193">
        <f>report_47_flagged!H11</f>
        <v>21.422857142857143</v>
      </c>
      <c r="O18" s="193">
        <f t="shared" si="0"/>
        <v>1.2853714285714284E-2</v>
      </c>
      <c r="P18" s="503">
        <f>report_47_flagged!J11</f>
        <v>1</v>
      </c>
      <c r="Q18" s="547">
        <f>report_47_flagged!BA11</f>
        <v>39.94</v>
      </c>
      <c r="R18" s="547">
        <f t="shared" si="1"/>
        <v>0.87867999999999991</v>
      </c>
      <c r="S18" s="548">
        <f>report_47_flagged!BB11</f>
        <v>1</v>
      </c>
      <c r="T18" s="547">
        <f>report_47_flagged!BC11</f>
        <v>8.5399999999999991</v>
      </c>
      <c r="U18" s="547">
        <f t="shared" si="2"/>
        <v>0.24765999999999999</v>
      </c>
      <c r="V18" s="548">
        <f>report_47_flagged!BD11</f>
        <v>1</v>
      </c>
      <c r="W18" s="505">
        <f>(report_47_flagged!N11/100)*report_47_flagged!H11</f>
        <v>3.3905943022591729</v>
      </c>
      <c r="X18" s="505">
        <f t="shared" si="3"/>
        <v>7.1231536655669989E-2</v>
      </c>
      <c r="Y18" s="503">
        <f>report_47_flagged!AP11</f>
        <v>1</v>
      </c>
      <c r="Z18" s="505">
        <f>(report_47_flagged!P11/100)*report_47_flagged!H11</f>
        <v>0.25793829875673568</v>
      </c>
      <c r="AA18" s="505">
        <f t="shared" si="4"/>
        <v>9.8028770896077776E-3</v>
      </c>
      <c r="AB18" s="503">
        <f>report_47_flagged!AR11</f>
        <v>1</v>
      </c>
      <c r="AC18" s="505">
        <f>(report_47_flagged!R11/100)*report_47_flagged!H11</f>
        <v>1.6730369655521073</v>
      </c>
      <c r="AD18" s="505">
        <f t="shared" si="5"/>
        <v>4.6855789038720709E-2</v>
      </c>
      <c r="AE18" s="503">
        <f>report_47_flagged!AT11</f>
        <v>1</v>
      </c>
      <c r="AF18" s="505">
        <f>(report_47_flagged!L11/100)*report_47_flagged!H11</f>
        <v>1.7175573367070653</v>
      </c>
      <c r="AG18" s="505">
        <f t="shared" si="6"/>
        <v>3.2649856938646575E-2</v>
      </c>
      <c r="AH18" s="503">
        <f>report_47_flagged!AV11</f>
        <v>1</v>
      </c>
      <c r="AI18" s="505">
        <f>(report_47_flagged!T11/100)*report_47_flagged!H11</f>
        <v>0.96981571473250527</v>
      </c>
      <c r="AJ18" s="505">
        <f t="shared" si="7"/>
        <v>4.7524532476701187E-2</v>
      </c>
      <c r="AK18" s="503">
        <f>report_47_flagged!AX11</f>
        <v>1</v>
      </c>
    </row>
    <row r="19" spans="1:37" ht="15.75">
      <c r="A19" s="43">
        <v>2023</v>
      </c>
      <c r="B19" s="43" t="str">
        <f>LEFT([1]report_47_flagged!B12,2)</f>
        <v>47</v>
      </c>
      <c r="C19" s="43">
        <f>report_47_flagged!E12</f>
        <v>1000</v>
      </c>
      <c r="D19" s="134">
        <f>report_47_flagged!AM12</f>
        <v>1076.5</v>
      </c>
      <c r="E19" s="43" t="str">
        <f>report_47_flagged!D12</f>
        <v>McLane-PARFLUX-Mark78H-21 ; frame# 2241, controller# 11640-01 and Motor # 11640-01 Cup set Dx21</v>
      </c>
      <c r="F19" s="43"/>
      <c r="G19" s="43"/>
      <c r="H19" s="43">
        <f>report_47_flagged!C12</f>
        <v>7</v>
      </c>
      <c r="I19" s="43">
        <f>report_47_flagged!F12</f>
        <v>1</v>
      </c>
      <c r="J19" s="89">
        <f>report_47_flagged!AC12</f>
        <v>45158</v>
      </c>
      <c r="K19" s="89">
        <f>report_47_flagged!AD12</f>
        <v>45173</v>
      </c>
      <c r="L19" s="89">
        <f>report_47_flagged!AE12</f>
        <v>45165.5</v>
      </c>
      <c r="M19" s="503">
        <f>report_47_flagged!AF12</f>
        <v>15</v>
      </c>
      <c r="N19" s="193">
        <f>report_47_flagged!H12</f>
        <v>17.424761904761905</v>
      </c>
      <c r="O19" s="193">
        <f t="shared" si="0"/>
        <v>1.0454857142857142E-2</v>
      </c>
      <c r="P19" s="503">
        <f>report_47_flagged!J12</f>
        <v>1</v>
      </c>
      <c r="Q19" s="547">
        <f>report_47_flagged!BA12</f>
        <v>40.35</v>
      </c>
      <c r="R19" s="547">
        <f t="shared" si="1"/>
        <v>0.88769999999999993</v>
      </c>
      <c r="S19" s="548">
        <f>report_47_flagged!BB12</f>
        <v>1</v>
      </c>
      <c r="T19" s="547">
        <f>report_47_flagged!BC12</f>
        <v>8.58</v>
      </c>
      <c r="U19" s="547">
        <f t="shared" si="2"/>
        <v>0.24882000000000001</v>
      </c>
      <c r="V19" s="548">
        <f>report_47_flagged!BD12</f>
        <v>1</v>
      </c>
      <c r="W19" s="505">
        <f>(report_47_flagged!N12/100)*report_47_flagged!H12</f>
        <v>2.9006890350341799</v>
      </c>
      <c r="X19" s="505">
        <f t="shared" si="3"/>
        <v>6.0939327712567888E-2</v>
      </c>
      <c r="Y19" s="503">
        <f>report_47_flagged!AP12</f>
        <v>1</v>
      </c>
      <c r="Z19" s="505">
        <f>(report_47_flagged!P12/100)*report_47_flagged!H12</f>
        <v>0.28016413040161131</v>
      </c>
      <c r="AA19" s="505">
        <f t="shared" si="4"/>
        <v>1.064756396580724E-2</v>
      </c>
      <c r="AB19" s="503">
        <f>report_47_flagged!AR12</f>
        <v>1</v>
      </c>
      <c r="AC19" s="505">
        <f>(report_47_flagged!R12/100)*report_47_flagged!H12</f>
        <v>1.6048178885858722</v>
      </c>
      <c r="AD19" s="505">
        <f t="shared" si="5"/>
        <v>4.4945216382789387E-2</v>
      </c>
      <c r="AE19" s="503">
        <f>report_47_flagged!AT12</f>
        <v>1</v>
      </c>
      <c r="AF19" s="505">
        <f>(report_47_flagged!L12/100)*report_47_flagged!H12</f>
        <v>1.2958711464483075</v>
      </c>
      <c r="AG19" s="505">
        <f t="shared" si="6"/>
        <v>2.4633825397395316E-2</v>
      </c>
      <c r="AH19" s="503">
        <f>report_47_flagged!AV12</f>
        <v>1</v>
      </c>
      <c r="AI19" s="505">
        <f>(report_47_flagged!T12/100)*report_47_flagged!H12</f>
        <v>0.81593425020178412</v>
      </c>
      <c r="AJ19" s="505">
        <f t="shared" si="7"/>
        <v>3.998377545703409E-2</v>
      </c>
      <c r="AK19" s="503">
        <f>report_47_flagged!AX12</f>
        <v>1</v>
      </c>
    </row>
    <row r="20" spans="1:37" ht="15.75">
      <c r="A20" s="43">
        <v>2023</v>
      </c>
      <c r="B20" s="43" t="str">
        <f>LEFT([1]report_47_flagged!B13,2)</f>
        <v>47</v>
      </c>
      <c r="C20" s="43">
        <f>report_47_flagged!E13</f>
        <v>1000</v>
      </c>
      <c r="D20" s="134">
        <f>report_47_flagged!AM13</f>
        <v>1076.5</v>
      </c>
      <c r="E20" s="43" t="str">
        <f>report_47_flagged!D13</f>
        <v>McLane-PARFLUX-Mark78H-21 ; frame# 2241, controller# 11640-01 and Motor # 11640-01 Cup set Dx21</v>
      </c>
      <c r="F20" s="43"/>
      <c r="G20" s="43"/>
      <c r="H20" s="43">
        <f>report_47_flagged!C13</f>
        <v>8</v>
      </c>
      <c r="I20" s="43">
        <f>report_47_flagged!F13</f>
        <v>1</v>
      </c>
      <c r="J20" s="89">
        <f>report_47_flagged!AC13</f>
        <v>45173</v>
      </c>
      <c r="K20" s="89">
        <f>report_47_flagged!AD13</f>
        <v>45188</v>
      </c>
      <c r="L20" s="89">
        <f>report_47_flagged!AE13</f>
        <v>45180.5</v>
      </c>
      <c r="M20" s="503">
        <f>report_47_flagged!AF13</f>
        <v>15</v>
      </c>
      <c r="N20" s="193">
        <f>report_47_flagged!H13</f>
        <v>31.872380952380954</v>
      </c>
      <c r="O20" s="193">
        <f t="shared" si="0"/>
        <v>1.9123428571428572E-2</v>
      </c>
      <c r="P20" s="503">
        <f>report_47_flagged!J13</f>
        <v>1</v>
      </c>
      <c r="Q20" s="547">
        <f>report_47_flagged!BA13</f>
        <v>40.65</v>
      </c>
      <c r="R20" s="547">
        <f t="shared" si="1"/>
        <v>0.89429999999999987</v>
      </c>
      <c r="S20" s="548">
        <f>report_47_flagged!BB13</f>
        <v>1</v>
      </c>
      <c r="T20" s="547">
        <f>report_47_flagged!BC13</f>
        <v>8.59</v>
      </c>
      <c r="U20" s="547">
        <f t="shared" si="2"/>
        <v>0.24911</v>
      </c>
      <c r="V20" s="548">
        <f>report_47_flagged!BD13</f>
        <v>1</v>
      </c>
      <c r="W20" s="505">
        <f>(report_47_flagged!N13/100)*report_47_flagged!H13</f>
        <v>4.7988700400397892</v>
      </c>
      <c r="X20" s="505">
        <f t="shared" si="3"/>
        <v>0.10081739562150707</v>
      </c>
      <c r="Y20" s="503">
        <f>report_47_flagged!AP13</f>
        <v>1</v>
      </c>
      <c r="Z20" s="505">
        <f>(report_47_flagged!P13/100)*report_47_flagged!H13</f>
        <v>0.39732806416011995</v>
      </c>
      <c r="AA20" s="505">
        <f t="shared" si="4"/>
        <v>1.5100348401098919E-2</v>
      </c>
      <c r="AB20" s="503">
        <f>report_47_flagged!AR13</f>
        <v>1</v>
      </c>
      <c r="AC20" s="505">
        <f>(report_47_flagged!R13/100)*report_47_flagged!H13</f>
        <v>2.4046210229842435</v>
      </c>
      <c r="AD20" s="505">
        <f t="shared" si="5"/>
        <v>6.734484514742381E-2</v>
      </c>
      <c r="AE20" s="503">
        <f>report_47_flagged!AT13</f>
        <v>1</v>
      </c>
      <c r="AF20" s="505">
        <f>(report_47_flagged!L13/100)*report_47_flagged!H13</f>
        <v>2.3942490170555457</v>
      </c>
      <c r="AG20" s="505">
        <f t="shared" si="6"/>
        <v>4.5513408031100398E-2</v>
      </c>
      <c r="AH20" s="503">
        <f>report_47_flagged!AV13</f>
        <v>1</v>
      </c>
      <c r="AI20" s="505">
        <f>(report_47_flagged!T13/100)*report_47_flagged!H13</f>
        <v>1.9834579763472187</v>
      </c>
      <c r="AJ20" s="505">
        <f t="shared" si="7"/>
        <v>9.719672674007454E-2</v>
      </c>
      <c r="AK20" s="503">
        <f>report_47_flagged!AX13</f>
        <v>1</v>
      </c>
    </row>
    <row r="21" spans="1:37" ht="15.75">
      <c r="A21" s="43">
        <v>2023</v>
      </c>
      <c r="B21" s="43" t="str">
        <f>LEFT([1]report_47_flagged!B14,2)</f>
        <v>47</v>
      </c>
      <c r="C21" s="43">
        <f>report_47_flagged!E14</f>
        <v>1000</v>
      </c>
      <c r="D21" s="134">
        <f>report_47_flagged!AM14</f>
        <v>1076.5</v>
      </c>
      <c r="E21" s="43" t="str">
        <f>report_47_flagged!D14</f>
        <v>McLane-PARFLUX-Mark78H-21 ; frame# 2241, controller# 11640-01 and Motor # 11640-01 Cup set Dx21</v>
      </c>
      <c r="F21" s="43"/>
      <c r="G21" s="43"/>
      <c r="H21" s="43">
        <f>report_47_flagged!C14</f>
        <v>9</v>
      </c>
      <c r="I21" s="43">
        <f>report_47_flagged!F14</f>
        <v>1</v>
      </c>
      <c r="J21" s="89">
        <f>report_47_flagged!AC14</f>
        <v>45188</v>
      </c>
      <c r="K21" s="89">
        <f>report_47_flagged!AD14</f>
        <v>45203</v>
      </c>
      <c r="L21" s="89">
        <f>report_47_flagged!AE14</f>
        <v>45195.5</v>
      </c>
      <c r="M21" s="503">
        <f>report_47_flagged!AF14</f>
        <v>15</v>
      </c>
      <c r="N21" s="193">
        <f>report_47_flagged!H14</f>
        <v>41.723809523809521</v>
      </c>
      <c r="O21" s="193">
        <f t="shared" si="0"/>
        <v>2.503428571428571E-2</v>
      </c>
      <c r="P21" s="503">
        <f>report_47_flagged!J14</f>
        <v>1</v>
      </c>
      <c r="Q21" s="547">
        <f>report_47_flagged!BA14</f>
        <v>40.590000000000003</v>
      </c>
      <c r="R21" s="547">
        <f t="shared" si="1"/>
        <v>0.89298</v>
      </c>
      <c r="S21" s="548">
        <f>report_47_flagged!BB14</f>
        <v>1</v>
      </c>
      <c r="T21" s="547">
        <f>report_47_flagged!BC14</f>
        <v>8.58</v>
      </c>
      <c r="U21" s="547">
        <f t="shared" si="2"/>
        <v>0.24882000000000001</v>
      </c>
      <c r="V21" s="548">
        <f>report_47_flagged!BD14</f>
        <v>1</v>
      </c>
      <c r="W21" s="505">
        <f>(report_47_flagged!N14/100)*report_47_flagged!H14</f>
        <v>6.2320448080698645</v>
      </c>
      <c r="X21" s="505">
        <f t="shared" si="3"/>
        <v>0.13092634759930469</v>
      </c>
      <c r="Y21" s="503">
        <f>report_47_flagged!AP14</f>
        <v>1</v>
      </c>
      <c r="Z21" s="505">
        <f>(report_47_flagged!P14/100)*report_47_flagged!H14</f>
        <v>0.49081753491220015</v>
      </c>
      <c r="AA21" s="505">
        <f t="shared" si="4"/>
        <v>1.8653391106941728E-2</v>
      </c>
      <c r="AB21" s="503">
        <f>report_47_flagged!AR14</f>
        <v>1</v>
      </c>
      <c r="AC21" s="505">
        <f>(report_47_flagged!R14/100)*report_47_flagged!H14</f>
        <v>2.951247326582382</v>
      </c>
      <c r="AD21" s="505">
        <f t="shared" si="5"/>
        <v>8.2653895271105823E-2</v>
      </c>
      <c r="AE21" s="503">
        <f>report_47_flagged!AT14</f>
        <v>1</v>
      </c>
      <c r="AF21" s="505">
        <f>(report_47_flagged!L14/100)*report_47_flagged!H14</f>
        <v>3.2807974814874825</v>
      </c>
      <c r="AG21" s="505">
        <f t="shared" si="6"/>
        <v>6.2366225642636303E-2</v>
      </c>
      <c r="AH21" s="503">
        <f>report_47_flagged!AV14</f>
        <v>1</v>
      </c>
      <c r="AI21" s="505">
        <f>(report_47_flagged!T14/100)*report_47_flagged!H14</f>
        <v>2.4210164166655859</v>
      </c>
      <c r="AJ21" s="505">
        <f t="shared" si="7"/>
        <v>0.11863869761296413</v>
      </c>
      <c r="AK21" s="503">
        <f>report_47_flagged!AX14</f>
        <v>1</v>
      </c>
    </row>
    <row r="22" spans="1:37" ht="15.75">
      <c r="A22" s="43">
        <v>2023</v>
      </c>
      <c r="B22" s="43" t="str">
        <f>LEFT([1]report_47_flagged!B15,2)</f>
        <v>47</v>
      </c>
      <c r="C22" s="43">
        <f>report_47_flagged!E15</f>
        <v>1000</v>
      </c>
      <c r="D22" s="134">
        <f>report_47_flagged!AM15</f>
        <v>1076.5</v>
      </c>
      <c r="E22" s="43" t="str">
        <f>report_47_flagged!D15</f>
        <v>McLane-PARFLUX-Mark78H-21 ; frame# 2241, controller# 11640-01 and Motor # 11640-01 Cup set Dx21</v>
      </c>
      <c r="F22" s="43"/>
      <c r="G22" s="43"/>
      <c r="H22" s="43">
        <f>report_47_flagged!C15</f>
        <v>10</v>
      </c>
      <c r="I22" s="43">
        <f>report_47_flagged!F15</f>
        <v>1</v>
      </c>
      <c r="J22" s="89">
        <f>report_47_flagged!AC15</f>
        <v>45203</v>
      </c>
      <c r="K22" s="89">
        <f>report_47_flagged!AD15</f>
        <v>45218</v>
      </c>
      <c r="L22" s="89">
        <f>report_47_flagged!AE15</f>
        <v>45210.5</v>
      </c>
      <c r="M22" s="503">
        <f>report_47_flagged!AF15</f>
        <v>15</v>
      </c>
      <c r="N22" s="193">
        <f>report_47_flagged!H15</f>
        <v>63.24</v>
      </c>
      <c r="O22" s="193">
        <f t="shared" si="0"/>
        <v>3.7943999999999999E-2</v>
      </c>
      <c r="P22" s="503">
        <f>report_47_flagged!J15</f>
        <v>1</v>
      </c>
      <c r="Q22" s="547">
        <f>report_47_flagged!BA15</f>
        <v>40.57</v>
      </c>
      <c r="R22" s="547">
        <f t="shared" si="1"/>
        <v>0.89254</v>
      </c>
      <c r="S22" s="548">
        <f>report_47_flagged!BB15</f>
        <v>1</v>
      </c>
      <c r="T22" s="547">
        <f>report_47_flagged!BC15</f>
        <v>8.5399999999999991</v>
      </c>
      <c r="U22" s="547">
        <f t="shared" si="2"/>
        <v>0.24765999999999999</v>
      </c>
      <c r="V22" s="548">
        <f>report_47_flagged!BD15</f>
        <v>1</v>
      </c>
      <c r="W22" s="505">
        <f>(report_47_flagged!N15/100)*report_47_flagged!H15</f>
        <v>8.9415343196868911</v>
      </c>
      <c r="X22" s="505">
        <f t="shared" si="3"/>
        <v>0.18784884680137787</v>
      </c>
      <c r="Y22" s="503">
        <f>report_47_flagged!AP15</f>
        <v>1</v>
      </c>
      <c r="Z22" s="505">
        <f>(report_47_flagged!P15/100)*report_47_flagged!H15</f>
        <v>0.54866716411113736</v>
      </c>
      <c r="AA22" s="505">
        <f t="shared" si="4"/>
        <v>2.0851951023983743E-2</v>
      </c>
      <c r="AB22" s="503">
        <f>report_47_flagged!AR15</f>
        <v>1</v>
      </c>
      <c r="AC22" s="505">
        <f>(report_47_flagged!R15/100)*report_47_flagged!H15</f>
        <v>3.4530671400030966</v>
      </c>
      <c r="AD22" s="505">
        <f t="shared" si="5"/>
        <v>9.6708075661155829E-2</v>
      </c>
      <c r="AE22" s="503">
        <f>report_47_flagged!AT15</f>
        <v>1</v>
      </c>
      <c r="AF22" s="505">
        <f>(report_47_flagged!L15/100)*report_47_flagged!H15</f>
        <v>5.4884671796837932</v>
      </c>
      <c r="AG22" s="505">
        <f t="shared" si="6"/>
        <v>0.10433285946231885</v>
      </c>
      <c r="AH22" s="503">
        <f>report_47_flagged!AV15</f>
        <v>1</v>
      </c>
      <c r="AI22" s="505">
        <f>(report_47_flagged!T15/100)*report_47_flagged!H15</f>
        <v>3.0114576831485995</v>
      </c>
      <c r="AJ22" s="505">
        <f t="shared" si="7"/>
        <v>0.14757248855725316</v>
      </c>
      <c r="AK22" s="503">
        <f>report_47_flagged!AX15</f>
        <v>1</v>
      </c>
    </row>
    <row r="23" spans="1:37" ht="15.75">
      <c r="A23" s="43">
        <v>2023</v>
      </c>
      <c r="B23" s="43" t="str">
        <f>LEFT([1]report_47_flagged!B16,2)</f>
        <v>47</v>
      </c>
      <c r="C23" s="43">
        <f>report_47_flagged!E16</f>
        <v>1000</v>
      </c>
      <c r="D23" s="134">
        <f>report_47_flagged!AM16</f>
        <v>1076.5</v>
      </c>
      <c r="E23" s="43" t="str">
        <f>report_47_flagged!D16</f>
        <v>McLane-PARFLUX-Mark78H-21 ; frame# 2241, controller# 11640-01 and Motor # 11640-01 Cup set Dx21</v>
      </c>
      <c r="F23" s="43"/>
      <c r="G23" s="43"/>
      <c r="H23" s="43">
        <f>report_47_flagged!C16</f>
        <v>11</v>
      </c>
      <c r="I23" s="43">
        <f>report_47_flagged!F16</f>
        <v>1</v>
      </c>
      <c r="J23" s="89">
        <f>report_47_flagged!AC16</f>
        <v>45218</v>
      </c>
      <c r="K23" s="89">
        <f>report_47_flagged!AD16</f>
        <v>45233</v>
      </c>
      <c r="L23" s="89">
        <f>report_47_flagged!AE16</f>
        <v>45225.5</v>
      </c>
      <c r="M23" s="503">
        <f>report_47_flagged!AF16</f>
        <v>15</v>
      </c>
      <c r="N23" s="193">
        <f>report_47_flagged!H16</f>
        <v>80.392380952380961</v>
      </c>
      <c r="O23" s="193">
        <f t="shared" si="0"/>
        <v>4.8235428571428575E-2</v>
      </c>
      <c r="P23" s="503">
        <f>report_47_flagged!J16</f>
        <v>1</v>
      </c>
      <c r="Q23" s="547">
        <f>report_47_flagged!BA16</f>
        <v>40.450000000000003</v>
      </c>
      <c r="R23" s="547">
        <f t="shared" si="1"/>
        <v>0.88990000000000002</v>
      </c>
      <c r="S23" s="548">
        <f>report_47_flagged!BB16</f>
        <v>1</v>
      </c>
      <c r="T23" s="547">
        <f>report_47_flagged!BC16</f>
        <v>8.5399999999999991</v>
      </c>
      <c r="U23" s="547">
        <f t="shared" si="2"/>
        <v>0.24765999999999999</v>
      </c>
      <c r="V23" s="548">
        <f>report_47_flagged!BD16</f>
        <v>1</v>
      </c>
      <c r="W23" s="505">
        <f>(report_47_flagged!N16/100)*report_47_flagged!H16</f>
        <v>11.172906847454254</v>
      </c>
      <c r="X23" s="505">
        <f t="shared" si="3"/>
        <v>0.23472679203304728</v>
      </c>
      <c r="Y23" s="503">
        <f>report_47_flagged!AP16</f>
        <v>1</v>
      </c>
      <c r="Z23" s="505">
        <f>(report_47_flagged!P16/100)*report_47_flagged!H16</f>
        <v>0.62106854924701516</v>
      </c>
      <c r="AA23" s="505">
        <f t="shared" si="4"/>
        <v>2.3603546591704109E-2</v>
      </c>
      <c r="AB23" s="503">
        <f>report_47_flagged!AR16</f>
        <v>1</v>
      </c>
      <c r="AC23" s="505">
        <f>(report_47_flagged!R16/100)*report_47_flagged!H16</f>
        <v>4.2356826716519311</v>
      </c>
      <c r="AD23" s="505">
        <f t="shared" si="5"/>
        <v>0.11862634106975235</v>
      </c>
      <c r="AE23" s="503">
        <f>report_47_flagged!AT16</f>
        <v>1</v>
      </c>
      <c r="AF23" s="505">
        <f>(report_47_flagged!L16/100)*report_47_flagged!H16</f>
        <v>6.9372241758023225</v>
      </c>
      <c r="AG23" s="505">
        <f t="shared" si="6"/>
        <v>0.13187296403479332</v>
      </c>
      <c r="AH23" s="503">
        <f>report_47_flagged!AV16</f>
        <v>1</v>
      </c>
      <c r="AI23" s="505">
        <f>(report_47_flagged!T16/100)*report_47_flagged!H16</f>
        <v>4.0019287450824956</v>
      </c>
      <c r="AJ23" s="505">
        <f t="shared" si="7"/>
        <v>0.19610920892076414</v>
      </c>
      <c r="AK23" s="503">
        <f>report_47_flagged!AX16</f>
        <v>1</v>
      </c>
    </row>
    <row r="24" spans="1:37" ht="15.75">
      <c r="A24" s="43">
        <v>2023</v>
      </c>
      <c r="B24" s="43" t="str">
        <f>LEFT([1]report_47_flagged!B17,2)</f>
        <v>47</v>
      </c>
      <c r="C24" s="43">
        <f>report_47_flagged!E17</f>
        <v>1000</v>
      </c>
      <c r="D24" s="134">
        <f>report_47_flagged!AM17</f>
        <v>1076.5</v>
      </c>
      <c r="E24" s="43" t="str">
        <f>report_47_flagged!D17</f>
        <v>McLane-PARFLUX-Mark78H-21 ; frame# 2241, controller# 11640-01 and Motor # 11640-01 Cup set Dx21</v>
      </c>
      <c r="F24" s="43"/>
      <c r="G24" s="43"/>
      <c r="H24" s="43">
        <f>report_47_flagged!C17</f>
        <v>12</v>
      </c>
      <c r="I24" s="43">
        <f>report_47_flagged!F17</f>
        <v>1</v>
      </c>
      <c r="J24" s="89">
        <f>report_47_flagged!AC17</f>
        <v>45233</v>
      </c>
      <c r="K24" s="89">
        <f>report_47_flagged!AD17</f>
        <v>45248</v>
      </c>
      <c r="L24" s="89">
        <f>report_47_flagged!AE17</f>
        <v>45240.5</v>
      </c>
      <c r="M24" s="503">
        <f>report_47_flagged!AF17</f>
        <v>15</v>
      </c>
      <c r="N24" s="193">
        <f>report_47_flagged!H17</f>
        <v>124.98476190476188</v>
      </c>
      <c r="O24" s="193">
        <f t="shared" si="0"/>
        <v>7.4990857142857123E-2</v>
      </c>
      <c r="P24" s="503">
        <f>report_47_flagged!J17</f>
        <v>1</v>
      </c>
      <c r="Q24" s="547">
        <f>report_47_flagged!BA17</f>
        <v>40.620000000000005</v>
      </c>
      <c r="R24" s="547">
        <f t="shared" si="1"/>
        <v>0.8936400000000001</v>
      </c>
      <c r="S24" s="548">
        <f>report_47_flagged!BB17</f>
        <v>1</v>
      </c>
      <c r="T24" s="547">
        <f>report_47_flagged!BC17</f>
        <v>8.5150000000000006</v>
      </c>
      <c r="U24" s="547">
        <f t="shared" si="2"/>
        <v>0.24693500000000002</v>
      </c>
      <c r="V24" s="548">
        <f>report_47_flagged!BD17</f>
        <v>1</v>
      </c>
      <c r="W24" s="505">
        <f>(report_47_flagged!N17/100)*report_47_flagged!H17</f>
        <v>18.016367437072027</v>
      </c>
      <c r="X24" s="505">
        <f t="shared" si="3"/>
        <v>0.37849811068246136</v>
      </c>
      <c r="Y24" s="503">
        <f>report_47_flagged!AP17</f>
        <v>1</v>
      </c>
      <c r="Z24" s="505">
        <f>(report_47_flagged!P17/100)*report_47_flagged!H17</f>
        <v>1.096098525005295</v>
      </c>
      <c r="AA24" s="505">
        <f t="shared" si="4"/>
        <v>4.1656935672282347E-2</v>
      </c>
      <c r="AB24" s="503">
        <f>report_47_flagged!AR17</f>
        <v>1</v>
      </c>
      <c r="AC24" s="505">
        <f>(report_47_flagged!R17/100)*report_47_flagged!H17</f>
        <v>7.8585998470326448</v>
      </c>
      <c r="AD24" s="505">
        <f t="shared" si="5"/>
        <v>0.22009130948924993</v>
      </c>
      <c r="AE24" s="503">
        <f>report_47_flagged!AT17</f>
        <v>1</v>
      </c>
      <c r="AF24" s="505">
        <f>(report_47_flagged!L17/100)*report_47_flagged!H17</f>
        <v>10.157767590039379</v>
      </c>
      <c r="AG24" s="505">
        <f t="shared" si="6"/>
        <v>0.19309379171390678</v>
      </c>
      <c r="AH24" s="503">
        <f>report_47_flagged!AV17</f>
        <v>1</v>
      </c>
      <c r="AI24" s="505">
        <f>(report_47_flagged!T17/100)*report_47_flagged!H17</f>
        <v>7.3891210753132022</v>
      </c>
      <c r="AJ24" s="505">
        <f t="shared" si="7"/>
        <v>0.36209407538303062</v>
      </c>
      <c r="AK24" s="503">
        <f>report_47_flagged!AX17</f>
        <v>1</v>
      </c>
    </row>
    <row r="25" spans="1:37" ht="15.75">
      <c r="A25" s="43">
        <v>2023</v>
      </c>
      <c r="B25" s="43" t="str">
        <f>LEFT([1]report_47_flagged!B18,2)</f>
        <v>47</v>
      </c>
      <c r="C25" s="43">
        <f>report_47_flagged!E18</f>
        <v>1000</v>
      </c>
      <c r="D25" s="134">
        <f>report_47_flagged!AM18</f>
        <v>1076.5</v>
      </c>
      <c r="E25" s="43" t="str">
        <f>report_47_flagged!D18</f>
        <v>McLane-PARFLUX-Mark78H-21 ; frame# 2241, controller# 11640-01 and Motor # 11640-01 Cup set Dx21</v>
      </c>
      <c r="F25" s="43"/>
      <c r="G25" s="43"/>
      <c r="H25" s="43">
        <f>report_47_flagged!C18</f>
        <v>13</v>
      </c>
      <c r="I25" s="43">
        <f>report_47_flagged!F18</f>
        <v>1</v>
      </c>
      <c r="J25" s="89">
        <f>report_47_flagged!AC18</f>
        <v>45248</v>
      </c>
      <c r="K25" s="89">
        <f>report_47_flagged!AD18</f>
        <v>45263</v>
      </c>
      <c r="L25" s="89">
        <f>report_47_flagged!AE18</f>
        <v>45255.5</v>
      </c>
      <c r="M25" s="503">
        <f>report_47_flagged!AF18</f>
        <v>15</v>
      </c>
      <c r="N25" s="193">
        <f>report_47_flagged!H18</f>
        <v>189.83238095238096</v>
      </c>
      <c r="O25" s="193">
        <f t="shared" si="0"/>
        <v>0.11389942857142857</v>
      </c>
      <c r="P25" s="503">
        <f>report_47_flagged!J18</f>
        <v>2</v>
      </c>
      <c r="Q25" s="547">
        <f>report_47_flagged!BA18</f>
        <v>39.880000000000003</v>
      </c>
      <c r="R25" s="547">
        <f t="shared" si="1"/>
        <v>0.87736000000000003</v>
      </c>
      <c r="S25" s="548">
        <f>report_47_flagged!BB18</f>
        <v>1</v>
      </c>
      <c r="T25" s="547">
        <f>report_47_flagged!BC18</f>
        <v>8.42</v>
      </c>
      <c r="U25" s="547">
        <f t="shared" si="2"/>
        <v>0.24418000000000001</v>
      </c>
      <c r="V25" s="548">
        <f>report_47_flagged!BD18</f>
        <v>1</v>
      </c>
      <c r="W25" s="505">
        <f>(report_47_flagged!N18/100)*report_47_flagged!H18</f>
        <v>25.739754553041006</v>
      </c>
      <c r="X25" s="505">
        <f t="shared" si="3"/>
        <v>0.54075542707401736</v>
      </c>
      <c r="Y25" s="503">
        <f>report_47_flagged!AP18</f>
        <v>2</v>
      </c>
      <c r="Z25" s="505">
        <f>(report_47_flagged!P18/100)*report_47_flagged!H18</f>
        <v>1.6588419782706669</v>
      </c>
      <c r="AA25" s="505">
        <f t="shared" si="4"/>
        <v>6.3043852357130892E-2</v>
      </c>
      <c r="AB25" s="503">
        <f>report_47_flagged!AR18</f>
        <v>2</v>
      </c>
      <c r="AC25" s="505">
        <f>(report_47_flagged!R18/100)*report_47_flagged!H18</f>
        <v>12.041219323732243</v>
      </c>
      <c r="AD25" s="505">
        <f t="shared" si="5"/>
        <v>0.33723154001894823</v>
      </c>
      <c r="AE25" s="503">
        <f>report_47_flagged!AT18</f>
        <v>2</v>
      </c>
      <c r="AF25" s="505">
        <f>(report_47_flagged!L18/100)*report_47_flagged!H18</f>
        <v>13.698535229308762</v>
      </c>
      <c r="AG25" s="505">
        <f t="shared" si="6"/>
        <v>0.26040191261587092</v>
      </c>
      <c r="AH25" s="503">
        <f>report_47_flagged!AV18</f>
        <v>2</v>
      </c>
      <c r="AI25" s="505">
        <f>(report_47_flagged!T18/100)*report_47_flagged!H18</f>
        <v>16.262466658010062</v>
      </c>
      <c r="AJ25" s="505">
        <f t="shared" si="7"/>
        <v>0.79692060367679385</v>
      </c>
      <c r="AK25" s="503">
        <f>report_47_flagged!AX18</f>
        <v>2</v>
      </c>
    </row>
    <row r="26" spans="1:37" ht="15.75">
      <c r="A26" s="43">
        <v>2023</v>
      </c>
      <c r="B26" s="43" t="str">
        <f>LEFT([1]report_47_flagged!B19,2)</f>
        <v>47</v>
      </c>
      <c r="C26" s="43">
        <f>report_47_flagged!E19</f>
        <v>1000</v>
      </c>
      <c r="D26" s="134">
        <f>report_47_flagged!AM19</f>
        <v>1076.5</v>
      </c>
      <c r="E26" s="43" t="str">
        <f>report_47_flagged!D19</f>
        <v>McLane-PARFLUX-Mark78H-21 ; frame# 2241, controller# 11640-01 and Motor # 11640-01 Cup set Dx21</v>
      </c>
      <c r="F26" s="43"/>
      <c r="G26" s="43"/>
      <c r="H26" s="43">
        <f>report_47_flagged!C19</f>
        <v>14</v>
      </c>
      <c r="I26" s="43">
        <f>report_47_flagged!F19</f>
        <v>1</v>
      </c>
      <c r="J26" s="89">
        <f>report_47_flagged!AC19</f>
        <v>45263</v>
      </c>
      <c r="K26" s="89">
        <f>report_47_flagged!AD19</f>
        <v>45278</v>
      </c>
      <c r="L26" s="89">
        <f>report_47_flagged!AE19</f>
        <v>45270.5</v>
      </c>
      <c r="M26" s="503">
        <f>report_47_flagged!AF19</f>
        <v>15</v>
      </c>
      <c r="N26" s="193">
        <f>report_47_flagged!H19</f>
        <v>86.476190476190496</v>
      </c>
      <c r="O26" s="193">
        <f t="shared" si="0"/>
        <v>5.1885714285714292E-2</v>
      </c>
      <c r="P26" s="503">
        <f>report_47_flagged!J19</f>
        <v>1</v>
      </c>
      <c r="Q26" s="547">
        <f>report_47_flagged!BA19</f>
        <v>38.090000000000003</v>
      </c>
      <c r="R26" s="547">
        <f t="shared" si="1"/>
        <v>0.83798000000000006</v>
      </c>
      <c r="S26" s="548">
        <f>report_47_flagged!BB19</f>
        <v>1</v>
      </c>
      <c r="T26" s="547">
        <f>report_47_flagged!BC19</f>
        <v>8.2899999999999991</v>
      </c>
      <c r="U26" s="547">
        <f t="shared" si="2"/>
        <v>0.24040999999999998</v>
      </c>
      <c r="V26" s="548">
        <f>report_47_flagged!BD19</f>
        <v>1</v>
      </c>
      <c r="W26" s="505">
        <f>(report_47_flagged!N19/100)*report_47_flagged!H19</f>
        <v>12.009271926879887</v>
      </c>
      <c r="X26" s="505">
        <f t="shared" si="3"/>
        <v>0.25229762608209105</v>
      </c>
      <c r="Y26" s="503">
        <f>report_47_flagged!AP19</f>
        <v>1</v>
      </c>
      <c r="Z26" s="505">
        <f>(report_47_flagged!P19/100)*report_47_flagged!H19</f>
        <v>0.81967961265927292</v>
      </c>
      <c r="AA26" s="505">
        <f t="shared" si="4"/>
        <v>3.1151707731988505E-2</v>
      </c>
      <c r="AB26" s="503">
        <f>report_47_flagged!AR19</f>
        <v>1</v>
      </c>
      <c r="AC26" s="505">
        <f>(report_47_flagged!R19/100)*report_47_flagged!H19</f>
        <v>5.6107440386926601</v>
      </c>
      <c r="AD26" s="505">
        <f t="shared" si="5"/>
        <v>0.15713689801258315</v>
      </c>
      <c r="AE26" s="503">
        <f>report_47_flagged!AT19</f>
        <v>1</v>
      </c>
      <c r="AF26" s="505">
        <f>(report_47_flagged!L19/100)*report_47_flagged!H19</f>
        <v>6.3985278881872256</v>
      </c>
      <c r="AG26" s="505">
        <f t="shared" si="6"/>
        <v>0.12163263240328362</v>
      </c>
      <c r="AH26" s="503">
        <f>report_47_flagged!AV19</f>
        <v>1</v>
      </c>
      <c r="AI26" s="505">
        <f>(report_47_flagged!T19/100)*report_47_flagged!H19</f>
        <v>7.2167455372949938</v>
      </c>
      <c r="AJ26" s="505">
        <f t="shared" si="7"/>
        <v>0.35364704082761023</v>
      </c>
      <c r="AK26" s="503">
        <f>report_47_flagged!AX19</f>
        <v>1</v>
      </c>
    </row>
    <row r="27" spans="1:37" ht="15.75">
      <c r="A27" s="43">
        <v>2023</v>
      </c>
      <c r="B27" s="43" t="str">
        <f>LEFT([1]report_47_flagged!B20,2)</f>
        <v>47</v>
      </c>
      <c r="C27" s="43">
        <f>report_47_flagged!E20</f>
        <v>1000</v>
      </c>
      <c r="D27" s="134">
        <f>report_47_flagged!AM20</f>
        <v>1076.5</v>
      </c>
      <c r="E27" s="43" t="str">
        <f>report_47_flagged!D20</f>
        <v>McLane-PARFLUX-Mark78H-21 ; frame# 2241, controller# 11640-01 and Motor # 11640-01 Cup set Dx21</v>
      </c>
      <c r="F27" s="43"/>
      <c r="G27" s="43"/>
      <c r="H27" s="43">
        <f>report_47_flagged!C20</f>
        <v>15</v>
      </c>
      <c r="I27" s="43">
        <f>report_47_flagged!F20</f>
        <v>1</v>
      </c>
      <c r="J27" s="89">
        <f>report_47_flagged!AC20</f>
        <v>45278</v>
      </c>
      <c r="K27" s="89">
        <f>report_47_flagged!AD20</f>
        <v>45293</v>
      </c>
      <c r="L27" s="89">
        <f>report_47_flagged!AE20</f>
        <v>45285.5</v>
      </c>
      <c r="M27" s="503">
        <f>report_47_flagged!AF20</f>
        <v>15</v>
      </c>
      <c r="N27" s="193">
        <f>report_47_flagged!H20</f>
        <v>36.327619047619052</v>
      </c>
      <c r="O27" s="193">
        <f t="shared" si="0"/>
        <v>2.1796571428571429E-2</v>
      </c>
      <c r="P27" s="503">
        <f>report_47_flagged!J20</f>
        <v>1</v>
      </c>
      <c r="Q27" s="547">
        <f>report_47_flagged!BA20</f>
        <v>38.86</v>
      </c>
      <c r="R27" s="547">
        <f t="shared" si="1"/>
        <v>0.8549199999999999</v>
      </c>
      <c r="S27" s="548">
        <f>report_47_flagged!BB20</f>
        <v>1</v>
      </c>
      <c r="T27" s="547">
        <f>report_47_flagged!BC20</f>
        <v>8.4499999999999993</v>
      </c>
      <c r="U27" s="547">
        <f t="shared" si="2"/>
        <v>0.24504999999999999</v>
      </c>
      <c r="V27" s="548">
        <f>report_47_flagged!BD20</f>
        <v>1</v>
      </c>
      <c r="W27" s="505">
        <f>(report_47_flagged!N20/100)*report_47_flagged!H20</f>
        <v>5.1928783086867565</v>
      </c>
      <c r="X27" s="505">
        <f t="shared" si="3"/>
        <v>0.10909494578787853</v>
      </c>
      <c r="Y27" s="503">
        <f>report_47_flagged!AP20</f>
        <v>1</v>
      </c>
      <c r="Z27" s="505">
        <f>(report_47_flagged!P20/100)*report_47_flagged!H20</f>
        <v>0.364361609468006</v>
      </c>
      <c r="AA27" s="505">
        <f t="shared" si="4"/>
        <v>1.3847466975639499E-2</v>
      </c>
      <c r="AB27" s="503">
        <f>report_47_flagged!AR20</f>
        <v>1</v>
      </c>
      <c r="AC27" s="505">
        <f>(report_47_flagged!R20/100)*report_47_flagged!H20</f>
        <v>2.2287336198918566</v>
      </c>
      <c r="AD27" s="505">
        <f t="shared" si="5"/>
        <v>6.2418867285873307E-2</v>
      </c>
      <c r="AE27" s="503">
        <f>report_47_flagged!AT20</f>
        <v>1</v>
      </c>
      <c r="AF27" s="505">
        <f>(report_47_flagged!L20/100)*report_47_flagged!H20</f>
        <v>2.9641446887949003</v>
      </c>
      <c r="AG27" s="505">
        <f t="shared" si="6"/>
        <v>5.6346823460431884E-2</v>
      </c>
      <c r="AH27" s="503">
        <f>report_47_flagged!AV20</f>
        <v>1</v>
      </c>
      <c r="AI27" s="505">
        <f>(report_47_flagged!T20/100)*report_47_flagged!H20</f>
        <v>2.1705420957987829</v>
      </c>
      <c r="AJ27" s="505">
        <f t="shared" si="7"/>
        <v>0.10636453581522781</v>
      </c>
      <c r="AK27" s="503">
        <f>report_47_flagged!AX20</f>
        <v>1</v>
      </c>
    </row>
    <row r="28" spans="1:37" ht="15.75">
      <c r="A28" s="43">
        <v>2023</v>
      </c>
      <c r="B28" s="43" t="str">
        <f>LEFT([1]report_47_flagged!B21,2)</f>
        <v>47</v>
      </c>
      <c r="C28" s="43">
        <f>report_47_flagged!E21</f>
        <v>1000</v>
      </c>
      <c r="D28" s="134">
        <f>report_47_flagged!AM21</f>
        <v>1076.5</v>
      </c>
      <c r="E28" s="43" t="str">
        <f>report_47_flagged!D21</f>
        <v>McLane-PARFLUX-Mark78H-21 ; frame# 2241, controller# 11640-01 and Motor # 11640-01 Cup set Dx21</v>
      </c>
      <c r="F28" s="43"/>
      <c r="G28" s="43"/>
      <c r="H28" s="43">
        <f>report_47_flagged!C21</f>
        <v>16</v>
      </c>
      <c r="I28" s="43">
        <f>report_47_flagged!F21</f>
        <v>1</v>
      </c>
      <c r="J28" s="89">
        <f>report_47_flagged!AC21</f>
        <v>45293</v>
      </c>
      <c r="K28" s="89">
        <f>report_47_flagged!AD21</f>
        <v>45308</v>
      </c>
      <c r="L28" s="89">
        <f>report_47_flagged!AE21</f>
        <v>45300.5</v>
      </c>
      <c r="M28" s="503">
        <f>report_47_flagged!AF21</f>
        <v>15</v>
      </c>
      <c r="N28" s="193">
        <f>report_47_flagged!H21</f>
        <v>52.220952380952369</v>
      </c>
      <c r="O28" s="193">
        <f t="shared" si="0"/>
        <v>3.1332571428571418E-2</v>
      </c>
      <c r="P28" s="503">
        <f>report_47_flagged!J21</f>
        <v>1</v>
      </c>
      <c r="Q28" s="547">
        <f>report_47_flagged!BA21</f>
        <v>39.32</v>
      </c>
      <c r="R28" s="547">
        <f t="shared" si="1"/>
        <v>0.86503999999999992</v>
      </c>
      <c r="S28" s="548">
        <f>report_47_flagged!BB21</f>
        <v>1</v>
      </c>
      <c r="T28" s="547">
        <f>report_47_flagged!BC21</f>
        <v>8.44</v>
      </c>
      <c r="U28" s="547">
        <f t="shared" si="2"/>
        <v>0.24476000000000001</v>
      </c>
      <c r="V28" s="548">
        <f>report_47_flagged!BD21</f>
        <v>1</v>
      </c>
      <c r="W28" s="505">
        <f>(report_47_flagged!N21/100)*report_47_flagged!H21</f>
        <v>7.7381449637276774</v>
      </c>
      <c r="X28" s="505">
        <f t="shared" si="3"/>
        <v>0.16256735766452166</v>
      </c>
      <c r="Y28" s="503">
        <f>report_47_flagged!AP21</f>
        <v>1</v>
      </c>
      <c r="Z28" s="505">
        <f>(report_47_flagged!P21/100)*report_47_flagged!H21</f>
        <v>0.61982948099772117</v>
      </c>
      <c r="AA28" s="505">
        <f t="shared" si="4"/>
        <v>2.355645612932605E-2</v>
      </c>
      <c r="AB28" s="503">
        <f>report_47_flagged!AR21</f>
        <v>1</v>
      </c>
      <c r="AC28" s="505">
        <f>(report_47_flagged!R21/100)*report_47_flagged!H21</f>
        <v>3.7023233055317073</v>
      </c>
      <c r="AD28" s="505">
        <f t="shared" si="5"/>
        <v>0.10368885047311875</v>
      </c>
      <c r="AE28" s="503">
        <f>report_47_flagged!AT21</f>
        <v>1</v>
      </c>
      <c r="AF28" s="505">
        <f>(report_47_flagged!L21/100)*report_47_flagged!H21</f>
        <v>4.0358216581959701</v>
      </c>
      <c r="AG28" s="505">
        <f t="shared" si="6"/>
        <v>7.6718836078345967E-2</v>
      </c>
      <c r="AH28" s="503">
        <f>report_47_flagged!AV21</f>
        <v>1</v>
      </c>
      <c r="AI28" s="505">
        <f>(report_47_flagged!T21/100)*report_47_flagged!H21</f>
        <v>3.2329549477867556</v>
      </c>
      <c r="AJ28" s="505">
        <f t="shared" si="7"/>
        <v>0.15842666815744655</v>
      </c>
      <c r="AK28" s="503">
        <f>report_47_flagged!AX21</f>
        <v>1</v>
      </c>
    </row>
    <row r="29" spans="1:37" ht="15.75">
      <c r="A29" s="43">
        <v>2023</v>
      </c>
      <c r="B29" s="43" t="str">
        <f>LEFT([1]report_47_flagged!B22,2)</f>
        <v>47</v>
      </c>
      <c r="C29" s="43">
        <f>report_47_flagged!E22</f>
        <v>1000</v>
      </c>
      <c r="D29" s="134">
        <f>report_47_flagged!AM22</f>
        <v>1076.5</v>
      </c>
      <c r="E29" s="43" t="str">
        <f>report_47_flagged!D22</f>
        <v>McLane-PARFLUX-Mark78H-21 ; frame# 2241, controller# 11640-01 and Motor # 11640-01 Cup set Dx21</v>
      </c>
      <c r="F29" s="43"/>
      <c r="G29" s="43"/>
      <c r="H29" s="43">
        <f>report_47_flagged!C22</f>
        <v>17</v>
      </c>
      <c r="I29" s="43">
        <f>report_47_flagged!F22</f>
        <v>1</v>
      </c>
      <c r="J29" s="89">
        <f>report_47_flagged!AC22</f>
        <v>45308</v>
      </c>
      <c r="K29" s="89">
        <f>report_47_flagged!AD22</f>
        <v>45323</v>
      </c>
      <c r="L29" s="89">
        <f>report_47_flagged!AE22</f>
        <v>45315.5</v>
      </c>
      <c r="M29" s="503">
        <f>report_47_flagged!AF22</f>
        <v>15</v>
      </c>
      <c r="N29" s="193">
        <f>report_47_flagged!H22</f>
        <v>57.725714285714282</v>
      </c>
      <c r="O29" s="193">
        <f t="shared" si="0"/>
        <v>3.4635428571428567E-2</v>
      </c>
      <c r="P29" s="503">
        <f>report_47_flagged!J22</f>
        <v>1</v>
      </c>
      <c r="Q29" s="547">
        <f>report_47_flagged!BA22</f>
        <v>40.33</v>
      </c>
      <c r="R29" s="547">
        <f t="shared" si="1"/>
        <v>0.88725999999999994</v>
      </c>
      <c r="S29" s="548">
        <f>report_47_flagged!BB22</f>
        <v>1</v>
      </c>
      <c r="T29" s="547">
        <f>report_47_flagged!BC22</f>
        <v>8.44</v>
      </c>
      <c r="U29" s="547">
        <f t="shared" si="2"/>
        <v>0.24476000000000001</v>
      </c>
      <c r="V29" s="548">
        <f>report_47_flagged!BD22</f>
        <v>1</v>
      </c>
      <c r="W29" s="505">
        <f>(report_47_flagged!N22/100)*report_47_flagged!H22</f>
        <v>9.3005256781441812</v>
      </c>
      <c r="X29" s="505">
        <f t="shared" si="3"/>
        <v>0.1953907417700507</v>
      </c>
      <c r="Y29" s="503">
        <f>report_47_flagged!AP22</f>
        <v>1</v>
      </c>
      <c r="Z29" s="505">
        <f>(report_47_flagged!P22/100)*report_47_flagged!H22</f>
        <v>0.838520286314828</v>
      </c>
      <c r="AA29" s="505">
        <f t="shared" si="4"/>
        <v>3.1867742570634176E-2</v>
      </c>
      <c r="AB29" s="503">
        <f>report_47_flagged!AR22</f>
        <v>1</v>
      </c>
      <c r="AC29" s="505">
        <f>(report_47_flagged!R22/100)*report_47_flagged!H22</f>
        <v>4.787559813794684</v>
      </c>
      <c r="AD29" s="505">
        <f t="shared" si="5"/>
        <v>0.13408244842420011</v>
      </c>
      <c r="AE29" s="503">
        <f>report_47_flagged!AT22</f>
        <v>1</v>
      </c>
      <c r="AF29" s="505">
        <f>(report_47_flagged!L22/100)*report_47_flagged!H22</f>
        <v>4.512965864349499</v>
      </c>
      <c r="AG29" s="505">
        <f t="shared" si="6"/>
        <v>8.5789095182408598E-2</v>
      </c>
      <c r="AH29" s="503">
        <f>report_47_flagged!AV22</f>
        <v>1</v>
      </c>
      <c r="AI29" s="505">
        <f>(report_47_flagged!T22/100)*report_47_flagged!H22</f>
        <v>2.5648118797463395</v>
      </c>
      <c r="AJ29" s="505">
        <f t="shared" si="7"/>
        <v>0.12568520351235396</v>
      </c>
      <c r="AK29" s="503">
        <f>report_47_flagged!AX22</f>
        <v>1</v>
      </c>
    </row>
    <row r="30" spans="1:37" ht="15.75">
      <c r="A30" s="43">
        <v>2023</v>
      </c>
      <c r="B30" s="43" t="str">
        <f>LEFT([1]report_47_flagged!B23,2)</f>
        <v>47</v>
      </c>
      <c r="C30" s="43">
        <f>report_47_flagged!E23</f>
        <v>1000</v>
      </c>
      <c r="D30" s="134">
        <f>report_47_flagged!AM23</f>
        <v>1076.5</v>
      </c>
      <c r="E30" s="43" t="str">
        <f>report_47_flagged!D23</f>
        <v>McLane-PARFLUX-Mark78H-21 ; frame# 2241, controller# 11640-01 and Motor # 11640-01 Cup set Dx21</v>
      </c>
      <c r="F30" s="43"/>
      <c r="G30" s="43"/>
      <c r="H30" s="43">
        <f>report_47_flagged!C23</f>
        <v>18</v>
      </c>
      <c r="I30" s="43">
        <f>report_47_flagged!F23</f>
        <v>1</v>
      </c>
      <c r="J30" s="89">
        <f>report_47_flagged!AC23</f>
        <v>45323</v>
      </c>
      <c r="K30" s="89">
        <f>report_47_flagged!AD23</f>
        <v>45338</v>
      </c>
      <c r="L30" s="89">
        <f>report_47_flagged!AE23</f>
        <v>45330.5</v>
      </c>
      <c r="M30" s="503">
        <f>report_47_flagged!AF23</f>
        <v>15</v>
      </c>
      <c r="N30" s="193">
        <f>report_47_flagged!H23</f>
        <v>64.720000000000013</v>
      </c>
      <c r="O30" s="193">
        <f t="shared" si="0"/>
        <v>3.8832000000000005E-2</v>
      </c>
      <c r="P30" s="503">
        <f>report_47_flagged!J23</f>
        <v>1</v>
      </c>
      <c r="Q30" s="547">
        <f>report_47_flagged!BA23</f>
        <v>40.15</v>
      </c>
      <c r="R30" s="547">
        <f t="shared" si="1"/>
        <v>0.88329999999999986</v>
      </c>
      <c r="S30" s="548">
        <f>report_47_flagged!BB23</f>
        <v>1</v>
      </c>
      <c r="T30" s="547">
        <f>report_47_flagged!BC23</f>
        <v>8.5399999999999991</v>
      </c>
      <c r="U30" s="547">
        <f t="shared" si="2"/>
        <v>0.24765999999999999</v>
      </c>
      <c r="V30" s="548">
        <f>report_47_flagged!BD23</f>
        <v>1</v>
      </c>
      <c r="W30" s="505">
        <f>(report_47_flagged!N23/100)*report_47_flagged!H23</f>
        <v>9.1039861274719254</v>
      </c>
      <c r="X30" s="505">
        <f t="shared" si="3"/>
        <v>0.19126172692487398</v>
      </c>
      <c r="Y30" s="503">
        <f>report_47_flagged!AP23</f>
        <v>1</v>
      </c>
      <c r="Z30" s="505">
        <f>(report_47_flagged!P23/100)*report_47_flagged!H23</f>
        <v>0.5497102212429047</v>
      </c>
      <c r="AA30" s="505">
        <f t="shared" si="4"/>
        <v>2.0891592135479937E-2</v>
      </c>
      <c r="AB30" s="503">
        <f>report_47_flagged!AR23</f>
        <v>1</v>
      </c>
      <c r="AC30" s="505">
        <f>(report_47_flagged!R23/100)*report_47_flagged!H23</f>
        <v>3.3658370577506647</v>
      </c>
      <c r="AD30" s="505">
        <f t="shared" si="5"/>
        <v>9.4265072657631996E-2</v>
      </c>
      <c r="AE30" s="503">
        <f>report_47_flagged!AT23</f>
        <v>1</v>
      </c>
      <c r="AF30" s="505">
        <f>(report_47_flagged!L23/100)*report_47_flagged!H23</f>
        <v>5.7381490697212607</v>
      </c>
      <c r="AG30" s="505">
        <f t="shared" si="6"/>
        <v>0.10907918019099014</v>
      </c>
      <c r="AH30" s="503">
        <f>report_47_flagged!AV23</f>
        <v>1</v>
      </c>
      <c r="AI30" s="505">
        <f>(report_47_flagged!T23/100)*report_47_flagged!H23</f>
        <v>3.2102092070344201</v>
      </c>
      <c r="AJ30" s="505">
        <f t="shared" si="7"/>
        <v>0.15731204330793155</v>
      </c>
      <c r="AK30" s="503">
        <f>report_47_flagged!AX23</f>
        <v>1</v>
      </c>
    </row>
    <row r="31" spans="1:37" ht="15.75">
      <c r="A31" s="43">
        <v>2023</v>
      </c>
      <c r="B31" s="43" t="str">
        <f>LEFT([1]report_47_flagged!B24,2)</f>
        <v>47</v>
      </c>
      <c r="C31" s="43">
        <f>report_47_flagged!E24</f>
        <v>1000</v>
      </c>
      <c r="D31" s="134">
        <f>report_47_flagged!AM24</f>
        <v>1076.5</v>
      </c>
      <c r="E31" s="43" t="str">
        <f>report_47_flagged!D24</f>
        <v>McLane-PARFLUX-Mark78H-21 ; frame# 2241, controller# 11640-01 and Motor # 11640-01 Cup set Dx21</v>
      </c>
      <c r="F31" s="43"/>
      <c r="G31" s="43"/>
      <c r="H31" s="43">
        <f>report_47_flagged!C24</f>
        <v>19</v>
      </c>
      <c r="I31" s="43">
        <f>report_47_flagged!F24</f>
        <v>1</v>
      </c>
      <c r="J31" s="89">
        <f>report_47_flagged!AC24</f>
        <v>45338</v>
      </c>
      <c r="K31" s="89">
        <f>report_47_flagged!AD24</f>
        <v>45353</v>
      </c>
      <c r="L31" s="89">
        <f>report_47_flagged!AE24</f>
        <v>45345.5</v>
      </c>
      <c r="M31" s="503">
        <f>report_47_flagged!AF24</f>
        <v>15</v>
      </c>
      <c r="N31" s="193">
        <f>report_47_flagged!H24</f>
        <v>106.58476190476192</v>
      </c>
      <c r="O31" s="193">
        <f t="shared" si="0"/>
        <v>6.3950857142857143E-2</v>
      </c>
      <c r="P31" s="503">
        <f>report_47_flagged!J24</f>
        <v>1</v>
      </c>
      <c r="Q31" s="547">
        <f>report_47_flagged!BA24</f>
        <v>39.75</v>
      </c>
      <c r="R31" s="547">
        <f t="shared" si="1"/>
        <v>0.87449999999999994</v>
      </c>
      <c r="S31" s="548">
        <f>report_47_flagged!BB24</f>
        <v>1</v>
      </c>
      <c r="T31" s="547">
        <f>report_47_flagged!BC24</f>
        <v>8.51</v>
      </c>
      <c r="U31" s="547">
        <f t="shared" si="2"/>
        <v>0.24679000000000001</v>
      </c>
      <c r="V31" s="548">
        <f>report_47_flagged!BD24</f>
        <v>1</v>
      </c>
      <c r="W31" s="505">
        <f>(report_47_flagged!N24/100)*report_47_flagged!H24</f>
        <v>15.171820057805382</v>
      </c>
      <c r="X31" s="505">
        <f t="shared" si="3"/>
        <v>0.31873823885703712</v>
      </c>
      <c r="Y31" s="503">
        <f>report_47_flagged!AP24</f>
        <v>1</v>
      </c>
      <c r="Z31" s="505">
        <f>(report_47_flagged!P24/100)*report_47_flagged!H24</f>
        <v>0.82112028906458912</v>
      </c>
      <c r="AA31" s="505">
        <f t="shared" si="4"/>
        <v>3.1206460259221896E-2</v>
      </c>
      <c r="AB31" s="503">
        <f>report_47_flagged!AR24</f>
        <v>1</v>
      </c>
      <c r="AC31" s="505">
        <f>(report_47_flagged!R24/100)*report_47_flagged!H24</f>
        <v>5.1663693812557083</v>
      </c>
      <c r="AD31" s="505">
        <f t="shared" si="5"/>
        <v>0.14469155123798369</v>
      </c>
      <c r="AE31" s="503">
        <f>report_47_flagged!AT24</f>
        <v>1</v>
      </c>
      <c r="AF31" s="505">
        <f>(report_47_flagged!L24/100)*report_47_flagged!H24</f>
        <v>10.005450676549673</v>
      </c>
      <c r="AG31" s="505">
        <f t="shared" si="6"/>
        <v>0.19019832771483605</v>
      </c>
      <c r="AH31" s="503">
        <f>report_47_flagged!AV24</f>
        <v>1</v>
      </c>
      <c r="AI31" s="505">
        <f>(report_47_flagged!T24/100)*report_47_flagged!H24</f>
        <v>3.1115649104295717</v>
      </c>
      <c r="AJ31" s="505">
        <f t="shared" si="7"/>
        <v>0.1524781104210722</v>
      </c>
      <c r="AK31" s="503">
        <f>report_47_flagged!AX24</f>
        <v>1</v>
      </c>
    </row>
    <row r="32" spans="1:37" ht="15.75">
      <c r="A32" s="43">
        <v>2023</v>
      </c>
      <c r="B32" s="43" t="str">
        <f>LEFT([1]report_47_flagged!B25,2)</f>
        <v>47</v>
      </c>
      <c r="C32" s="43">
        <f>report_47_flagged!E25</f>
        <v>1000</v>
      </c>
      <c r="D32" s="134">
        <f>report_47_flagged!AM25</f>
        <v>1076.5</v>
      </c>
      <c r="E32" s="43" t="str">
        <f>report_47_flagged!D25</f>
        <v>McLane-PARFLUX-Mark78H-21 ; frame# 2241, controller# 11640-01 and Motor # 11640-01 Cup set Dx21</v>
      </c>
      <c r="F32" s="43"/>
      <c r="G32" s="43"/>
      <c r="H32" s="43">
        <f>report_47_flagged!C25</f>
        <v>20</v>
      </c>
      <c r="I32" s="43">
        <f>report_47_flagged!F25</f>
        <v>1</v>
      </c>
      <c r="J32" s="89">
        <f>report_47_flagged!AC25</f>
        <v>45353</v>
      </c>
      <c r="K32" s="89">
        <f>report_47_flagged!AD25</f>
        <v>45368</v>
      </c>
      <c r="L32" s="89">
        <f>report_47_flagged!AE25</f>
        <v>45360.5</v>
      </c>
      <c r="M32" s="503">
        <f>report_47_flagged!AF25</f>
        <v>15</v>
      </c>
      <c r="N32" s="193">
        <f>report_47_flagged!H25</f>
        <v>66.432380952380953</v>
      </c>
      <c r="O32" s="193">
        <f t="shared" si="0"/>
        <v>3.9859428571428566E-2</v>
      </c>
      <c r="P32" s="503">
        <f>report_47_flagged!J25</f>
        <v>1</v>
      </c>
      <c r="Q32" s="547">
        <f>report_47_flagged!BA25</f>
        <v>39.24</v>
      </c>
      <c r="R32" s="547">
        <f t="shared" si="1"/>
        <v>0.86328000000000005</v>
      </c>
      <c r="S32" s="548">
        <f>report_47_flagged!BB25</f>
        <v>1</v>
      </c>
      <c r="T32" s="547">
        <f>report_47_flagged!BC25</f>
        <v>8.4700000000000006</v>
      </c>
      <c r="U32" s="547">
        <f t="shared" si="2"/>
        <v>0.24563000000000004</v>
      </c>
      <c r="V32" s="548">
        <f>report_47_flagged!BD25</f>
        <v>1</v>
      </c>
      <c r="W32" s="505">
        <f>(report_47_flagged!N25/100)*report_47_flagged!H25</f>
        <v>9.3976816687447684</v>
      </c>
      <c r="X32" s="505">
        <f t="shared" si="3"/>
        <v>0.19743185016841391</v>
      </c>
      <c r="Y32" s="503">
        <f>report_47_flagged!AP25</f>
        <v>1</v>
      </c>
      <c r="Z32" s="505">
        <f>(report_47_flagged!P25/100)*report_47_flagged!H25</f>
        <v>0.57811198725132718</v>
      </c>
      <c r="AA32" s="505">
        <f t="shared" si="4"/>
        <v>2.1970993770097001E-2</v>
      </c>
      <c r="AB32" s="503">
        <f>report_47_flagged!AR25</f>
        <v>1</v>
      </c>
      <c r="AC32" s="505">
        <f>(report_47_flagged!R25/100)*report_47_flagged!H25</f>
        <v>3.338980139645487</v>
      </c>
      <c r="AD32" s="505">
        <f t="shared" si="5"/>
        <v>9.3512906318885772E-2</v>
      </c>
      <c r="AE32" s="503">
        <f>report_47_flagged!AT25</f>
        <v>1</v>
      </c>
      <c r="AF32" s="505">
        <f>(report_47_flagged!L25/100)*report_47_flagged!H25</f>
        <v>6.0587015290992809</v>
      </c>
      <c r="AG32" s="505">
        <f t="shared" si="6"/>
        <v>0.1151727129752227</v>
      </c>
      <c r="AH32" s="503">
        <f>report_47_flagged!AV25</f>
        <v>1</v>
      </c>
      <c r="AI32" s="505">
        <f>(report_47_flagged!T25/100)*report_47_flagged!H25</f>
        <v>2.4985209869799232</v>
      </c>
      <c r="AJ32" s="505">
        <f t="shared" si="7"/>
        <v>0.1224367062583617</v>
      </c>
      <c r="AK32" s="503">
        <f>report_47_flagged!AX25</f>
        <v>1</v>
      </c>
    </row>
    <row r="33" spans="1:37" s="268" customFormat="1" ht="16.5" thickBot="1">
      <c r="A33" s="426">
        <v>2023</v>
      </c>
      <c r="B33" s="426" t="str">
        <f>LEFT([1]report_47_flagged!B26,2)</f>
        <v>47</v>
      </c>
      <c r="C33" s="43">
        <f>report_47_flagged!E26</f>
        <v>1000</v>
      </c>
      <c r="D33" s="558">
        <f>report_47_flagged!AM26</f>
        <v>1076.5</v>
      </c>
      <c r="E33" s="426" t="str">
        <f>report_47_flagged!D26</f>
        <v>McLane-PARFLUX-Mark78H-21 ; frame# 2241, controller# 11640-01 and Motor # 11640-01 Cup set Dx21</v>
      </c>
      <c r="F33" s="426"/>
      <c r="G33" s="426"/>
      <c r="H33" s="426">
        <f>report_47_flagged!C26</f>
        <v>21</v>
      </c>
      <c r="I33" s="426">
        <f>report_47_flagged!F26</f>
        <v>1</v>
      </c>
      <c r="J33" s="511">
        <f>report_47_flagged!AC26</f>
        <v>45368</v>
      </c>
      <c r="K33" s="511">
        <f>report_47_flagged!AD26</f>
        <v>45383</v>
      </c>
      <c r="L33" s="511">
        <f>report_47_flagged!AE26</f>
        <v>45375.5</v>
      </c>
      <c r="M33" s="507">
        <f>report_47_flagged!AF26</f>
        <v>15</v>
      </c>
      <c r="N33" s="508">
        <f>report_47_flagged!H26</f>
        <v>75.742857142857147</v>
      </c>
      <c r="O33" s="508">
        <f t="shared" si="0"/>
        <v>4.5445714285714284E-2</v>
      </c>
      <c r="P33" s="507">
        <f>report_47_flagged!J26</f>
        <v>1</v>
      </c>
      <c r="Q33" s="549">
        <f>report_47_flagged!BA26</f>
        <v>39.020000000000003</v>
      </c>
      <c r="R33" s="549">
        <f t="shared" si="1"/>
        <v>0.85843999999999998</v>
      </c>
      <c r="S33" s="550">
        <f>report_47_flagged!BB26</f>
        <v>1</v>
      </c>
      <c r="T33" s="549">
        <f>report_47_flagged!BC26</f>
        <v>8.5299999999999994</v>
      </c>
      <c r="U33" s="549">
        <f t="shared" si="2"/>
        <v>0.24737000000000001</v>
      </c>
      <c r="V33" s="550">
        <f>report_47_flagged!BD26</f>
        <v>1</v>
      </c>
      <c r="W33" s="510">
        <f>(report_47_flagged!N26/100)*report_47_flagged!H26</f>
        <v>10.275539642606464</v>
      </c>
      <c r="X33" s="510">
        <f t="shared" si="3"/>
        <v>0.21587439058144317</v>
      </c>
      <c r="Y33" s="507">
        <f>report_47_flagged!AP26</f>
        <v>1</v>
      </c>
      <c r="Z33" s="510">
        <f>(report_47_flagged!P26/100)*report_47_flagged!H26</f>
        <v>0.45734096862588614</v>
      </c>
      <c r="AA33" s="510">
        <f t="shared" si="4"/>
        <v>1.7381123024735212E-2</v>
      </c>
      <c r="AB33" s="507">
        <f>report_47_flagged!AR26</f>
        <v>1</v>
      </c>
      <c r="AC33" s="510">
        <f>(report_47_flagged!R26/100)*report_47_flagged!H26</f>
        <v>2.9889366744565518</v>
      </c>
      <c r="AD33" s="510">
        <f t="shared" si="5"/>
        <v>8.3709439272440123E-2</v>
      </c>
      <c r="AE33" s="507">
        <f>report_47_flagged!AT26</f>
        <v>1</v>
      </c>
      <c r="AF33" s="510">
        <f>(report_47_flagged!L26/100)*report_47_flagged!H26</f>
        <v>7.2866029681499116</v>
      </c>
      <c r="AG33" s="510">
        <f t="shared" si="6"/>
        <v>0.13851447016897336</v>
      </c>
      <c r="AH33" s="507">
        <f>report_47_flagged!AV26</f>
        <v>1</v>
      </c>
      <c r="AI33" s="510">
        <f>(report_47_flagged!T26/100)*report_47_flagged!H26</f>
        <v>2.4942556187851306</v>
      </c>
      <c r="AJ33" s="510">
        <f t="shared" si="7"/>
        <v>0.12222768754870467</v>
      </c>
      <c r="AK33" s="507">
        <f>report_47_flagged!AX26</f>
        <v>1</v>
      </c>
    </row>
    <row r="34" spans="1:37" ht="15.75">
      <c r="A34" s="43">
        <v>2023</v>
      </c>
      <c r="B34" s="43" t="str">
        <f>LEFT([1]report_47_flagged!B27,2)</f>
        <v>47</v>
      </c>
      <c r="C34" s="43">
        <f>report_47_flagged!E27</f>
        <v>2000</v>
      </c>
      <c r="D34" s="134">
        <f>report_47_flagged!AM27</f>
        <v>2080.1999999999998</v>
      </c>
      <c r="E34" s="43" t="str">
        <f>report_47_flagged!D27</f>
        <v>McLane-PARFLUX-Mark78H-21 ; frame# 14182-01, controller# 11741-01 and Motor # 14182-01 Cup set Ex21</v>
      </c>
      <c r="F34" s="43"/>
      <c r="G34" s="43"/>
      <c r="H34" s="43">
        <f>report_47_flagged!C27</f>
        <v>1</v>
      </c>
      <c r="I34" s="43">
        <f>report_47_flagged!F27</f>
        <v>1</v>
      </c>
      <c r="J34" s="89">
        <f>report_47_flagged!AC27</f>
        <v>45068</v>
      </c>
      <c r="K34" s="89">
        <f>report_47_flagged!AD27</f>
        <v>45083</v>
      </c>
      <c r="L34" s="89">
        <f>report_47_flagged!AE27</f>
        <v>45075.5</v>
      </c>
      <c r="M34" s="503">
        <f>report_47_flagged!AF27</f>
        <v>15</v>
      </c>
      <c r="N34" s="193">
        <f>report_47_flagged!H27</f>
        <v>114.38666666666664</v>
      </c>
      <c r="O34" s="193">
        <f t="shared" si="0"/>
        <v>6.8631999999999985E-2</v>
      </c>
      <c r="P34" s="503">
        <f>report_47_flagged!J27</f>
        <v>3</v>
      </c>
      <c r="Q34" s="547">
        <f>report_47_flagged!BA27</f>
        <v>39.86</v>
      </c>
      <c r="R34" s="547">
        <f t="shared" si="1"/>
        <v>0.87691999999999992</v>
      </c>
      <c r="S34" s="548">
        <f>report_47_flagged!BB27</f>
        <v>1</v>
      </c>
      <c r="T34" s="547">
        <f>report_47_flagged!BC27</f>
        <v>8.3000000000000007</v>
      </c>
      <c r="U34" s="547">
        <f t="shared" si="2"/>
        <v>0.24070000000000003</v>
      </c>
      <c r="V34" s="548">
        <f>report_47_flagged!BD27</f>
        <v>1</v>
      </c>
      <c r="W34" s="505">
        <f>(report_47_flagged!N27/100)*report_47_flagged!H27</f>
        <v>15.571971185493465</v>
      </c>
      <c r="X34" s="505">
        <f t="shared" si="3"/>
        <v>0.32714484170560837</v>
      </c>
      <c r="Y34" s="503">
        <f>report_47_flagged!AP27</f>
        <v>3</v>
      </c>
      <c r="Z34" s="505">
        <f>(report_47_flagged!P27/100)*report_47_flagged!H27</f>
        <v>1.0045982783516247</v>
      </c>
      <c r="AA34" s="505">
        <f t="shared" si="4"/>
        <v>3.8179492904232372E-2</v>
      </c>
      <c r="AB34" s="503">
        <f>report_47_flagged!AR27</f>
        <v>3</v>
      </c>
      <c r="AC34" s="505">
        <f>(report_47_flagged!R27/100)*report_47_flagged!H27</f>
        <v>6.3205992859043176</v>
      </c>
      <c r="AD34" s="505">
        <f t="shared" si="5"/>
        <v>0.17701740776593591</v>
      </c>
      <c r="AE34" s="503">
        <f>report_47_flagged!AT27</f>
        <v>3</v>
      </c>
      <c r="AF34" s="505">
        <f>(report_47_flagged!L27/100)*report_47_flagged!H27</f>
        <v>9.2513718995891487</v>
      </c>
      <c r="AG34" s="505">
        <f t="shared" si="6"/>
        <v>0.17586368882852454</v>
      </c>
      <c r="AH34" s="503">
        <f>report_47_flagged!AV27</f>
        <v>1</v>
      </c>
      <c r="AI34" s="505">
        <f>(report_47_flagged!T27/100)*report_47_flagged!H27</f>
        <v>7.7014231339331252</v>
      </c>
      <c r="AJ34" s="505">
        <f t="shared" si="7"/>
        <v>0.37739802344445883</v>
      </c>
      <c r="AK34" s="503">
        <f>report_47_flagged!AX27</f>
        <v>3</v>
      </c>
    </row>
    <row r="35" spans="1:37" ht="15.75">
      <c r="A35" s="43">
        <v>2023</v>
      </c>
      <c r="B35" s="43" t="str">
        <f>LEFT([1]report_47_flagged!B28,2)</f>
        <v>47</v>
      </c>
      <c r="C35" s="43">
        <f>report_47_flagged!E28</f>
        <v>2000</v>
      </c>
      <c r="D35" s="134">
        <f>report_47_flagged!AM28</f>
        <v>2080.1999999999998</v>
      </c>
      <c r="E35" s="43" t="str">
        <f>report_47_flagged!D28</f>
        <v>McLane-PARFLUX-Mark78H-21 ; frame# 14182-01, controller# 11741-01 and Motor # 14182-01 Cup set Ex21</v>
      </c>
      <c r="F35" s="43"/>
      <c r="G35" s="43"/>
      <c r="H35" s="43">
        <f>report_47_flagged!C28</f>
        <v>2</v>
      </c>
      <c r="I35" s="43">
        <f>report_47_flagged!F28</f>
        <v>4</v>
      </c>
      <c r="J35" s="89">
        <f>report_47_flagged!AC28</f>
        <v>45083</v>
      </c>
      <c r="K35" s="89">
        <f>report_47_flagged!AD28</f>
        <v>45098</v>
      </c>
      <c r="L35" s="89">
        <f>report_47_flagged!AE28</f>
        <v>45090.5</v>
      </c>
      <c r="M35" s="503">
        <f>report_47_flagged!AF28</f>
        <v>15</v>
      </c>
      <c r="N35" s="193">
        <f>report_47_flagged!H28</f>
        <v>49.542857142857137</v>
      </c>
      <c r="O35" s="193">
        <f t="shared" si="0"/>
        <v>2.9725714285714279E-2</v>
      </c>
      <c r="P35" s="503">
        <f>report_47_flagged!J28</f>
        <v>4</v>
      </c>
      <c r="Q35" s="547">
        <f>report_47_flagged!BA28</f>
        <v>36.76</v>
      </c>
      <c r="R35" s="547">
        <f t="shared" si="1"/>
        <v>0.80871999999999988</v>
      </c>
      <c r="S35" s="548">
        <f>report_47_flagged!BB28</f>
        <v>1</v>
      </c>
      <c r="T35" s="547">
        <f>report_47_flagged!BC28</f>
        <v>8.52</v>
      </c>
      <c r="U35" s="547">
        <f t="shared" si="2"/>
        <v>0.24707999999999999</v>
      </c>
      <c r="V35" s="548">
        <f>report_47_flagged!BD28</f>
        <v>1</v>
      </c>
      <c r="W35" s="505">
        <f>(report_47_flagged!N28/100)*report_47_flagged!H28</f>
        <v>13.617919552394319</v>
      </c>
      <c r="X35" s="505">
        <f t="shared" si="3"/>
        <v>0.28609301181329994</v>
      </c>
      <c r="Y35" s="503">
        <f>report_47_flagged!AP28</f>
        <v>4</v>
      </c>
      <c r="Z35" s="505">
        <f>(report_47_flagged!P28/100)*report_47_flagged!H28</f>
        <v>2.5786964631761817</v>
      </c>
      <c r="AA35" s="505">
        <f t="shared" si="4"/>
        <v>9.8002679717458144E-2</v>
      </c>
      <c r="AB35" s="503">
        <f>report_47_flagged!AR28</f>
        <v>4</v>
      </c>
      <c r="AC35" s="505">
        <f>(report_47_flagged!R28/100)*report_47_flagged!H28</f>
        <v>11.08281540814871</v>
      </c>
      <c r="AD35" s="505">
        <f t="shared" si="5"/>
        <v>0.31039006992169516</v>
      </c>
      <c r="AE35" s="503">
        <f>report_47_flagged!AT28</f>
        <v>4</v>
      </c>
      <c r="AF35" s="505">
        <f>(report_47_flagged!L28/100)*report_47_flagged!H28</f>
        <v>2.5351041442456088</v>
      </c>
      <c r="AG35" s="505">
        <f t="shared" si="6"/>
        <v>4.8190989532191662E-2</v>
      </c>
      <c r="AH35" s="503">
        <f>report_47_flagged!AV28</f>
        <v>4</v>
      </c>
      <c r="AI35" s="505">
        <f>(report_47_flagged!T28/100)*report_47_flagged!H28</f>
        <v>1.2292323161299255</v>
      </c>
      <c r="AJ35" s="505">
        <f t="shared" si="7"/>
        <v>6.0236898868400286E-2</v>
      </c>
      <c r="AK35" s="503">
        <f>report_47_flagged!AX28</f>
        <v>4</v>
      </c>
    </row>
    <row r="36" spans="1:37" ht="15.75">
      <c r="A36" s="43">
        <v>2023</v>
      </c>
      <c r="B36" s="43" t="str">
        <f>LEFT([1]report_47_flagged!B29,2)</f>
        <v>47</v>
      </c>
      <c r="C36" s="43">
        <f>report_47_flagged!E29</f>
        <v>2000</v>
      </c>
      <c r="D36" s="134">
        <f>report_47_flagged!AM29</f>
        <v>2080.1999999999998</v>
      </c>
      <c r="E36" s="43" t="str">
        <f>report_47_flagged!D29</f>
        <v>McLane-PARFLUX-Mark78H-21 ; frame# 14182-01, controller# 11741-01 and Motor # 14182-01 Cup set Ex21</v>
      </c>
      <c r="F36" s="43"/>
      <c r="G36" s="43"/>
      <c r="H36" s="43">
        <f>report_47_flagged!C29</f>
        <v>3</v>
      </c>
      <c r="I36" s="43">
        <f>report_47_flagged!F29</f>
        <v>4</v>
      </c>
      <c r="J36" s="89">
        <f>report_47_flagged!AC29</f>
        <v>45098</v>
      </c>
      <c r="K36" s="89">
        <f>report_47_flagged!AD29</f>
        <v>45113</v>
      </c>
      <c r="L36" s="89">
        <f>report_47_flagged!AE29</f>
        <v>45105.5</v>
      </c>
      <c r="M36" s="503">
        <f>report_47_flagged!AF29</f>
        <v>15</v>
      </c>
      <c r="N36" s="193">
        <f>report_47_flagged!H29</f>
        <v>10.129523809523809</v>
      </c>
      <c r="O36" s="193">
        <f t="shared" si="0"/>
        <v>6.0777142857142844E-3</v>
      </c>
      <c r="P36" s="503">
        <f>report_47_flagged!J29</f>
        <v>4</v>
      </c>
      <c r="Q36" s="547">
        <f>report_47_flagged!BA29</f>
        <v>41.155000000000001</v>
      </c>
      <c r="R36" s="547">
        <f t="shared" si="1"/>
        <v>0.90540999999999994</v>
      </c>
      <c r="S36" s="548">
        <f>report_47_flagged!BB29</f>
        <v>1</v>
      </c>
      <c r="T36" s="547">
        <f>report_47_flagged!BC29</f>
        <v>8.4600000000000009</v>
      </c>
      <c r="U36" s="547">
        <f t="shared" si="2"/>
        <v>0.24534000000000003</v>
      </c>
      <c r="V36" s="548">
        <f>report_47_flagged!BD29</f>
        <v>1</v>
      </c>
      <c r="W36" s="505" t="s">
        <v>2328</v>
      </c>
      <c r="X36" s="505" t="s">
        <v>2328</v>
      </c>
      <c r="Y36" s="503">
        <f>report_47_flagged!AP29</f>
        <v>9</v>
      </c>
      <c r="Z36" s="505" t="s">
        <v>2328</v>
      </c>
      <c r="AA36" s="505" t="s">
        <v>2328</v>
      </c>
      <c r="AB36" s="503">
        <f>report_47_flagged!AR29</f>
        <v>9</v>
      </c>
      <c r="AC36" s="505" t="s">
        <v>2328</v>
      </c>
      <c r="AD36" s="505" t="s">
        <v>2328</v>
      </c>
      <c r="AE36" s="503">
        <f>report_47_flagged!AT29</f>
        <v>9</v>
      </c>
      <c r="AF36" s="505" t="s">
        <v>2328</v>
      </c>
      <c r="AG36" s="505" t="s">
        <v>2328</v>
      </c>
      <c r="AH36" s="503">
        <f>report_47_flagged!AV29</f>
        <v>9</v>
      </c>
      <c r="AI36" s="505" t="s">
        <v>2328</v>
      </c>
      <c r="AJ36" s="505" t="s">
        <v>2328</v>
      </c>
      <c r="AK36" s="503">
        <f>report_47_flagged!AX29</f>
        <v>9</v>
      </c>
    </row>
    <row r="37" spans="1:37" ht="15.75">
      <c r="A37" s="43">
        <v>2023</v>
      </c>
      <c r="B37" s="43" t="str">
        <f>LEFT([1]report_47_flagged!B30,2)</f>
        <v>47</v>
      </c>
      <c r="C37" s="43">
        <f>report_47_flagged!E30</f>
        <v>2000</v>
      </c>
      <c r="D37" s="134">
        <f>report_47_flagged!AM30</f>
        <v>2080.1999999999998</v>
      </c>
      <c r="E37" s="43" t="str">
        <f>report_47_flagged!D30</f>
        <v>McLane-PARFLUX-Mark78H-21 ; frame# 14182-01, controller# 11741-01 and Motor # 14182-01 Cup set Ex21</v>
      </c>
      <c r="F37" s="43"/>
      <c r="G37" s="43"/>
      <c r="H37" s="43">
        <f>report_47_flagged!C30</f>
        <v>4</v>
      </c>
      <c r="I37" s="43">
        <f>report_47_flagged!F30</f>
        <v>4</v>
      </c>
      <c r="J37" s="89">
        <f>report_47_flagged!AC30</f>
        <v>45113</v>
      </c>
      <c r="K37" s="89">
        <f>report_47_flagged!AD30</f>
        <v>45128</v>
      </c>
      <c r="L37" s="89">
        <f>report_47_flagged!AE30</f>
        <v>45120.5</v>
      </c>
      <c r="M37" s="503">
        <f>report_47_flagged!AF30</f>
        <v>15</v>
      </c>
      <c r="N37" s="193">
        <f>report_47_flagged!H30</f>
        <v>8.6704761904761902</v>
      </c>
      <c r="O37" s="193">
        <f t="shared" si="0"/>
        <v>5.202285714285714E-3</v>
      </c>
      <c r="P37" s="503">
        <f>report_47_flagged!J30</f>
        <v>4</v>
      </c>
      <c r="Q37" s="547">
        <f>report_47_flagged!BA30</f>
        <v>40.98</v>
      </c>
      <c r="R37" s="547">
        <f t="shared" si="1"/>
        <v>0.90155999999999992</v>
      </c>
      <c r="S37" s="548">
        <f>report_47_flagged!BB30</f>
        <v>1</v>
      </c>
      <c r="T37" s="547">
        <f>report_47_flagged!BC30</f>
        <v>8.4499999999999993</v>
      </c>
      <c r="U37" s="547">
        <f t="shared" si="2"/>
        <v>0.24504999999999999</v>
      </c>
      <c r="V37" s="548">
        <f>report_47_flagged!BD30</f>
        <v>1</v>
      </c>
      <c r="W37" s="505" t="s">
        <v>2328</v>
      </c>
      <c r="X37" s="505" t="s">
        <v>2328</v>
      </c>
      <c r="Y37" s="503">
        <f>report_47_flagged!AP30</f>
        <v>9</v>
      </c>
      <c r="Z37" s="505" t="s">
        <v>2328</v>
      </c>
      <c r="AA37" s="505" t="s">
        <v>2328</v>
      </c>
      <c r="AB37" s="503">
        <f>report_47_flagged!AR30</f>
        <v>9</v>
      </c>
      <c r="AC37" s="505" t="s">
        <v>2328</v>
      </c>
      <c r="AD37" s="505" t="s">
        <v>2328</v>
      </c>
      <c r="AE37" s="503">
        <f>report_47_flagged!AT30</f>
        <v>9</v>
      </c>
      <c r="AF37" s="505" t="s">
        <v>2328</v>
      </c>
      <c r="AG37" s="505" t="s">
        <v>2328</v>
      </c>
      <c r="AH37" s="503">
        <f>report_47_flagged!AV30</f>
        <v>9</v>
      </c>
      <c r="AI37" s="505" t="s">
        <v>2328</v>
      </c>
      <c r="AJ37" s="505" t="s">
        <v>2328</v>
      </c>
      <c r="AK37" s="503">
        <f>report_47_flagged!AX30</f>
        <v>9</v>
      </c>
    </row>
    <row r="38" spans="1:37" ht="15.75">
      <c r="A38" s="43">
        <v>2023</v>
      </c>
      <c r="B38" s="43" t="str">
        <f>LEFT([1]report_47_flagged!B31,2)</f>
        <v>47</v>
      </c>
      <c r="C38" s="43">
        <f>report_47_flagged!E31</f>
        <v>2000</v>
      </c>
      <c r="D38" s="134">
        <f>report_47_flagged!AM31</f>
        <v>2080.1999999999998</v>
      </c>
      <c r="E38" s="43" t="str">
        <f>report_47_flagged!D31</f>
        <v>McLane-PARFLUX-Mark78H-21 ; frame# 14182-01, controller# 11741-01 and Motor # 14182-01 Cup set Ex21</v>
      </c>
      <c r="F38" s="43"/>
      <c r="G38" s="43"/>
      <c r="H38" s="43">
        <f>report_47_flagged!C31</f>
        <v>5</v>
      </c>
      <c r="I38" s="43">
        <f>report_47_flagged!F31</f>
        <v>4</v>
      </c>
      <c r="J38" s="89">
        <f>report_47_flagged!AC31</f>
        <v>45128</v>
      </c>
      <c r="K38" s="89">
        <f>report_47_flagged!AD31</f>
        <v>45143</v>
      </c>
      <c r="L38" s="89">
        <f>report_47_flagged!AE31</f>
        <v>45135.5</v>
      </c>
      <c r="M38" s="503">
        <f>report_47_flagged!AF31</f>
        <v>15</v>
      </c>
      <c r="N38" s="193">
        <f>report_47_flagged!H31</f>
        <v>21.792380952380952</v>
      </c>
      <c r="O38" s="193">
        <f t="shared" si="0"/>
        <v>1.3075428571428569E-2</v>
      </c>
      <c r="P38" s="503">
        <f>report_47_flagged!J31</f>
        <v>4</v>
      </c>
      <c r="Q38" s="547">
        <f>report_47_flagged!BA31</f>
        <v>41.2</v>
      </c>
      <c r="R38" s="547">
        <f t="shared" si="1"/>
        <v>0.90639999999999998</v>
      </c>
      <c r="S38" s="548">
        <f>report_47_flagged!BB31</f>
        <v>1</v>
      </c>
      <c r="T38" s="547">
        <f>report_47_flagged!BC31</f>
        <v>8.27</v>
      </c>
      <c r="U38" s="547">
        <f t="shared" si="2"/>
        <v>0.23982999999999999</v>
      </c>
      <c r="V38" s="548">
        <f>report_47_flagged!BD31</f>
        <v>1</v>
      </c>
      <c r="W38" s="505" t="s">
        <v>2328</v>
      </c>
      <c r="X38" s="505" t="s">
        <v>2328</v>
      </c>
      <c r="Y38" s="503">
        <f>report_47_flagged!AP31</f>
        <v>9</v>
      </c>
      <c r="Z38" s="505" t="s">
        <v>2328</v>
      </c>
      <c r="AA38" s="505" t="s">
        <v>2328</v>
      </c>
      <c r="AB38" s="503">
        <f>report_47_flagged!AR31</f>
        <v>9</v>
      </c>
      <c r="AC38" s="505" t="s">
        <v>2328</v>
      </c>
      <c r="AD38" s="505" t="s">
        <v>2328</v>
      </c>
      <c r="AE38" s="503">
        <f>report_47_flagged!AT31</f>
        <v>9</v>
      </c>
      <c r="AF38" s="505" t="s">
        <v>2328</v>
      </c>
      <c r="AG38" s="505" t="s">
        <v>2328</v>
      </c>
      <c r="AH38" s="503">
        <f>report_47_flagged!AV31</f>
        <v>9</v>
      </c>
      <c r="AI38" s="505" t="s">
        <v>2328</v>
      </c>
      <c r="AJ38" s="505" t="s">
        <v>2328</v>
      </c>
      <c r="AK38" s="503">
        <f>report_47_flagged!AX31</f>
        <v>9</v>
      </c>
    </row>
    <row r="39" spans="1:37" ht="15.75">
      <c r="A39" s="43">
        <v>2023</v>
      </c>
      <c r="B39" s="43" t="str">
        <f>LEFT([1]report_47_flagged!B32,2)</f>
        <v>47</v>
      </c>
      <c r="C39" s="43">
        <f>report_47_flagged!E32</f>
        <v>2000</v>
      </c>
      <c r="D39" s="134">
        <f>report_47_flagged!AM32</f>
        <v>2080.1999999999998</v>
      </c>
      <c r="E39" s="43" t="str">
        <f>report_47_flagged!D32</f>
        <v>McLane-PARFLUX-Mark78H-21 ; frame# 14182-01, controller# 11741-01 and Motor # 14182-01 Cup set Ex21</v>
      </c>
      <c r="F39" s="43"/>
      <c r="G39" s="43"/>
      <c r="H39" s="43">
        <f>report_47_flagged!C32</f>
        <v>6</v>
      </c>
      <c r="I39" s="43">
        <f>report_47_flagged!F32</f>
        <v>4</v>
      </c>
      <c r="J39" s="89">
        <f>report_47_flagged!AC32</f>
        <v>45143</v>
      </c>
      <c r="K39" s="89">
        <f>report_47_flagged!AD32</f>
        <v>45158</v>
      </c>
      <c r="L39" s="89">
        <f>report_47_flagged!AE32</f>
        <v>45150.5</v>
      </c>
      <c r="M39" s="503">
        <f>report_47_flagged!AF32</f>
        <v>15</v>
      </c>
      <c r="N39" s="193">
        <f>report_47_flagged!H32</f>
        <v>12.592380952380951</v>
      </c>
      <c r="O39" s="193">
        <f t="shared" si="0"/>
        <v>7.5554285714285697E-3</v>
      </c>
      <c r="P39" s="503">
        <f>report_47_flagged!J32</f>
        <v>4</v>
      </c>
      <c r="Q39" s="547">
        <f>report_47_flagged!BA32</f>
        <v>40.96</v>
      </c>
      <c r="R39" s="547">
        <f t="shared" si="1"/>
        <v>0.90111999999999992</v>
      </c>
      <c r="S39" s="548">
        <f>report_47_flagged!BB32</f>
        <v>1</v>
      </c>
      <c r="T39" s="547">
        <f>report_47_flagged!BC32</f>
        <v>8.4499999999999993</v>
      </c>
      <c r="U39" s="547">
        <f t="shared" si="2"/>
        <v>0.24504999999999999</v>
      </c>
      <c r="V39" s="548">
        <f>report_47_flagged!BD32</f>
        <v>1</v>
      </c>
      <c r="W39" s="505" t="s">
        <v>2328</v>
      </c>
      <c r="X39" s="505" t="s">
        <v>2328</v>
      </c>
      <c r="Y39" s="503">
        <f>report_47_flagged!AP32</f>
        <v>9</v>
      </c>
      <c r="Z39" s="505" t="s">
        <v>2328</v>
      </c>
      <c r="AA39" s="505" t="s">
        <v>2328</v>
      </c>
      <c r="AB39" s="503">
        <f>report_47_flagged!AR32</f>
        <v>9</v>
      </c>
      <c r="AC39" s="505" t="s">
        <v>2328</v>
      </c>
      <c r="AD39" s="505" t="s">
        <v>2328</v>
      </c>
      <c r="AE39" s="503">
        <f>report_47_flagged!AT32</f>
        <v>9</v>
      </c>
      <c r="AF39" s="505" t="s">
        <v>2328</v>
      </c>
      <c r="AG39" s="505" t="s">
        <v>2328</v>
      </c>
      <c r="AH39" s="503">
        <f>report_47_flagged!AV32</f>
        <v>9</v>
      </c>
      <c r="AI39" s="505" t="s">
        <v>2328</v>
      </c>
      <c r="AJ39" s="505" t="s">
        <v>2328</v>
      </c>
      <c r="AK39" s="503">
        <f>report_47_flagged!AX32</f>
        <v>9</v>
      </c>
    </row>
    <row r="40" spans="1:37" ht="15.75">
      <c r="A40" s="43">
        <v>2023</v>
      </c>
      <c r="B40" s="43" t="str">
        <f>LEFT([1]report_47_flagged!B33,2)</f>
        <v>47</v>
      </c>
      <c r="C40" s="43">
        <f>report_47_flagged!E33</f>
        <v>2000</v>
      </c>
      <c r="D40" s="134">
        <f>report_47_flagged!AM33</f>
        <v>2080.1999999999998</v>
      </c>
      <c r="E40" s="43" t="str">
        <f>report_47_flagged!D33</f>
        <v>McLane-PARFLUX-Mark78H-21 ; frame# 14182-01, controller# 11741-01 and Motor # 14182-01 Cup set Ex21</v>
      </c>
      <c r="F40" s="43"/>
      <c r="G40" s="43"/>
      <c r="H40" s="43">
        <f>report_47_flagged!C33</f>
        <v>7</v>
      </c>
      <c r="I40" s="43">
        <f>report_47_flagged!F33</f>
        <v>4</v>
      </c>
      <c r="J40" s="89">
        <f>report_47_flagged!AC33</f>
        <v>45158</v>
      </c>
      <c r="K40" s="89">
        <f>report_47_flagged!AD33</f>
        <v>45173</v>
      </c>
      <c r="L40" s="89">
        <f>report_47_flagged!AE33</f>
        <v>45165.5</v>
      </c>
      <c r="M40" s="503">
        <f>report_47_flagged!AF33</f>
        <v>15</v>
      </c>
      <c r="N40" s="193">
        <f>report_47_flagged!H33</f>
        <v>3.344761904761905</v>
      </c>
      <c r="O40" s="193">
        <f t="shared" si="0"/>
        <v>2.0068571428571427E-3</v>
      </c>
      <c r="P40" s="503">
        <f>report_47_flagged!J33</f>
        <v>4</v>
      </c>
      <c r="Q40" s="547">
        <f>report_47_flagged!BA33</f>
        <v>41.08</v>
      </c>
      <c r="R40" s="547">
        <f t="shared" si="1"/>
        <v>0.9037599999999999</v>
      </c>
      <c r="S40" s="548">
        <f>report_47_flagged!BB33</f>
        <v>1</v>
      </c>
      <c r="T40" s="547">
        <f>report_47_flagged!BC33</f>
        <v>8.59</v>
      </c>
      <c r="U40" s="547">
        <f t="shared" si="2"/>
        <v>0.24911</v>
      </c>
      <c r="V40" s="548">
        <f>report_47_flagged!BD33</f>
        <v>1</v>
      </c>
      <c r="W40" s="505" t="s">
        <v>2328</v>
      </c>
      <c r="X40" s="505" t="s">
        <v>2328</v>
      </c>
      <c r="Y40" s="503">
        <f>report_47_flagged!AP33</f>
        <v>9</v>
      </c>
      <c r="Z40" s="505" t="s">
        <v>2328</v>
      </c>
      <c r="AA40" s="505" t="s">
        <v>2328</v>
      </c>
      <c r="AB40" s="503">
        <f>report_47_flagged!AR33</f>
        <v>9</v>
      </c>
      <c r="AC40" s="505" t="s">
        <v>2328</v>
      </c>
      <c r="AD40" s="505" t="s">
        <v>2328</v>
      </c>
      <c r="AE40" s="503">
        <f>report_47_flagged!AT33</f>
        <v>9</v>
      </c>
      <c r="AF40" s="505" t="s">
        <v>2328</v>
      </c>
      <c r="AG40" s="505" t="s">
        <v>2328</v>
      </c>
      <c r="AH40" s="503">
        <f>report_47_flagged!AV33</f>
        <v>9</v>
      </c>
      <c r="AI40" s="505" t="s">
        <v>2328</v>
      </c>
      <c r="AJ40" s="505" t="s">
        <v>2328</v>
      </c>
      <c r="AK40" s="503">
        <f>report_47_flagged!AX33</f>
        <v>9</v>
      </c>
    </row>
    <row r="41" spans="1:37" ht="15.75">
      <c r="A41" s="43">
        <v>2023</v>
      </c>
      <c r="B41" s="43" t="str">
        <f>LEFT([1]report_47_flagged!B34,2)</f>
        <v>47</v>
      </c>
      <c r="C41" s="43">
        <f>report_47_flagged!E34</f>
        <v>2000</v>
      </c>
      <c r="D41" s="134">
        <f>report_47_flagged!AM34</f>
        <v>2080.1999999999998</v>
      </c>
      <c r="E41" s="43" t="str">
        <f>report_47_flagged!D34</f>
        <v>McLane-PARFLUX-Mark78H-21 ; frame# 14182-01, controller# 11741-01 and Motor # 14182-01 Cup set Ex21</v>
      </c>
      <c r="F41" s="43"/>
      <c r="G41" s="43"/>
      <c r="H41" s="43">
        <f>report_47_flagged!C34</f>
        <v>8</v>
      </c>
      <c r="I41" s="43">
        <f>report_47_flagged!F34</f>
        <v>4</v>
      </c>
      <c r="J41" s="89">
        <f>report_47_flagged!AC34</f>
        <v>45173</v>
      </c>
      <c r="K41" s="89">
        <f>report_47_flagged!AD34</f>
        <v>45188</v>
      </c>
      <c r="L41" s="89">
        <f>report_47_flagged!AE34</f>
        <v>45180.5</v>
      </c>
      <c r="M41" s="503">
        <f>report_47_flagged!AF34</f>
        <v>15</v>
      </c>
      <c r="N41" s="193">
        <f>report_47_flagged!H34</f>
        <v>4.0647619047619044</v>
      </c>
      <c r="O41" s="193">
        <f t="shared" si="0"/>
        <v>2.4388571428571424E-3</v>
      </c>
      <c r="P41" s="503">
        <f>report_47_flagged!J34</f>
        <v>4</v>
      </c>
      <c r="Q41" s="547">
        <f>report_47_flagged!BA34</f>
        <v>41.06</v>
      </c>
      <c r="R41" s="547">
        <f t="shared" si="1"/>
        <v>0.90332000000000001</v>
      </c>
      <c r="S41" s="548">
        <f>report_47_flagged!BB34</f>
        <v>1</v>
      </c>
      <c r="T41" s="547">
        <f>report_47_flagged!BC34</f>
        <v>8.6300000000000008</v>
      </c>
      <c r="U41" s="547">
        <f t="shared" si="2"/>
        <v>0.25027000000000005</v>
      </c>
      <c r="V41" s="548">
        <f>report_47_flagged!BD34</f>
        <v>1</v>
      </c>
      <c r="W41" s="505" t="s">
        <v>2328</v>
      </c>
      <c r="X41" s="505" t="s">
        <v>2328</v>
      </c>
      <c r="Y41" s="503">
        <f>report_47_flagged!AP34</f>
        <v>9</v>
      </c>
      <c r="Z41" s="505" t="s">
        <v>2328</v>
      </c>
      <c r="AA41" s="505" t="s">
        <v>2328</v>
      </c>
      <c r="AB41" s="503">
        <f>report_47_flagged!AR34</f>
        <v>9</v>
      </c>
      <c r="AC41" s="505" t="s">
        <v>2328</v>
      </c>
      <c r="AD41" s="505" t="s">
        <v>2328</v>
      </c>
      <c r="AE41" s="503">
        <f>report_47_flagged!AT34</f>
        <v>9</v>
      </c>
      <c r="AF41" s="505" t="s">
        <v>2328</v>
      </c>
      <c r="AG41" s="505" t="s">
        <v>2328</v>
      </c>
      <c r="AH41" s="503">
        <f>report_47_flagged!AV34</f>
        <v>9</v>
      </c>
      <c r="AI41" s="505" t="s">
        <v>2328</v>
      </c>
      <c r="AJ41" s="505" t="s">
        <v>2328</v>
      </c>
      <c r="AK41" s="503">
        <f>report_47_flagged!AX34</f>
        <v>9</v>
      </c>
    </row>
    <row r="42" spans="1:37" ht="15.75">
      <c r="A42" s="43">
        <v>2023</v>
      </c>
      <c r="B42" s="43" t="str">
        <f>LEFT([1]report_47_flagged!B35,2)</f>
        <v>47</v>
      </c>
      <c r="C42" s="43">
        <f>report_47_flagged!E35</f>
        <v>2000</v>
      </c>
      <c r="D42" s="134">
        <f>report_47_flagged!AM35</f>
        <v>2080.1999999999998</v>
      </c>
      <c r="E42" s="43" t="str">
        <f>report_47_flagged!D35</f>
        <v>McLane-PARFLUX-Mark78H-21 ; frame# 14182-01, controller# 11741-01 and Motor # 14182-01 Cup set Ex21</v>
      </c>
      <c r="F42" s="43"/>
      <c r="G42" s="43"/>
      <c r="H42" s="43">
        <f>report_47_flagged!C35</f>
        <v>9</v>
      </c>
      <c r="I42" s="43">
        <f>report_47_flagged!F35</f>
        <v>4</v>
      </c>
      <c r="J42" s="89">
        <f>report_47_flagged!AC35</f>
        <v>45188</v>
      </c>
      <c r="K42" s="89">
        <f>report_47_flagged!AD35</f>
        <v>45203</v>
      </c>
      <c r="L42" s="89">
        <f>report_47_flagged!AE35</f>
        <v>45195.5</v>
      </c>
      <c r="M42" s="503">
        <f>report_47_flagged!AF35</f>
        <v>15</v>
      </c>
      <c r="N42" s="193">
        <f>report_47_flagged!H35</f>
        <v>12.331428571428573</v>
      </c>
      <c r="O42" s="193">
        <f t="shared" si="0"/>
        <v>7.3988571428571428E-3</v>
      </c>
      <c r="P42" s="503">
        <f>report_47_flagged!J35</f>
        <v>4</v>
      </c>
      <c r="Q42" s="547">
        <f>report_47_flagged!BA35</f>
        <v>41.09</v>
      </c>
      <c r="R42" s="547">
        <f t="shared" si="1"/>
        <v>0.90398000000000001</v>
      </c>
      <c r="S42" s="548">
        <f>report_47_flagged!BB35</f>
        <v>1</v>
      </c>
      <c r="T42" s="547">
        <f>report_47_flagged!BC35</f>
        <v>8.5500000000000007</v>
      </c>
      <c r="U42" s="547">
        <f t="shared" si="2"/>
        <v>0.24795000000000003</v>
      </c>
      <c r="V42" s="548">
        <f>report_47_flagged!BD35</f>
        <v>1</v>
      </c>
      <c r="W42" s="505" t="s">
        <v>2328</v>
      </c>
      <c r="X42" s="505" t="s">
        <v>2328</v>
      </c>
      <c r="Y42" s="503">
        <f>report_47_flagged!AP35</f>
        <v>9</v>
      </c>
      <c r="Z42" s="505" t="s">
        <v>2328</v>
      </c>
      <c r="AA42" s="505" t="s">
        <v>2328</v>
      </c>
      <c r="AB42" s="503">
        <f>report_47_flagged!AR35</f>
        <v>9</v>
      </c>
      <c r="AC42" s="505" t="s">
        <v>2328</v>
      </c>
      <c r="AD42" s="505" t="s">
        <v>2328</v>
      </c>
      <c r="AE42" s="503">
        <f>report_47_flagged!AT35</f>
        <v>9</v>
      </c>
      <c r="AF42" s="505" t="s">
        <v>2328</v>
      </c>
      <c r="AG42" s="505" t="s">
        <v>2328</v>
      </c>
      <c r="AH42" s="503">
        <f>report_47_flagged!AV35</f>
        <v>9</v>
      </c>
      <c r="AI42" s="505" t="s">
        <v>2328</v>
      </c>
      <c r="AJ42" s="505" t="s">
        <v>2328</v>
      </c>
      <c r="AK42" s="503">
        <f>report_47_flagged!AX35</f>
        <v>9</v>
      </c>
    </row>
    <row r="43" spans="1:37" ht="15.75">
      <c r="A43" s="43">
        <v>2023</v>
      </c>
      <c r="B43" s="43" t="str">
        <f>LEFT([1]report_47_flagged!B36,2)</f>
        <v>47</v>
      </c>
      <c r="C43" s="43">
        <f>report_47_flagged!E36</f>
        <v>2000</v>
      </c>
      <c r="D43" s="134">
        <f>report_47_flagged!AM36</f>
        <v>2080.1999999999998</v>
      </c>
      <c r="E43" s="43" t="str">
        <f>report_47_flagged!D36</f>
        <v>McLane-PARFLUX-Mark78H-21 ; frame# 14182-01, controller# 11741-01 and Motor # 14182-01 Cup set Ex21</v>
      </c>
      <c r="F43" s="43"/>
      <c r="G43" s="43"/>
      <c r="H43" s="43">
        <f>report_47_flagged!C36</f>
        <v>10</v>
      </c>
      <c r="I43" s="43">
        <f>report_47_flagged!F36</f>
        <v>4</v>
      </c>
      <c r="J43" s="89">
        <f>report_47_flagged!AC36</f>
        <v>45203</v>
      </c>
      <c r="K43" s="89">
        <f>report_47_flagged!AD36</f>
        <v>45218</v>
      </c>
      <c r="L43" s="89">
        <f>report_47_flagged!AE36</f>
        <v>45210.5</v>
      </c>
      <c r="M43" s="503">
        <f>report_47_flagged!AF36</f>
        <v>15</v>
      </c>
      <c r="N43" s="193">
        <f>report_47_flagged!H36</f>
        <v>4.5047619047619047</v>
      </c>
      <c r="O43" s="193">
        <f t="shared" si="0"/>
        <v>2.7028571428571427E-3</v>
      </c>
      <c r="P43" s="503">
        <f>report_47_flagged!J36</f>
        <v>4</v>
      </c>
      <c r="Q43" s="547">
        <f>report_47_flagged!BA36</f>
        <v>41.14</v>
      </c>
      <c r="R43" s="547">
        <f t="shared" si="1"/>
        <v>0.90508</v>
      </c>
      <c r="S43" s="548">
        <f>report_47_flagged!BB36</f>
        <v>1</v>
      </c>
      <c r="T43" s="547">
        <f>report_47_flagged!BC36</f>
        <v>8.6300000000000008</v>
      </c>
      <c r="U43" s="547">
        <f t="shared" si="2"/>
        <v>0.25027000000000005</v>
      </c>
      <c r="V43" s="548">
        <f>report_47_flagged!BD36</f>
        <v>1</v>
      </c>
      <c r="W43" s="505" t="s">
        <v>2328</v>
      </c>
      <c r="X43" s="505" t="s">
        <v>2328</v>
      </c>
      <c r="Y43" s="503">
        <f>report_47_flagged!AP36</f>
        <v>9</v>
      </c>
      <c r="Z43" s="505" t="s">
        <v>2328</v>
      </c>
      <c r="AA43" s="505" t="s">
        <v>2328</v>
      </c>
      <c r="AB43" s="503">
        <f>report_47_flagged!AR36</f>
        <v>9</v>
      </c>
      <c r="AC43" s="505" t="s">
        <v>2328</v>
      </c>
      <c r="AD43" s="505" t="s">
        <v>2328</v>
      </c>
      <c r="AE43" s="503">
        <f>report_47_flagged!AT36</f>
        <v>9</v>
      </c>
      <c r="AF43" s="505" t="s">
        <v>2328</v>
      </c>
      <c r="AG43" s="505" t="s">
        <v>2328</v>
      </c>
      <c r="AH43" s="503">
        <f>report_47_flagged!AV36</f>
        <v>9</v>
      </c>
      <c r="AI43" s="505" t="s">
        <v>2328</v>
      </c>
      <c r="AJ43" s="505" t="s">
        <v>2328</v>
      </c>
      <c r="AK43" s="503">
        <f>report_47_flagged!AX36</f>
        <v>9</v>
      </c>
    </row>
    <row r="44" spans="1:37" ht="15.75">
      <c r="A44" s="43">
        <v>2023</v>
      </c>
      <c r="B44" s="43" t="str">
        <f>LEFT([1]report_47_flagged!B37,2)</f>
        <v>47</v>
      </c>
      <c r="C44" s="43">
        <f>report_47_flagged!E37</f>
        <v>2000</v>
      </c>
      <c r="D44" s="134">
        <f>report_47_flagged!AM37</f>
        <v>2080.1999999999998</v>
      </c>
      <c r="E44" s="43" t="str">
        <f>report_47_flagged!D37</f>
        <v>McLane-PARFLUX-Mark78H-21 ; frame# 14182-01, controller# 11741-01 and Motor # 14182-01 Cup set Ex21</v>
      </c>
      <c r="F44" s="43"/>
      <c r="G44" s="43"/>
      <c r="H44" s="43">
        <f>report_47_flagged!C37</f>
        <v>11</v>
      </c>
      <c r="I44" s="43">
        <f>report_47_flagged!F37</f>
        <v>4</v>
      </c>
      <c r="J44" s="89">
        <f>report_47_flagged!AC37</f>
        <v>45218</v>
      </c>
      <c r="K44" s="89">
        <f>report_47_flagged!AD37</f>
        <v>45233</v>
      </c>
      <c r="L44" s="89">
        <f>report_47_flagged!AE37</f>
        <v>45225.5</v>
      </c>
      <c r="M44" s="503">
        <f>report_47_flagged!AF37</f>
        <v>15</v>
      </c>
      <c r="N44" s="193" t="str">
        <f>report_47_flagged!H37</f>
        <v>NaN</v>
      </c>
      <c r="O44" s="193" t="s">
        <v>2328</v>
      </c>
      <c r="P44" s="503">
        <f>report_47_flagged!J37</f>
        <v>9</v>
      </c>
      <c r="Q44" s="547">
        <f>report_47_flagged!BA37</f>
        <v>41.1</v>
      </c>
      <c r="R44" s="547">
        <f t="shared" si="1"/>
        <v>0.9042</v>
      </c>
      <c r="S44" s="548">
        <f>report_47_flagged!BB37</f>
        <v>1</v>
      </c>
      <c r="T44" s="547">
        <f>report_47_flagged!BC37</f>
        <v>8.6199999999999992</v>
      </c>
      <c r="U44" s="547">
        <f t="shared" si="2"/>
        <v>0.24997999999999998</v>
      </c>
      <c r="V44" s="548">
        <f>report_47_flagged!BD37</f>
        <v>1</v>
      </c>
      <c r="W44" s="505" t="s">
        <v>2328</v>
      </c>
      <c r="X44" s="505" t="s">
        <v>2328</v>
      </c>
      <c r="Y44" s="503">
        <f>report_47_flagged!AP37</f>
        <v>9</v>
      </c>
      <c r="Z44" s="505" t="s">
        <v>2328</v>
      </c>
      <c r="AA44" s="505" t="s">
        <v>2328</v>
      </c>
      <c r="AB44" s="503">
        <f>report_47_flagged!AR37</f>
        <v>9</v>
      </c>
      <c r="AC44" s="505" t="s">
        <v>2328</v>
      </c>
      <c r="AD44" s="505" t="s">
        <v>2328</v>
      </c>
      <c r="AE44" s="503">
        <f>report_47_flagged!AT37</f>
        <v>9</v>
      </c>
      <c r="AF44" s="505" t="s">
        <v>2328</v>
      </c>
      <c r="AG44" s="505" t="s">
        <v>2328</v>
      </c>
      <c r="AH44" s="503">
        <f>report_47_flagged!AV37</f>
        <v>9</v>
      </c>
      <c r="AI44" s="505" t="s">
        <v>2328</v>
      </c>
      <c r="AJ44" s="505" t="s">
        <v>2328</v>
      </c>
      <c r="AK44" s="503">
        <f>report_47_flagged!AX37</f>
        <v>9</v>
      </c>
    </row>
    <row r="45" spans="1:37" ht="15.75">
      <c r="A45" s="43">
        <v>2023</v>
      </c>
      <c r="B45" s="43" t="str">
        <f>LEFT([1]report_47_flagged!B38,2)</f>
        <v>47</v>
      </c>
      <c r="C45" s="43">
        <f>report_47_flagged!E38</f>
        <v>2000</v>
      </c>
      <c r="D45" s="134">
        <f>report_47_flagged!AM38</f>
        <v>2080.1999999999998</v>
      </c>
      <c r="E45" s="43" t="str">
        <f>report_47_flagged!D38</f>
        <v>McLane-PARFLUX-Mark78H-21 ; frame# 14182-01, controller# 11741-01 and Motor # 14182-01 Cup set Ex21</v>
      </c>
      <c r="F45" s="43"/>
      <c r="G45" s="43"/>
      <c r="H45" s="43">
        <f>report_47_flagged!C38</f>
        <v>12</v>
      </c>
      <c r="I45" s="43">
        <f>report_47_flagged!F38</f>
        <v>4</v>
      </c>
      <c r="J45" s="89">
        <f>report_47_flagged!AC38</f>
        <v>45233</v>
      </c>
      <c r="K45" s="89">
        <f>report_47_flagged!AD38</f>
        <v>45248</v>
      </c>
      <c r="L45" s="89">
        <f>report_47_flagged!AE38</f>
        <v>45240.5</v>
      </c>
      <c r="M45" s="503">
        <f>report_47_flagged!AF38</f>
        <v>15</v>
      </c>
      <c r="N45" s="193">
        <f>report_47_flagged!H38</f>
        <v>0.49047619047619057</v>
      </c>
      <c r="O45" s="193">
        <f t="shared" si="0"/>
        <v>2.9428571428571432E-4</v>
      </c>
      <c r="P45" s="503">
        <f>report_47_flagged!J38</f>
        <v>4</v>
      </c>
      <c r="Q45" s="547">
        <f>report_47_flagged!BA38</f>
        <v>41.16</v>
      </c>
      <c r="R45" s="547">
        <f t="shared" si="1"/>
        <v>0.90551999999999988</v>
      </c>
      <c r="S45" s="548">
        <f>report_47_flagged!BB38</f>
        <v>1</v>
      </c>
      <c r="T45" s="547">
        <f>report_47_flagged!BC38</f>
        <v>8.68</v>
      </c>
      <c r="U45" s="547">
        <f t="shared" si="2"/>
        <v>0.25172</v>
      </c>
      <c r="V45" s="548">
        <f>report_47_flagged!BD38</f>
        <v>1</v>
      </c>
      <c r="W45" s="505" t="s">
        <v>2328</v>
      </c>
      <c r="X45" s="505" t="s">
        <v>2328</v>
      </c>
      <c r="Y45" s="503">
        <f>report_47_flagged!AP38</f>
        <v>9</v>
      </c>
      <c r="Z45" s="505" t="s">
        <v>2328</v>
      </c>
      <c r="AA45" s="505" t="s">
        <v>2328</v>
      </c>
      <c r="AB45" s="503">
        <f>report_47_flagged!AR38</f>
        <v>9</v>
      </c>
      <c r="AC45" s="505" t="s">
        <v>2328</v>
      </c>
      <c r="AD45" s="505" t="s">
        <v>2328</v>
      </c>
      <c r="AE45" s="503">
        <f>report_47_flagged!AT38</f>
        <v>9</v>
      </c>
      <c r="AF45" s="505" t="s">
        <v>2328</v>
      </c>
      <c r="AG45" s="505" t="s">
        <v>2328</v>
      </c>
      <c r="AH45" s="503">
        <f>report_47_flagged!AV38</f>
        <v>9</v>
      </c>
      <c r="AI45" s="505" t="s">
        <v>2328</v>
      </c>
      <c r="AJ45" s="505" t="s">
        <v>2328</v>
      </c>
      <c r="AK45" s="503">
        <f>report_47_flagged!AX38</f>
        <v>9</v>
      </c>
    </row>
    <row r="46" spans="1:37" ht="15.75">
      <c r="A46" s="43">
        <v>2023</v>
      </c>
      <c r="B46" s="43" t="str">
        <f>LEFT([1]report_47_flagged!B39,2)</f>
        <v>47</v>
      </c>
      <c r="C46" s="43">
        <f>report_47_flagged!E39</f>
        <v>2000</v>
      </c>
      <c r="D46" s="134">
        <f>report_47_flagged!AM39</f>
        <v>2080.1999999999998</v>
      </c>
      <c r="E46" s="43" t="str">
        <f>report_47_flagged!D39</f>
        <v>McLane-PARFLUX-Mark78H-21 ; frame# 14182-01, controller# 11741-01 and Motor # 14182-01 Cup set Ex21</v>
      </c>
      <c r="F46" s="43"/>
      <c r="G46" s="43"/>
      <c r="H46" s="43">
        <f>report_47_flagged!C39</f>
        <v>13</v>
      </c>
      <c r="I46" s="43">
        <f>report_47_flagged!F39</f>
        <v>4</v>
      </c>
      <c r="J46" s="89">
        <f>report_47_flagged!AC39</f>
        <v>45248</v>
      </c>
      <c r="K46" s="89">
        <f>report_47_flagged!AD39</f>
        <v>45263</v>
      </c>
      <c r="L46" s="89">
        <f>report_47_flagged!AE39</f>
        <v>45255.5</v>
      </c>
      <c r="M46" s="503">
        <f>report_47_flagged!AF39</f>
        <v>15</v>
      </c>
      <c r="N46" s="193" t="str">
        <f>report_47_flagged!H39</f>
        <v>NaN</v>
      </c>
      <c r="O46" s="193" t="s">
        <v>2328</v>
      </c>
      <c r="P46" s="503">
        <f>report_47_flagged!J39</f>
        <v>9</v>
      </c>
      <c r="Q46" s="547">
        <f>report_47_flagged!BA39</f>
        <v>41.269999999999996</v>
      </c>
      <c r="R46" s="547">
        <f t="shared" si="1"/>
        <v>0.90793999999999986</v>
      </c>
      <c r="S46" s="548">
        <f>report_47_flagged!BB39</f>
        <v>1</v>
      </c>
      <c r="T46" s="547">
        <f>report_47_flagged!BC39</f>
        <v>8.6449999999999996</v>
      </c>
      <c r="U46" s="547">
        <f t="shared" si="2"/>
        <v>0.25070500000000001</v>
      </c>
      <c r="V46" s="548">
        <f>report_47_flagged!BD39</f>
        <v>1</v>
      </c>
      <c r="W46" s="505" t="s">
        <v>2328</v>
      </c>
      <c r="X46" s="505" t="s">
        <v>2328</v>
      </c>
      <c r="Y46" s="503">
        <f>report_47_flagged!AP39</f>
        <v>9</v>
      </c>
      <c r="Z46" s="505" t="s">
        <v>2328</v>
      </c>
      <c r="AA46" s="505" t="s">
        <v>2328</v>
      </c>
      <c r="AB46" s="503">
        <f>report_47_flagged!AR39</f>
        <v>9</v>
      </c>
      <c r="AC46" s="505" t="s">
        <v>2328</v>
      </c>
      <c r="AD46" s="505" t="s">
        <v>2328</v>
      </c>
      <c r="AE46" s="503">
        <f>report_47_flagged!AT39</f>
        <v>9</v>
      </c>
      <c r="AF46" s="505" t="s">
        <v>2328</v>
      </c>
      <c r="AG46" s="505" t="s">
        <v>2328</v>
      </c>
      <c r="AH46" s="503">
        <f>report_47_flagged!AV39</f>
        <v>9</v>
      </c>
      <c r="AI46" s="505" t="s">
        <v>2328</v>
      </c>
      <c r="AJ46" s="505" t="s">
        <v>2328</v>
      </c>
      <c r="AK46" s="503">
        <f>report_47_flagged!AX39</f>
        <v>9</v>
      </c>
    </row>
    <row r="47" spans="1:37" ht="15.75">
      <c r="A47" s="43">
        <v>2023</v>
      </c>
      <c r="B47" s="43" t="str">
        <f>LEFT([1]report_47_flagged!B40,2)</f>
        <v>47</v>
      </c>
      <c r="C47" s="43">
        <f>report_47_flagged!E40</f>
        <v>2000</v>
      </c>
      <c r="D47" s="134">
        <f>report_47_flagged!AM40</f>
        <v>2080.1999999999998</v>
      </c>
      <c r="E47" s="43" t="str">
        <f>report_47_flagged!D40</f>
        <v>McLane-PARFLUX-Mark78H-21 ; frame# 14182-01, controller# 11741-01 and Motor # 14182-01 Cup set Ex21</v>
      </c>
      <c r="F47" s="43"/>
      <c r="G47" s="43"/>
      <c r="H47" s="43">
        <f>report_47_flagged!C40</f>
        <v>14</v>
      </c>
      <c r="I47" s="43">
        <f>report_47_flagged!F40</f>
        <v>4</v>
      </c>
      <c r="J47" s="89">
        <f>report_47_flagged!AC40</f>
        <v>45263</v>
      </c>
      <c r="K47" s="89">
        <f>report_47_flagged!AD40</f>
        <v>45278</v>
      </c>
      <c r="L47" s="89">
        <f>report_47_flagged!AE40</f>
        <v>45270.5</v>
      </c>
      <c r="M47" s="503">
        <f>report_47_flagged!AF40</f>
        <v>15</v>
      </c>
      <c r="N47" s="193" t="str">
        <f>report_47_flagged!H40</f>
        <v>NaN</v>
      </c>
      <c r="O47" s="193" t="s">
        <v>2328</v>
      </c>
      <c r="P47" s="503">
        <f>report_47_flagged!J40</f>
        <v>9</v>
      </c>
      <c r="Q47" s="547">
        <f>report_47_flagged!BA40</f>
        <v>41.22</v>
      </c>
      <c r="R47" s="547">
        <f t="shared" si="1"/>
        <v>0.90683999999999987</v>
      </c>
      <c r="S47" s="548">
        <f>report_47_flagged!BB40</f>
        <v>1</v>
      </c>
      <c r="T47" s="547">
        <f>report_47_flagged!BC40</f>
        <v>8.7100000000000009</v>
      </c>
      <c r="U47" s="547">
        <f t="shared" si="2"/>
        <v>0.25259000000000004</v>
      </c>
      <c r="V47" s="548">
        <f>report_47_flagged!BD40</f>
        <v>1</v>
      </c>
      <c r="W47" s="505" t="s">
        <v>2328</v>
      </c>
      <c r="X47" s="505" t="s">
        <v>2328</v>
      </c>
      <c r="Y47" s="503">
        <f>report_47_flagged!AP40</f>
        <v>9</v>
      </c>
      <c r="Z47" s="505" t="s">
        <v>2328</v>
      </c>
      <c r="AA47" s="505" t="s">
        <v>2328</v>
      </c>
      <c r="AB47" s="503">
        <f>report_47_flagged!AR40</f>
        <v>9</v>
      </c>
      <c r="AC47" s="505" t="s">
        <v>2328</v>
      </c>
      <c r="AD47" s="505" t="s">
        <v>2328</v>
      </c>
      <c r="AE47" s="503">
        <f>report_47_flagged!AT40</f>
        <v>9</v>
      </c>
      <c r="AF47" s="505" t="s">
        <v>2328</v>
      </c>
      <c r="AG47" s="505" t="s">
        <v>2328</v>
      </c>
      <c r="AH47" s="503">
        <f>report_47_flagged!AV40</f>
        <v>9</v>
      </c>
      <c r="AI47" s="505" t="s">
        <v>2328</v>
      </c>
      <c r="AJ47" s="505" t="s">
        <v>2328</v>
      </c>
      <c r="AK47" s="503">
        <f>report_47_flagged!AX40</f>
        <v>9</v>
      </c>
    </row>
    <row r="48" spans="1:37" ht="15.75">
      <c r="A48" s="43">
        <v>2023</v>
      </c>
      <c r="B48" s="43" t="str">
        <f>LEFT([1]report_47_flagged!B41,2)</f>
        <v>47</v>
      </c>
      <c r="C48" s="43">
        <f>report_47_flagged!E41</f>
        <v>2000</v>
      </c>
      <c r="D48" s="134">
        <f>report_47_flagged!AM41</f>
        <v>2080.1999999999998</v>
      </c>
      <c r="E48" s="43" t="str">
        <f>report_47_flagged!D41</f>
        <v>McLane-PARFLUX-Mark78H-21 ; frame# 14182-01, controller# 11741-01 and Motor # 14182-01 Cup set Ex21</v>
      </c>
      <c r="F48" s="43"/>
      <c r="G48" s="43"/>
      <c r="H48" s="43">
        <f>report_47_flagged!C41</f>
        <v>15</v>
      </c>
      <c r="I48" s="43">
        <f>report_47_flagged!F41</f>
        <v>4</v>
      </c>
      <c r="J48" s="89">
        <f>report_47_flagged!AC41</f>
        <v>45278</v>
      </c>
      <c r="K48" s="89">
        <f>report_47_flagged!AD41</f>
        <v>45293</v>
      </c>
      <c r="L48" s="89">
        <f>report_47_flagged!AE41</f>
        <v>45285.5</v>
      </c>
      <c r="M48" s="503">
        <f>report_47_flagged!AF41</f>
        <v>15</v>
      </c>
      <c r="N48" s="193" t="str">
        <f>report_47_flagged!H41</f>
        <v>NaN</v>
      </c>
      <c r="O48" s="193" t="s">
        <v>2328</v>
      </c>
      <c r="P48" s="503">
        <f>report_47_flagged!J41</f>
        <v>9</v>
      </c>
      <c r="Q48" s="547">
        <f>report_47_flagged!BA41</f>
        <v>41.32</v>
      </c>
      <c r="R48" s="547">
        <f t="shared" si="1"/>
        <v>0.90903999999999996</v>
      </c>
      <c r="S48" s="548">
        <f>report_47_flagged!BB41</f>
        <v>1</v>
      </c>
      <c r="T48" s="547">
        <f>report_47_flagged!BC41</f>
        <v>8.66</v>
      </c>
      <c r="U48" s="547">
        <f t="shared" si="2"/>
        <v>0.25114000000000003</v>
      </c>
      <c r="V48" s="548">
        <f>report_47_flagged!BD41</f>
        <v>1</v>
      </c>
      <c r="W48" s="505" t="s">
        <v>2328</v>
      </c>
      <c r="X48" s="505" t="s">
        <v>2328</v>
      </c>
      <c r="Y48" s="503">
        <f>report_47_flagged!AP41</f>
        <v>9</v>
      </c>
      <c r="Z48" s="505" t="s">
        <v>2328</v>
      </c>
      <c r="AA48" s="505" t="s">
        <v>2328</v>
      </c>
      <c r="AB48" s="503">
        <f>report_47_flagged!AR41</f>
        <v>9</v>
      </c>
      <c r="AC48" s="505" t="s">
        <v>2328</v>
      </c>
      <c r="AD48" s="505" t="s">
        <v>2328</v>
      </c>
      <c r="AE48" s="503">
        <f>report_47_flagged!AT41</f>
        <v>9</v>
      </c>
      <c r="AF48" s="505" t="s">
        <v>2328</v>
      </c>
      <c r="AG48" s="505" t="s">
        <v>2328</v>
      </c>
      <c r="AH48" s="503">
        <f>report_47_flagged!AV41</f>
        <v>9</v>
      </c>
      <c r="AI48" s="505" t="s">
        <v>2328</v>
      </c>
      <c r="AJ48" s="505" t="s">
        <v>2328</v>
      </c>
      <c r="AK48" s="503">
        <f>report_47_flagged!AX41</f>
        <v>9</v>
      </c>
    </row>
    <row r="49" spans="1:37" ht="15.75">
      <c r="A49" s="43">
        <v>2023</v>
      </c>
      <c r="B49" s="43" t="str">
        <f>LEFT([1]report_47_flagged!B42,2)</f>
        <v>47</v>
      </c>
      <c r="C49" s="43">
        <f>report_47_flagged!E42</f>
        <v>2000</v>
      </c>
      <c r="D49" s="134">
        <f>report_47_flagged!AM42</f>
        <v>2080.1999999999998</v>
      </c>
      <c r="E49" s="43" t="str">
        <f>report_47_flagged!D42</f>
        <v>McLane-PARFLUX-Mark78H-21 ; frame# 14182-01, controller# 11741-01 and Motor # 14182-01 Cup set Ex21</v>
      </c>
      <c r="F49" s="43"/>
      <c r="G49" s="43"/>
      <c r="H49" s="43">
        <f>report_47_flagged!C42</f>
        <v>16</v>
      </c>
      <c r="I49" s="43">
        <f>report_47_flagged!F42</f>
        <v>4</v>
      </c>
      <c r="J49" s="89">
        <f>report_47_flagged!AC42</f>
        <v>45293</v>
      </c>
      <c r="K49" s="89">
        <f>report_47_flagged!AD42</f>
        <v>45308</v>
      </c>
      <c r="L49" s="89">
        <f>report_47_flagged!AE42</f>
        <v>45300.5</v>
      </c>
      <c r="M49" s="503">
        <f>report_47_flagged!AF42</f>
        <v>15</v>
      </c>
      <c r="N49" s="193" t="str">
        <f>report_47_flagged!H42</f>
        <v>NaN</v>
      </c>
      <c r="O49" s="551" t="s">
        <v>2328</v>
      </c>
      <c r="P49" s="503">
        <f>report_47_flagged!J42</f>
        <v>9</v>
      </c>
      <c r="Q49" s="547">
        <f>report_47_flagged!BA42</f>
        <v>41.23</v>
      </c>
      <c r="R49" s="547">
        <f t="shared" si="1"/>
        <v>0.90705999999999987</v>
      </c>
      <c r="S49" s="548">
        <f>report_47_flagged!BB42</f>
        <v>1</v>
      </c>
      <c r="T49" s="547">
        <f>report_47_flagged!BC42</f>
        <v>8.64</v>
      </c>
      <c r="U49" s="547">
        <f t="shared" si="2"/>
        <v>0.25056</v>
      </c>
      <c r="V49" s="548">
        <f>report_47_flagged!BD42</f>
        <v>1</v>
      </c>
      <c r="W49" s="505" t="s">
        <v>2328</v>
      </c>
      <c r="X49" s="505" t="s">
        <v>2328</v>
      </c>
      <c r="Y49" s="503">
        <f>report_47_flagged!AP42</f>
        <v>9</v>
      </c>
      <c r="Z49" s="505" t="s">
        <v>2328</v>
      </c>
      <c r="AA49" s="505" t="s">
        <v>2328</v>
      </c>
      <c r="AB49" s="503">
        <f>report_47_flagged!AR42</f>
        <v>9</v>
      </c>
      <c r="AC49" s="505" t="s">
        <v>2328</v>
      </c>
      <c r="AD49" s="505" t="s">
        <v>2328</v>
      </c>
      <c r="AE49" s="503">
        <f>report_47_flagged!AT42</f>
        <v>9</v>
      </c>
      <c r="AF49" s="505" t="s">
        <v>2328</v>
      </c>
      <c r="AG49" s="505" t="s">
        <v>2328</v>
      </c>
      <c r="AH49" s="503">
        <f>report_47_flagged!AV42</f>
        <v>9</v>
      </c>
      <c r="AI49" s="505" t="s">
        <v>2328</v>
      </c>
      <c r="AJ49" s="505" t="s">
        <v>2328</v>
      </c>
      <c r="AK49" s="503">
        <f>report_47_flagged!AX42</f>
        <v>9</v>
      </c>
    </row>
    <row r="50" spans="1:37" ht="15.75">
      <c r="A50" s="43">
        <v>2023</v>
      </c>
      <c r="B50" s="43" t="str">
        <f>LEFT([1]report_47_flagged!B43,2)</f>
        <v>47</v>
      </c>
      <c r="C50" s="43">
        <f>report_47_flagged!E43</f>
        <v>2000</v>
      </c>
      <c r="D50" s="134">
        <f>report_47_flagged!AM43</f>
        <v>2080.1999999999998</v>
      </c>
      <c r="E50" s="43" t="str">
        <f>report_47_flagged!D43</f>
        <v>McLane-PARFLUX-Mark78H-21 ; frame# 14182-01, controller# 11741-01 and Motor # 14182-01 Cup set Ex21</v>
      </c>
      <c r="F50" s="43"/>
      <c r="G50" s="43"/>
      <c r="H50" s="43">
        <f>report_47_flagged!C43</f>
        <v>17</v>
      </c>
      <c r="I50" s="43">
        <f>report_47_flagged!F43</f>
        <v>4</v>
      </c>
      <c r="J50" s="89">
        <f>report_47_flagged!AC43</f>
        <v>45308</v>
      </c>
      <c r="K50" s="89">
        <f>report_47_flagged!AD43</f>
        <v>45323</v>
      </c>
      <c r="L50" s="89">
        <f>report_47_flagged!AE43</f>
        <v>45315.5</v>
      </c>
      <c r="M50" s="503">
        <f>report_47_flagged!AF43</f>
        <v>15</v>
      </c>
      <c r="N50" s="193" t="str">
        <f>report_47_flagged!H43</f>
        <v>NaN</v>
      </c>
      <c r="O50" s="193" t="s">
        <v>2328</v>
      </c>
      <c r="P50" s="503">
        <f>report_47_flagged!J43</f>
        <v>9</v>
      </c>
      <c r="Q50" s="547">
        <f>report_47_flagged!BA43</f>
        <v>40.94</v>
      </c>
      <c r="R50" s="547">
        <f t="shared" si="1"/>
        <v>0.90067999999999993</v>
      </c>
      <c r="S50" s="548">
        <f>report_47_flagged!BB43</f>
        <v>1</v>
      </c>
      <c r="T50" s="547">
        <f>report_47_flagged!BC43</f>
        <v>8.64</v>
      </c>
      <c r="U50" s="547">
        <f t="shared" si="2"/>
        <v>0.25056</v>
      </c>
      <c r="V50" s="548">
        <f>report_47_flagged!BD43</f>
        <v>1</v>
      </c>
      <c r="W50" s="505" t="s">
        <v>2328</v>
      </c>
      <c r="X50" s="505" t="s">
        <v>2328</v>
      </c>
      <c r="Y50" s="503">
        <f>report_47_flagged!AP43</f>
        <v>9</v>
      </c>
      <c r="Z50" s="505" t="s">
        <v>2328</v>
      </c>
      <c r="AA50" s="505" t="s">
        <v>2328</v>
      </c>
      <c r="AB50" s="503">
        <f>report_47_flagged!AR43</f>
        <v>9</v>
      </c>
      <c r="AC50" s="505" t="s">
        <v>2328</v>
      </c>
      <c r="AD50" s="505" t="s">
        <v>2328</v>
      </c>
      <c r="AE50" s="503">
        <f>report_47_flagged!AT43</f>
        <v>9</v>
      </c>
      <c r="AF50" s="505" t="s">
        <v>2328</v>
      </c>
      <c r="AG50" s="505" t="s">
        <v>2328</v>
      </c>
      <c r="AH50" s="503">
        <f>report_47_flagged!AV43</f>
        <v>9</v>
      </c>
      <c r="AI50" s="505" t="s">
        <v>2328</v>
      </c>
      <c r="AJ50" s="505" t="s">
        <v>2328</v>
      </c>
      <c r="AK50" s="503">
        <f>report_47_flagged!AX43</f>
        <v>9</v>
      </c>
    </row>
    <row r="51" spans="1:37" ht="15.75">
      <c r="A51" s="43">
        <v>2023</v>
      </c>
      <c r="B51" s="43" t="str">
        <f>LEFT([1]report_47_flagged!B44,2)</f>
        <v>47</v>
      </c>
      <c r="C51" s="43">
        <f>report_47_flagged!E44</f>
        <v>2000</v>
      </c>
      <c r="D51" s="134">
        <f>report_47_flagged!AM44</f>
        <v>2080.1999999999998</v>
      </c>
      <c r="E51" s="43" t="str">
        <f>report_47_flagged!D44</f>
        <v>McLane-PARFLUX-Mark78H-21 ; frame# 14182-01, controller# 11741-01 and Motor # 14182-01 Cup set Ex21</v>
      </c>
      <c r="F51" s="43"/>
      <c r="G51" s="43"/>
      <c r="H51" s="43">
        <f>report_47_flagged!C44</f>
        <v>18</v>
      </c>
      <c r="I51" s="43">
        <f>report_47_flagged!F44</f>
        <v>4</v>
      </c>
      <c r="J51" s="89">
        <f>report_47_flagged!AC44</f>
        <v>45323</v>
      </c>
      <c r="K51" s="89">
        <f>report_47_flagged!AD44</f>
        <v>45338</v>
      </c>
      <c r="L51" s="89">
        <f>report_47_flagged!AE44</f>
        <v>45330.5</v>
      </c>
      <c r="M51" s="503">
        <f>report_47_flagged!AF44</f>
        <v>15</v>
      </c>
      <c r="N51" s="193" t="str">
        <f>report_47_flagged!H44</f>
        <v>NaN</v>
      </c>
      <c r="O51" s="193" t="s">
        <v>2328</v>
      </c>
      <c r="P51" s="503">
        <f>report_47_flagged!J44</f>
        <v>9</v>
      </c>
      <c r="Q51" s="547">
        <f>report_47_flagged!BA44</f>
        <v>41.03</v>
      </c>
      <c r="R51" s="547">
        <f t="shared" si="1"/>
        <v>0.90266000000000002</v>
      </c>
      <c r="S51" s="548">
        <f>report_47_flagged!BB44</f>
        <v>1</v>
      </c>
      <c r="T51" s="547">
        <f>report_47_flagged!BC44</f>
        <v>8.5</v>
      </c>
      <c r="U51" s="547">
        <f t="shared" si="2"/>
        <v>0.24650000000000002</v>
      </c>
      <c r="V51" s="548">
        <f>report_47_flagged!BD44</f>
        <v>1</v>
      </c>
      <c r="W51" s="505" t="s">
        <v>2328</v>
      </c>
      <c r="X51" s="505" t="s">
        <v>2328</v>
      </c>
      <c r="Y51" s="503">
        <f>report_47_flagged!AP44</f>
        <v>9</v>
      </c>
      <c r="Z51" s="505" t="s">
        <v>2328</v>
      </c>
      <c r="AA51" s="505" t="s">
        <v>2328</v>
      </c>
      <c r="AB51" s="503">
        <f>report_47_flagged!AR44</f>
        <v>9</v>
      </c>
      <c r="AC51" s="505" t="s">
        <v>2328</v>
      </c>
      <c r="AD51" s="505" t="s">
        <v>2328</v>
      </c>
      <c r="AE51" s="503">
        <f>report_47_flagged!AT44</f>
        <v>9</v>
      </c>
      <c r="AF51" s="505" t="s">
        <v>2328</v>
      </c>
      <c r="AG51" s="505" t="s">
        <v>2328</v>
      </c>
      <c r="AH51" s="503">
        <f>report_47_flagged!AV44</f>
        <v>9</v>
      </c>
      <c r="AI51" s="505" t="s">
        <v>2328</v>
      </c>
      <c r="AJ51" s="505" t="s">
        <v>2328</v>
      </c>
      <c r="AK51" s="503">
        <f>report_47_flagged!AX44</f>
        <v>9</v>
      </c>
    </row>
    <row r="52" spans="1:37" ht="15.75">
      <c r="A52" s="43">
        <v>2023</v>
      </c>
      <c r="B52" s="43" t="str">
        <f>LEFT([1]report_47_flagged!B45,2)</f>
        <v>47</v>
      </c>
      <c r="C52" s="43">
        <f>report_47_flagged!E45</f>
        <v>2000</v>
      </c>
      <c r="D52" s="134">
        <f>report_47_flagged!AM45</f>
        <v>2080.1999999999998</v>
      </c>
      <c r="E52" s="43" t="str">
        <f>report_47_flagged!D45</f>
        <v>McLane-PARFLUX-Mark78H-21 ; frame# 14182-01, controller# 11741-01 and Motor # 14182-01 Cup set Ex21</v>
      </c>
      <c r="F52" s="43"/>
      <c r="G52" s="43"/>
      <c r="H52" s="43">
        <f>report_47_flagged!C45</f>
        <v>19</v>
      </c>
      <c r="I52" s="43">
        <f>report_47_flagged!F45</f>
        <v>4</v>
      </c>
      <c r="J52" s="89">
        <f>report_47_flagged!AC45</f>
        <v>45338</v>
      </c>
      <c r="K52" s="89">
        <f>report_47_flagged!AD45</f>
        <v>45353</v>
      </c>
      <c r="L52" s="89">
        <f>report_47_flagged!AE45</f>
        <v>45345.5</v>
      </c>
      <c r="M52" s="503">
        <f>report_47_flagged!AF45</f>
        <v>15</v>
      </c>
      <c r="N52" s="193" t="str">
        <f>report_47_flagged!H45</f>
        <v>NaN</v>
      </c>
      <c r="O52" s="193" t="s">
        <v>2328</v>
      </c>
      <c r="P52" s="503">
        <f>report_47_flagged!J45</f>
        <v>9</v>
      </c>
      <c r="Q52" s="547">
        <f>report_47_flagged!BA45</f>
        <v>41.04</v>
      </c>
      <c r="R52" s="547">
        <f t="shared" si="1"/>
        <v>0.9028799999999999</v>
      </c>
      <c r="S52" s="548">
        <f>report_47_flagged!BB45</f>
        <v>1</v>
      </c>
      <c r="T52" s="547">
        <f>report_47_flagged!BC45</f>
        <v>8.67</v>
      </c>
      <c r="U52" s="547">
        <f t="shared" si="2"/>
        <v>0.25142999999999999</v>
      </c>
      <c r="V52" s="548">
        <f>report_47_flagged!BD45</f>
        <v>1</v>
      </c>
      <c r="W52" s="505" t="s">
        <v>2328</v>
      </c>
      <c r="X52" s="505" t="s">
        <v>2328</v>
      </c>
      <c r="Y52" s="503">
        <f>report_47_flagged!AP45</f>
        <v>9</v>
      </c>
      <c r="Z52" s="505" t="s">
        <v>2328</v>
      </c>
      <c r="AA52" s="505" t="s">
        <v>2328</v>
      </c>
      <c r="AB52" s="503">
        <f>report_47_flagged!AR45</f>
        <v>9</v>
      </c>
      <c r="AC52" s="505" t="s">
        <v>2328</v>
      </c>
      <c r="AD52" s="505" t="s">
        <v>2328</v>
      </c>
      <c r="AE52" s="503">
        <f>report_47_flagged!AT45</f>
        <v>9</v>
      </c>
      <c r="AF52" s="505" t="s">
        <v>2328</v>
      </c>
      <c r="AG52" s="505" t="s">
        <v>2328</v>
      </c>
      <c r="AH52" s="503">
        <f>report_47_flagged!AV45</f>
        <v>9</v>
      </c>
      <c r="AI52" s="505" t="s">
        <v>2328</v>
      </c>
      <c r="AJ52" s="505" t="s">
        <v>2328</v>
      </c>
      <c r="AK52" s="503">
        <f>report_47_flagged!AX45</f>
        <v>9</v>
      </c>
    </row>
    <row r="53" spans="1:37" ht="15.75">
      <c r="A53" s="43">
        <v>2023</v>
      </c>
      <c r="B53" s="43" t="str">
        <f>LEFT([1]report_47_flagged!B46,2)</f>
        <v>47</v>
      </c>
      <c r="C53" s="43">
        <f>report_47_flagged!E46</f>
        <v>2000</v>
      </c>
      <c r="D53" s="134">
        <f>report_47_flagged!AM46</f>
        <v>2080.1999999999998</v>
      </c>
      <c r="E53" s="43" t="str">
        <f>report_47_flagged!D46</f>
        <v>McLane-PARFLUX-Mark78H-21 ; frame# 14182-01, controller# 11741-01 and Motor # 14182-01 Cup set Ex21</v>
      </c>
      <c r="F53" s="43"/>
      <c r="G53" s="43"/>
      <c r="H53" s="43">
        <f>report_47_flagged!C46</f>
        <v>20</v>
      </c>
      <c r="I53" s="43">
        <f>report_47_flagged!F46</f>
        <v>4</v>
      </c>
      <c r="J53" s="89">
        <f>report_47_flagged!AC46</f>
        <v>45353</v>
      </c>
      <c r="K53" s="89">
        <f>report_47_flagged!AD46</f>
        <v>45368</v>
      </c>
      <c r="L53" s="89">
        <f>report_47_flagged!AE46</f>
        <v>45360.5</v>
      </c>
      <c r="M53" s="503">
        <f>report_47_flagged!AF46</f>
        <v>15</v>
      </c>
      <c r="N53" s="193" t="str">
        <f>report_47_flagged!H46</f>
        <v>NaN</v>
      </c>
      <c r="O53" s="193" t="s">
        <v>2328</v>
      </c>
      <c r="P53" s="503">
        <f>report_47_flagged!J46</f>
        <v>9</v>
      </c>
      <c r="Q53" s="547">
        <f>report_47_flagged!BA46</f>
        <v>41.19</v>
      </c>
      <c r="R53" s="547">
        <f t="shared" si="1"/>
        <v>0.90617999999999987</v>
      </c>
      <c r="S53" s="548">
        <f>report_47_flagged!BB46</f>
        <v>1</v>
      </c>
      <c r="T53" s="547">
        <f>report_47_flagged!BC46</f>
        <v>8.65</v>
      </c>
      <c r="U53" s="547">
        <f t="shared" si="2"/>
        <v>0.25085000000000002</v>
      </c>
      <c r="V53" s="548">
        <f>report_47_flagged!BD46</f>
        <v>1</v>
      </c>
      <c r="W53" s="505" t="s">
        <v>2328</v>
      </c>
      <c r="X53" s="505" t="s">
        <v>2328</v>
      </c>
      <c r="Y53" s="503">
        <f>report_47_flagged!AP46</f>
        <v>9</v>
      </c>
      <c r="Z53" s="505" t="s">
        <v>2328</v>
      </c>
      <c r="AA53" s="505" t="s">
        <v>2328</v>
      </c>
      <c r="AB53" s="503">
        <f>report_47_flagged!AR46</f>
        <v>9</v>
      </c>
      <c r="AC53" s="505" t="s">
        <v>2328</v>
      </c>
      <c r="AD53" s="505" t="s">
        <v>2328</v>
      </c>
      <c r="AE53" s="503">
        <f>report_47_flagged!AT46</f>
        <v>9</v>
      </c>
      <c r="AF53" s="505" t="s">
        <v>2328</v>
      </c>
      <c r="AG53" s="505" t="s">
        <v>2328</v>
      </c>
      <c r="AH53" s="503">
        <f>report_47_flagged!AV46</f>
        <v>9</v>
      </c>
      <c r="AI53" s="505" t="s">
        <v>2328</v>
      </c>
      <c r="AJ53" s="505" t="s">
        <v>2328</v>
      </c>
      <c r="AK53" s="503">
        <f>report_47_flagged!AX46</f>
        <v>9</v>
      </c>
    </row>
    <row r="54" spans="1:37" s="268" customFormat="1" ht="16.5" thickBot="1">
      <c r="A54" s="426">
        <v>2023</v>
      </c>
      <c r="B54" s="426" t="str">
        <f>LEFT([1]report_47_flagged!B47,2)</f>
        <v>47</v>
      </c>
      <c r="C54" s="43">
        <f>report_47_flagged!E47</f>
        <v>2000</v>
      </c>
      <c r="D54" s="558">
        <f>report_47_flagged!AM47</f>
        <v>2080.1999999999998</v>
      </c>
      <c r="E54" s="426" t="str">
        <f>report_47_flagged!D47</f>
        <v>McLane-PARFLUX-Mark78H-21 ; frame# 14182-01, controller# 11741-01 and Motor # 14182-01 Cup set Ex21</v>
      </c>
      <c r="F54" s="426"/>
      <c r="G54" s="426"/>
      <c r="H54" s="426">
        <f>report_47_flagged!C47</f>
        <v>21</v>
      </c>
      <c r="I54" s="426">
        <f>report_47_flagged!F47</f>
        <v>4</v>
      </c>
      <c r="J54" s="511">
        <f>report_47_flagged!AC47</f>
        <v>45368</v>
      </c>
      <c r="K54" s="511">
        <f>report_47_flagged!AD47</f>
        <v>45383</v>
      </c>
      <c r="L54" s="511">
        <f>report_47_flagged!AE47</f>
        <v>45375.5</v>
      </c>
      <c r="M54" s="507">
        <f>report_47_flagged!AF47</f>
        <v>15</v>
      </c>
      <c r="N54" s="508" t="str">
        <f>report_47_flagged!H47</f>
        <v>NaN</v>
      </c>
      <c r="O54" s="508" t="s">
        <v>2328</v>
      </c>
      <c r="P54" s="507">
        <f>report_47_flagged!J47</f>
        <v>9</v>
      </c>
      <c r="Q54" s="549">
        <f>report_47_flagged!BA47</f>
        <v>41.27</v>
      </c>
      <c r="R54" s="549">
        <f t="shared" si="1"/>
        <v>0.90793999999999997</v>
      </c>
      <c r="S54" s="550">
        <f>report_47_flagged!BB47</f>
        <v>1</v>
      </c>
      <c r="T54" s="549">
        <f>report_47_flagged!BC47</f>
        <v>8.48</v>
      </c>
      <c r="U54" s="549">
        <f t="shared" si="2"/>
        <v>0.24592000000000003</v>
      </c>
      <c r="V54" s="550">
        <f>report_47_flagged!BD47</f>
        <v>1</v>
      </c>
      <c r="W54" s="510" t="s">
        <v>2328</v>
      </c>
      <c r="X54" s="510" t="s">
        <v>2328</v>
      </c>
      <c r="Y54" s="507">
        <f>report_47_flagged!AP47</f>
        <v>9</v>
      </c>
      <c r="Z54" s="510" t="s">
        <v>2328</v>
      </c>
      <c r="AA54" s="510" t="s">
        <v>2328</v>
      </c>
      <c r="AB54" s="507">
        <f>report_47_flagged!AR47</f>
        <v>9</v>
      </c>
      <c r="AC54" s="510" t="s">
        <v>2328</v>
      </c>
      <c r="AD54" s="510" t="s">
        <v>2328</v>
      </c>
      <c r="AE54" s="507">
        <f>report_47_flagged!AT47</f>
        <v>9</v>
      </c>
      <c r="AF54" s="510" t="s">
        <v>2328</v>
      </c>
      <c r="AG54" s="510" t="s">
        <v>2328</v>
      </c>
      <c r="AH54" s="507">
        <f>report_47_flagged!AV47</f>
        <v>9</v>
      </c>
      <c r="AI54" s="510" t="s">
        <v>2328</v>
      </c>
      <c r="AJ54" s="510" t="s">
        <v>2328</v>
      </c>
      <c r="AK54" s="507">
        <f>report_47_flagged!AX47</f>
        <v>9</v>
      </c>
    </row>
    <row r="55" spans="1:37" ht="15.75">
      <c r="A55" s="43">
        <v>2023</v>
      </c>
      <c r="B55" s="43" t="str">
        <f>LEFT([1]report_47_flagged!B48,2)</f>
        <v>47</v>
      </c>
      <c r="C55" s="43">
        <f>report_47_flagged!E48</f>
        <v>3800</v>
      </c>
      <c r="D55" s="134">
        <f>report_47_flagged!AM48</f>
        <v>3816.4</v>
      </c>
      <c r="E55" s="43" t="str">
        <f>report_47_flagged!D48</f>
        <v>McLane-PARFLUX-Mark78H-21 ; frame# 10705, controller# 11649-01 and Motor # 11649-01 Cup set Lx21</v>
      </c>
      <c r="F55" s="43"/>
      <c r="G55" s="43"/>
      <c r="H55" s="43">
        <f>report_47_flagged!C48</f>
        <v>1</v>
      </c>
      <c r="I55" s="43">
        <f>report_47_flagged!F48</f>
        <v>1</v>
      </c>
      <c r="J55" s="89">
        <f>report_47_flagged!AC48</f>
        <v>45068</v>
      </c>
      <c r="K55" s="89">
        <f>report_47_flagged!AD48</f>
        <v>45083</v>
      </c>
      <c r="L55" s="89">
        <f>report_47_flagged!AE48</f>
        <v>45075.5</v>
      </c>
      <c r="M55" s="503">
        <f>report_47_flagged!AF48</f>
        <v>15</v>
      </c>
      <c r="N55" s="193">
        <f>report_47_flagged!H48</f>
        <v>106.52952380952381</v>
      </c>
      <c r="O55" s="193">
        <f t="shared" si="0"/>
        <v>6.3917714285714286E-2</v>
      </c>
      <c r="P55" s="503">
        <f>report_47_flagged!J48</f>
        <v>1</v>
      </c>
      <c r="Q55" s="547">
        <f>report_47_flagged!BA48</f>
        <v>39.47</v>
      </c>
      <c r="R55" s="547">
        <f t="shared" si="1"/>
        <v>0.86833999999999989</v>
      </c>
      <c r="S55" s="548">
        <f>report_47_flagged!BB48</f>
        <v>1</v>
      </c>
      <c r="T55" s="547">
        <f>report_47_flagged!BC48</f>
        <v>8.5</v>
      </c>
      <c r="U55" s="547">
        <f t="shared" si="2"/>
        <v>0.24650000000000002</v>
      </c>
      <c r="V55" s="548">
        <f>report_47_flagged!BD48</f>
        <v>1</v>
      </c>
      <c r="W55" s="505">
        <f>(report_47_flagged!N48/100)*report_47_flagged!H48</f>
        <v>15.669398820568267</v>
      </c>
      <c r="X55" s="505">
        <f t="shared" si="3"/>
        <v>0.3291916569658363</v>
      </c>
      <c r="Y55" s="503">
        <f>report_47_flagged!AP48</f>
        <v>1</v>
      </c>
      <c r="Z55" s="505">
        <f>(report_47_flagged!P48/100)*report_47_flagged!H48</f>
        <v>1.1592886645725795</v>
      </c>
      <c r="AA55" s="505">
        <f t="shared" si="4"/>
        <v>4.4058460278899439E-2</v>
      </c>
      <c r="AB55" s="503">
        <f>report_47_flagged!AR48</f>
        <v>1</v>
      </c>
      <c r="AC55" s="505">
        <f>(report_47_flagged!R48/100)*report_47_flagged!H48</f>
        <v>7.4739309085456327</v>
      </c>
      <c r="AD55" s="505">
        <f t="shared" si="5"/>
        <v>0.20931810662367659</v>
      </c>
      <c r="AE55" s="503">
        <f>report_47_flagged!AT48</f>
        <v>1</v>
      </c>
      <c r="AF55" s="505">
        <f>(report_47_flagged!L48/100)*report_47_flagged!H48</f>
        <v>8.1954679120226324</v>
      </c>
      <c r="AG55" s="505">
        <f t="shared" si="6"/>
        <v>0.15579151225648091</v>
      </c>
      <c r="AH55" s="503">
        <f>report_47_flagged!AV48</f>
        <v>1</v>
      </c>
      <c r="AI55" s="505">
        <f>(report_47_flagged!T48/100)*report_47_flagged!H48</f>
        <v>6.5663948337868669</v>
      </c>
      <c r="AJ55" s="505">
        <f t="shared" si="7"/>
        <v>0.32177746740185648</v>
      </c>
      <c r="AK55" s="503">
        <f>report_47_flagged!AX48</f>
        <v>1</v>
      </c>
    </row>
    <row r="56" spans="1:37" ht="15.75">
      <c r="A56" s="43">
        <v>2023</v>
      </c>
      <c r="B56" s="43" t="str">
        <f>LEFT([1]report_47_flagged!B49,2)</f>
        <v>47</v>
      </c>
      <c r="C56" s="43">
        <f>report_47_flagged!E49</f>
        <v>3800</v>
      </c>
      <c r="D56" s="134">
        <f>report_47_flagged!AM49</f>
        <v>3816.4</v>
      </c>
      <c r="E56" s="43" t="str">
        <f>report_47_flagged!D49</f>
        <v>McLane-PARFLUX-Mark78H-21 ; frame# 10705, controller# 11649-01 and Motor # 11649-01 Cup set Lx21</v>
      </c>
      <c r="F56" s="43"/>
      <c r="G56" s="43"/>
      <c r="H56" s="43">
        <f>report_47_flagged!C49</f>
        <v>2</v>
      </c>
      <c r="I56" s="43">
        <f>report_47_flagged!F49</f>
        <v>1</v>
      </c>
      <c r="J56" s="89">
        <f>report_47_flagged!AC49</f>
        <v>45083</v>
      </c>
      <c r="K56" s="89">
        <f>report_47_flagged!AD49</f>
        <v>45098</v>
      </c>
      <c r="L56" s="89">
        <f>report_47_flagged!AE49</f>
        <v>45090.5</v>
      </c>
      <c r="M56" s="503">
        <f>report_47_flagged!AF49</f>
        <v>15</v>
      </c>
      <c r="N56" s="193">
        <f>report_47_flagged!H49</f>
        <v>34.521904761904764</v>
      </c>
      <c r="O56" s="193">
        <f t="shared" si="0"/>
        <v>2.0713142857142857E-2</v>
      </c>
      <c r="P56" s="503">
        <f>report_47_flagged!J49</f>
        <v>1</v>
      </c>
      <c r="Q56" s="547">
        <f>report_47_flagged!BA49</f>
        <v>39.590000000000003</v>
      </c>
      <c r="R56" s="547">
        <f t="shared" si="1"/>
        <v>0.87097999999999998</v>
      </c>
      <c r="S56" s="548">
        <f>report_47_flagged!BB49</f>
        <v>1</v>
      </c>
      <c r="T56" s="547">
        <f>report_47_flagged!BC49</f>
        <v>8.66</v>
      </c>
      <c r="U56" s="547">
        <f t="shared" si="2"/>
        <v>0.25114000000000003</v>
      </c>
      <c r="V56" s="548">
        <f>report_47_flagged!BD49</f>
        <v>1</v>
      </c>
      <c r="W56" s="505">
        <f>(report_47_flagged!N49/100)*report_47_flagged!H49</f>
        <v>4.5770225779215501</v>
      </c>
      <c r="X56" s="505">
        <f t="shared" si="3"/>
        <v>9.6156697755261797E-2</v>
      </c>
      <c r="Y56" s="503">
        <f>report_47_flagged!AP49</f>
        <v>1</v>
      </c>
      <c r="Z56" s="505">
        <f>(report_47_flagged!P49/100)*report_47_flagged!H49</f>
        <v>0.2286753836540949</v>
      </c>
      <c r="AA56" s="505">
        <f t="shared" si="4"/>
        <v>8.690747710537336E-3</v>
      </c>
      <c r="AB56" s="503">
        <f>report_47_flagged!AR49</f>
        <v>1</v>
      </c>
      <c r="AC56" s="505">
        <f>(report_47_flagged!R49/100)*report_47_flagged!H49</f>
        <v>1.5514510496243641</v>
      </c>
      <c r="AD56" s="505">
        <f t="shared" si="5"/>
        <v>4.3450601858705265E-2</v>
      </c>
      <c r="AE56" s="503">
        <f>report_47_flagged!AT49</f>
        <v>1</v>
      </c>
      <c r="AF56" s="505">
        <f>(report_47_flagged!L49/100)*report_47_flagged!H49</f>
        <v>3.0255715282971858</v>
      </c>
      <c r="AG56" s="505">
        <f t="shared" si="6"/>
        <v>5.7514515204445484E-2</v>
      </c>
      <c r="AH56" s="503">
        <f>report_47_flagged!AV49</f>
        <v>1</v>
      </c>
      <c r="AI56" s="505">
        <f>(report_47_flagged!T49/100)*report_47_flagged!H49</f>
        <v>1.7975139945464915</v>
      </c>
      <c r="AJ56" s="505">
        <f t="shared" si="7"/>
        <v>8.8084788597916075E-2</v>
      </c>
      <c r="AK56" s="503">
        <f>report_47_flagged!AX49</f>
        <v>1</v>
      </c>
    </row>
    <row r="57" spans="1:37" ht="15.75">
      <c r="A57" s="43">
        <v>2023</v>
      </c>
      <c r="B57" s="43" t="str">
        <f>LEFT([1]report_47_flagged!B50,2)</f>
        <v>47</v>
      </c>
      <c r="C57" s="43">
        <f>report_47_flagged!E50</f>
        <v>3800</v>
      </c>
      <c r="D57" s="134">
        <f>report_47_flagged!AM50</f>
        <v>3816.4</v>
      </c>
      <c r="E57" s="43" t="str">
        <f>report_47_flagged!D50</f>
        <v>McLane-PARFLUX-Mark78H-21 ; frame# 10705, controller# 11649-01 and Motor # 11649-01 Cup set Lx21</v>
      </c>
      <c r="F57" s="43"/>
      <c r="G57" s="43"/>
      <c r="H57" s="43">
        <f>report_47_flagged!C50</f>
        <v>3</v>
      </c>
      <c r="I57" s="43">
        <f>report_47_flagged!F50</f>
        <v>1</v>
      </c>
      <c r="J57" s="89">
        <f>report_47_flagged!AC50</f>
        <v>45098</v>
      </c>
      <c r="K57" s="89">
        <f>report_47_flagged!AD50</f>
        <v>45113</v>
      </c>
      <c r="L57" s="89">
        <f>report_47_flagged!AE50</f>
        <v>45105.5</v>
      </c>
      <c r="M57" s="503">
        <f>report_47_flagged!AF50</f>
        <v>15</v>
      </c>
      <c r="N57" s="193">
        <f>report_47_flagged!H50</f>
        <v>14.860952380952385</v>
      </c>
      <c r="O57" s="193">
        <f t="shared" si="0"/>
        <v>8.91657142857143E-3</v>
      </c>
      <c r="P57" s="503">
        <f>report_47_flagged!J50</f>
        <v>1</v>
      </c>
      <c r="Q57" s="547">
        <f>report_47_flagged!BA50</f>
        <v>40.1</v>
      </c>
      <c r="R57" s="547">
        <f t="shared" si="1"/>
        <v>0.88219999999999998</v>
      </c>
      <c r="S57" s="548">
        <f>report_47_flagged!BB50</f>
        <v>1</v>
      </c>
      <c r="T57" s="547">
        <f>report_47_flagged!BC50</f>
        <v>8.6999999999999993</v>
      </c>
      <c r="U57" s="547">
        <f t="shared" si="2"/>
        <v>0.25229999999999997</v>
      </c>
      <c r="V57" s="548">
        <f>report_47_flagged!BD50</f>
        <v>1</v>
      </c>
      <c r="W57" s="505">
        <f>(report_47_flagged!N50/100)*report_47_flagged!H50</f>
        <v>2.1296417842683346</v>
      </c>
      <c r="X57" s="505">
        <f t="shared" si="3"/>
        <v>4.4740727818270466E-2</v>
      </c>
      <c r="Y57" s="503">
        <f>report_47_flagged!AP50</f>
        <v>1</v>
      </c>
      <c r="Z57" s="505">
        <f>(report_47_flagged!P50/100)*report_47_flagged!H50</f>
        <v>0.12279082712445943</v>
      </c>
      <c r="AA57" s="505">
        <f t="shared" si="4"/>
        <v>4.6666330352421919E-3</v>
      </c>
      <c r="AB57" s="503">
        <f>report_47_flagged!AR50</f>
        <v>1</v>
      </c>
      <c r="AC57" s="505">
        <f>(report_47_flagged!R50/100)*report_47_flagged!H50</f>
        <v>0.83777218003667497</v>
      </c>
      <c r="AD57" s="505">
        <f t="shared" si="5"/>
        <v>2.3463006101215156E-2</v>
      </c>
      <c r="AE57" s="503">
        <f>report_47_flagged!AT50</f>
        <v>1</v>
      </c>
      <c r="AF57" s="505">
        <f>(report_47_flagged!L50/100)*report_47_flagged!H50</f>
        <v>1.2918696042316593</v>
      </c>
      <c r="AG57" s="505">
        <f t="shared" si="6"/>
        <v>2.455775819537806E-2</v>
      </c>
      <c r="AH57" s="503">
        <f>report_47_flagged!AV50</f>
        <v>1</v>
      </c>
      <c r="AI57" s="505">
        <f>(report_47_flagged!T50/100)*report_47_flagged!H50</f>
        <v>0.63437996468592817</v>
      </c>
      <c r="AJ57" s="505">
        <f t="shared" si="7"/>
        <v>3.1086948557644829E-2</v>
      </c>
      <c r="AK57" s="503">
        <f>report_47_flagged!AX50</f>
        <v>1</v>
      </c>
    </row>
    <row r="58" spans="1:37" ht="15.75">
      <c r="A58" s="43">
        <v>2023</v>
      </c>
      <c r="B58" s="43" t="str">
        <f>LEFT([1]report_47_flagged!B51,2)</f>
        <v>47</v>
      </c>
      <c r="C58" s="43">
        <f>report_47_flagged!E51</f>
        <v>3800</v>
      </c>
      <c r="D58" s="134">
        <f>report_47_flagged!AM51</f>
        <v>3816.4</v>
      </c>
      <c r="E58" s="43" t="str">
        <f>report_47_flagged!D51</f>
        <v>McLane-PARFLUX-Mark78H-21 ; frame# 10705, controller# 11649-01 and Motor # 11649-01 Cup set Lx21</v>
      </c>
      <c r="F58" s="43"/>
      <c r="G58" s="43"/>
      <c r="H58" s="43">
        <f>report_47_flagged!C51</f>
        <v>4</v>
      </c>
      <c r="I58" s="43">
        <f>report_47_flagged!F51</f>
        <v>1</v>
      </c>
      <c r="J58" s="89">
        <f>report_47_flagged!AC51</f>
        <v>45113</v>
      </c>
      <c r="K58" s="89">
        <f>report_47_flagged!AD51</f>
        <v>45128</v>
      </c>
      <c r="L58" s="89">
        <f>report_47_flagged!AE51</f>
        <v>45120.5</v>
      </c>
      <c r="M58" s="503">
        <f>report_47_flagged!AF51</f>
        <v>15</v>
      </c>
      <c r="N58" s="193">
        <f>report_47_flagged!H51</f>
        <v>31.179047619047616</v>
      </c>
      <c r="O58" s="193">
        <f t="shared" si="0"/>
        <v>1.8707428571428569E-2</v>
      </c>
      <c r="P58" s="503">
        <f>report_47_flagged!J51</f>
        <v>1</v>
      </c>
      <c r="Q58" s="547">
        <f>report_47_flagged!BA51</f>
        <v>39.65</v>
      </c>
      <c r="R58" s="547">
        <f t="shared" si="1"/>
        <v>0.87229999999999996</v>
      </c>
      <c r="S58" s="548">
        <f>report_47_flagged!BB51</f>
        <v>1</v>
      </c>
      <c r="T58" s="547">
        <f>report_47_flagged!BC51</f>
        <v>8.67</v>
      </c>
      <c r="U58" s="547">
        <f t="shared" si="2"/>
        <v>0.25142999999999999</v>
      </c>
      <c r="V58" s="548">
        <f>report_47_flagged!BD51</f>
        <v>1</v>
      </c>
      <c r="W58" s="505">
        <f>(report_47_flagged!N51/100)*report_47_flagged!H51</f>
        <v>3.8491048041116618</v>
      </c>
      <c r="X58" s="505">
        <f t="shared" si="3"/>
        <v>8.0864186482856149E-2</v>
      </c>
      <c r="Y58" s="503">
        <f>report_47_flagged!AP51</f>
        <v>1</v>
      </c>
      <c r="Z58" s="505">
        <f>(report_47_flagged!P51/100)*report_47_flagged!H51</f>
        <v>0.13488524522298859</v>
      </c>
      <c r="AA58" s="505">
        <f t="shared" si="4"/>
        <v>5.126278208764966E-3</v>
      </c>
      <c r="AB58" s="503">
        <f>report_47_flagged!AR51</f>
        <v>1</v>
      </c>
      <c r="AC58" s="505">
        <f>(report_47_flagged!R51/100)*report_47_flagged!H51</f>
        <v>0.9635456058891001</v>
      </c>
      <c r="AD58" s="505">
        <f t="shared" si="5"/>
        <v>2.6985470475738786E-2</v>
      </c>
      <c r="AE58" s="503">
        <f>report_47_flagged!AT51</f>
        <v>1</v>
      </c>
      <c r="AF58" s="505">
        <f>(report_47_flagged!L51/100)*report_47_flagged!H51</f>
        <v>2.8855591982225617</v>
      </c>
      <c r="AG58" s="505">
        <f t="shared" si="6"/>
        <v>5.4852954830951699E-2</v>
      </c>
      <c r="AH58" s="503">
        <f>report_47_flagged!AV51</f>
        <v>1</v>
      </c>
      <c r="AI58" s="505">
        <f>(report_47_flagged!T51/100)*report_47_flagged!H51</f>
        <v>1.5621032172564269</v>
      </c>
      <c r="AJ58" s="505">
        <f t="shared" si="7"/>
        <v>7.6548795768832084E-2</v>
      </c>
      <c r="AK58" s="503">
        <f>report_47_flagged!AX51</f>
        <v>1</v>
      </c>
    </row>
    <row r="59" spans="1:37" ht="15.75">
      <c r="A59" s="43">
        <v>2023</v>
      </c>
      <c r="B59" s="43" t="str">
        <f>LEFT([1]report_47_flagged!B52,2)</f>
        <v>47</v>
      </c>
      <c r="C59" s="43">
        <f>report_47_flagged!E52</f>
        <v>3800</v>
      </c>
      <c r="D59" s="134">
        <f>report_47_flagged!AM52</f>
        <v>3816.4</v>
      </c>
      <c r="E59" s="43" t="str">
        <f>report_47_flagged!D52</f>
        <v>McLane-PARFLUX-Mark78H-21 ; frame# 10705, controller# 11649-01 and Motor # 11649-01 Cup set Lx21</v>
      </c>
      <c r="F59" s="43"/>
      <c r="G59" s="43"/>
      <c r="H59" s="43">
        <f>report_47_flagged!C52</f>
        <v>5</v>
      </c>
      <c r="I59" s="43">
        <f>report_47_flagged!F52</f>
        <v>1</v>
      </c>
      <c r="J59" s="89">
        <f>report_47_flagged!AC52</f>
        <v>45128</v>
      </c>
      <c r="K59" s="89">
        <f>report_47_flagged!AD52</f>
        <v>45143</v>
      </c>
      <c r="L59" s="89">
        <f>report_47_flagged!AE52</f>
        <v>45135.5</v>
      </c>
      <c r="M59" s="503">
        <f>report_47_flagged!AF52</f>
        <v>15</v>
      </c>
      <c r="N59" s="193">
        <f>report_47_flagged!H52</f>
        <v>21.521904761904761</v>
      </c>
      <c r="O59" s="193">
        <f t="shared" si="0"/>
        <v>1.2913142857142856E-2</v>
      </c>
      <c r="P59" s="503">
        <f>report_47_flagged!J52</f>
        <v>1</v>
      </c>
      <c r="Q59" s="547">
        <f>report_47_flagged!BA52</f>
        <v>39.54</v>
      </c>
      <c r="R59" s="547">
        <f t="shared" si="1"/>
        <v>0.86987999999999988</v>
      </c>
      <c r="S59" s="548">
        <f>report_47_flagged!BB52</f>
        <v>1</v>
      </c>
      <c r="T59" s="547">
        <f>report_47_flagged!BC52</f>
        <v>8.65</v>
      </c>
      <c r="U59" s="547">
        <f t="shared" si="2"/>
        <v>0.25085000000000002</v>
      </c>
      <c r="V59" s="548">
        <f>report_47_flagged!BD52</f>
        <v>1</v>
      </c>
      <c r="W59" s="505">
        <f>(report_47_flagged!N52/100)*report_47_flagged!H52</f>
        <v>2.600286542910621</v>
      </c>
      <c r="X59" s="505">
        <f t="shared" si="3"/>
        <v>5.4628301024740269E-2</v>
      </c>
      <c r="Y59" s="503">
        <f>report_47_flagged!AP52</f>
        <v>1</v>
      </c>
      <c r="Z59" s="505">
        <f>(report_47_flagged!P52/100)*report_47_flagged!H52</f>
        <v>9.8776625511759794E-2</v>
      </c>
      <c r="AA59" s="505">
        <f t="shared" si="4"/>
        <v>3.7539796295671724E-3</v>
      </c>
      <c r="AB59" s="503">
        <f>report_47_flagged!AR52</f>
        <v>1</v>
      </c>
      <c r="AC59" s="505">
        <f>(report_47_flagged!R52/100)*report_47_flagged!H52</f>
        <v>0.67861791279355022</v>
      </c>
      <c r="AD59" s="505">
        <f t="shared" si="5"/>
        <v>1.9005663601257244E-2</v>
      </c>
      <c r="AE59" s="503">
        <f>report_47_flagged!AT52</f>
        <v>1</v>
      </c>
      <c r="AF59" s="505">
        <f>(report_47_flagged!L52/100)*report_47_flagged!H52</f>
        <v>1.9216686301170709</v>
      </c>
      <c r="AG59" s="505">
        <f t="shared" si="6"/>
        <v>3.6529904717532105E-2</v>
      </c>
      <c r="AH59" s="503">
        <f>report_47_flagged!AV52</f>
        <v>1</v>
      </c>
      <c r="AI59" s="505">
        <f>(report_47_flagged!T52/100)*report_47_flagged!H52</f>
        <v>1.0802608273280152</v>
      </c>
      <c r="AJ59" s="505">
        <f t="shared" si="7"/>
        <v>5.2936748695414419E-2</v>
      </c>
      <c r="AK59" s="503">
        <f>report_47_flagged!AX52</f>
        <v>1</v>
      </c>
    </row>
    <row r="60" spans="1:37" ht="15.75">
      <c r="A60" s="43">
        <v>2023</v>
      </c>
      <c r="B60" s="43" t="str">
        <f>LEFT([1]report_47_flagged!B53,2)</f>
        <v>47</v>
      </c>
      <c r="C60" s="43">
        <f>report_47_flagged!E53</f>
        <v>3800</v>
      </c>
      <c r="D60" s="134">
        <f>report_47_flagged!AM53</f>
        <v>3816.4</v>
      </c>
      <c r="E60" s="43" t="str">
        <f>report_47_flagged!D53</f>
        <v>McLane-PARFLUX-Mark78H-21 ; frame# 10705, controller# 11649-01 and Motor # 11649-01 Cup set Lx21</v>
      </c>
      <c r="F60" s="43"/>
      <c r="G60" s="43"/>
      <c r="H60" s="43">
        <f>report_47_flagged!C53</f>
        <v>6</v>
      </c>
      <c r="I60" s="43">
        <f>report_47_flagged!F53</f>
        <v>1</v>
      </c>
      <c r="J60" s="89">
        <f>report_47_flagged!AC53</f>
        <v>45143</v>
      </c>
      <c r="K60" s="89">
        <f>report_47_flagged!AD53</f>
        <v>45158</v>
      </c>
      <c r="L60" s="89">
        <f>report_47_flagged!AE53</f>
        <v>45150.5</v>
      </c>
      <c r="M60" s="503">
        <f>report_47_flagged!AF53</f>
        <v>15</v>
      </c>
      <c r="N60" s="193">
        <f>report_47_flagged!H53</f>
        <v>23.217142857142861</v>
      </c>
      <c r="O60" s="193">
        <f t="shared" si="0"/>
        <v>1.3930285714285714E-2</v>
      </c>
      <c r="P60" s="503">
        <f>report_47_flagged!J53</f>
        <v>1</v>
      </c>
      <c r="Q60" s="547">
        <f>report_47_flagged!BA53</f>
        <v>39.82</v>
      </c>
      <c r="R60" s="547">
        <f t="shared" si="1"/>
        <v>0.87603999999999993</v>
      </c>
      <c r="S60" s="548">
        <f>report_47_flagged!BB53</f>
        <v>1</v>
      </c>
      <c r="T60" s="547">
        <f>report_47_flagged!BC53</f>
        <v>8.68</v>
      </c>
      <c r="U60" s="547">
        <f t="shared" si="2"/>
        <v>0.25172</v>
      </c>
      <c r="V60" s="548">
        <f>report_47_flagged!BD53</f>
        <v>1</v>
      </c>
      <c r="W60" s="505">
        <f>(report_47_flagged!N53/100)*report_47_flagged!H53</f>
        <v>3.0745647545950754</v>
      </c>
      <c r="X60" s="505">
        <f t="shared" si="3"/>
        <v>6.4592207882625527E-2</v>
      </c>
      <c r="Y60" s="503">
        <f>report_47_flagged!AP53</f>
        <v>1</v>
      </c>
      <c r="Z60" s="505">
        <f>(report_47_flagged!P53/100)*report_47_flagged!H53</f>
        <v>0.15120899220534734</v>
      </c>
      <c r="AA60" s="505">
        <f t="shared" si="4"/>
        <v>5.7466579122879202E-3</v>
      </c>
      <c r="AB60" s="503">
        <f>report_47_flagged!AR53</f>
        <v>1</v>
      </c>
      <c r="AC60" s="505">
        <f>(report_47_flagged!R53/100)*report_47_flagged!H53</f>
        <v>0.99200459951391728</v>
      </c>
      <c r="AD60" s="505">
        <f t="shared" si="5"/>
        <v>2.7782505226909799E-2</v>
      </c>
      <c r="AE60" s="503">
        <f>report_47_flagged!AT53</f>
        <v>1</v>
      </c>
      <c r="AF60" s="505">
        <f>(report_47_flagged!L53/100)*report_47_flagged!H53</f>
        <v>2.0825601550811585</v>
      </c>
      <c r="AG60" s="505">
        <f t="shared" si="6"/>
        <v>3.9588367547535482E-2</v>
      </c>
      <c r="AH60" s="503">
        <f>report_47_flagged!AV53</f>
        <v>1</v>
      </c>
      <c r="AI60" s="505">
        <f>(report_47_flagged!T53/100)*report_47_flagged!H53</f>
        <v>1.0295470330898582</v>
      </c>
      <c r="AJ60" s="505">
        <f t="shared" si="7"/>
        <v>5.0451586489156701E-2</v>
      </c>
      <c r="AK60" s="503">
        <f>report_47_flagged!AX53</f>
        <v>1</v>
      </c>
    </row>
    <row r="61" spans="1:37" ht="15.75">
      <c r="A61" s="43">
        <v>2023</v>
      </c>
      <c r="B61" s="43" t="str">
        <f>LEFT([1]report_47_flagged!B54,2)</f>
        <v>47</v>
      </c>
      <c r="C61" s="43">
        <f>report_47_flagged!E54</f>
        <v>3800</v>
      </c>
      <c r="D61" s="134">
        <f>report_47_flagged!AM54</f>
        <v>3816.4</v>
      </c>
      <c r="E61" s="43" t="str">
        <f>report_47_flagged!D54</f>
        <v>McLane-PARFLUX-Mark78H-21 ; frame# 10705, controller# 11649-01 and Motor # 11649-01 Cup set Lx21</v>
      </c>
      <c r="F61" s="43"/>
      <c r="G61" s="43"/>
      <c r="H61" s="43">
        <f>report_47_flagged!C54</f>
        <v>7</v>
      </c>
      <c r="I61" s="43">
        <f>report_47_flagged!F54</f>
        <v>1</v>
      </c>
      <c r="J61" s="89">
        <f>report_47_flagged!AC54</f>
        <v>45158</v>
      </c>
      <c r="K61" s="89">
        <f>report_47_flagged!AD54</f>
        <v>45173</v>
      </c>
      <c r="L61" s="89">
        <f>report_47_flagged!AE54</f>
        <v>45165.5</v>
      </c>
      <c r="M61" s="503">
        <f>report_47_flagged!AF54</f>
        <v>15</v>
      </c>
      <c r="N61" s="193">
        <f>report_47_flagged!H54</f>
        <v>19.04</v>
      </c>
      <c r="O61" s="193">
        <f t="shared" si="0"/>
        <v>1.1423999999999998E-2</v>
      </c>
      <c r="P61" s="503">
        <f>report_47_flagged!J54</f>
        <v>1</v>
      </c>
      <c r="Q61" s="547">
        <f>report_47_flagged!BA54</f>
        <v>39.54</v>
      </c>
      <c r="R61" s="547">
        <f t="shared" si="1"/>
        <v>0.86987999999999988</v>
      </c>
      <c r="S61" s="548">
        <f>report_47_flagged!BB54</f>
        <v>1</v>
      </c>
      <c r="T61" s="547">
        <f>report_47_flagged!BC54</f>
        <v>8.66</v>
      </c>
      <c r="U61" s="547">
        <f t="shared" si="2"/>
        <v>0.25114000000000003</v>
      </c>
      <c r="V61" s="548">
        <f>report_47_flagged!BD54</f>
        <v>1</v>
      </c>
      <c r="W61" s="505">
        <f>(report_47_flagged!N54/100)*report_47_flagged!H54</f>
        <v>2.4516269744873047</v>
      </c>
      <c r="X61" s="505">
        <f t="shared" si="3"/>
        <v>5.1505176122918238E-2</v>
      </c>
      <c r="Y61" s="503">
        <f>report_47_flagged!AP54</f>
        <v>1</v>
      </c>
      <c r="Z61" s="505">
        <f>(report_47_flagged!P54/100)*report_47_flagged!H54</f>
        <v>0.10378917989730835</v>
      </c>
      <c r="AA61" s="505">
        <f t="shared" si="4"/>
        <v>3.9444804384170008E-3</v>
      </c>
      <c r="AB61" s="503">
        <f>report_47_flagged!AR54</f>
        <v>1</v>
      </c>
      <c r="AC61" s="505">
        <f>(report_47_flagged!R54/100)*report_47_flagged!H54</f>
        <v>0.73965737023508482</v>
      </c>
      <c r="AD61" s="505">
        <f t="shared" si="5"/>
        <v>2.0715160761097157E-2</v>
      </c>
      <c r="AE61" s="503">
        <f>report_47_flagged!AT54</f>
        <v>1</v>
      </c>
      <c r="AF61" s="505">
        <f>(report_47_flagged!L54/100)*report_47_flagged!H54</f>
        <v>1.7119696042522199</v>
      </c>
      <c r="AG61" s="505">
        <f t="shared" si="6"/>
        <v>3.2543637098782649E-2</v>
      </c>
      <c r="AH61" s="503">
        <f>report_47_flagged!AV54</f>
        <v>1</v>
      </c>
      <c r="AI61" s="505">
        <f>(report_47_flagged!T54/100)*report_47_flagged!H54</f>
        <v>0.87449946835168346</v>
      </c>
      <c r="AJ61" s="505">
        <f t="shared" si="7"/>
        <v>4.2853686275851524E-2</v>
      </c>
      <c r="AK61" s="503">
        <f>report_47_flagged!AX54</f>
        <v>1</v>
      </c>
    </row>
    <row r="62" spans="1:37" ht="15.75">
      <c r="A62" s="43">
        <v>2023</v>
      </c>
      <c r="B62" s="43" t="str">
        <f>LEFT([1]report_47_flagged!B55,2)</f>
        <v>47</v>
      </c>
      <c r="C62" s="43">
        <f>report_47_flagged!E55</f>
        <v>3800</v>
      </c>
      <c r="D62" s="134">
        <f>report_47_flagged!AM55</f>
        <v>3816.4</v>
      </c>
      <c r="E62" s="43" t="str">
        <f>report_47_flagged!D55</f>
        <v>McLane-PARFLUX-Mark78H-21 ; frame# 10705, controller# 11649-01 and Motor # 11649-01 Cup set Lx21</v>
      </c>
      <c r="F62" s="43"/>
      <c r="G62" s="43"/>
      <c r="H62" s="43">
        <f>report_47_flagged!C55</f>
        <v>8</v>
      </c>
      <c r="I62" s="43">
        <f>report_47_flagged!F55</f>
        <v>1</v>
      </c>
      <c r="J62" s="89">
        <f>report_47_flagged!AC55</f>
        <v>45173</v>
      </c>
      <c r="K62" s="89">
        <f>report_47_flagged!AD55</f>
        <v>45188</v>
      </c>
      <c r="L62" s="89">
        <f>report_47_flagged!AE55</f>
        <v>45180.5</v>
      </c>
      <c r="M62" s="503">
        <f>report_47_flagged!AF55</f>
        <v>15</v>
      </c>
      <c r="N62" s="193">
        <f>report_47_flagged!H55</f>
        <v>27.44</v>
      </c>
      <c r="O62" s="193">
        <f t="shared" si="0"/>
        <v>1.6463999999999999E-2</v>
      </c>
      <c r="P62" s="503">
        <f>report_47_flagged!J55</f>
        <v>1</v>
      </c>
      <c r="Q62" s="547">
        <f>report_47_flagged!BA55</f>
        <v>39.71</v>
      </c>
      <c r="R62" s="547">
        <f t="shared" si="1"/>
        <v>0.87361999999999995</v>
      </c>
      <c r="S62" s="548">
        <f>report_47_flagged!BB55</f>
        <v>1</v>
      </c>
      <c r="T62" s="547">
        <f>report_47_flagged!BC55</f>
        <v>8.73</v>
      </c>
      <c r="U62" s="547">
        <f t="shared" si="2"/>
        <v>0.25317000000000001</v>
      </c>
      <c r="V62" s="548">
        <f>report_47_flagged!BD55</f>
        <v>1</v>
      </c>
      <c r="W62" s="505">
        <f>(report_47_flagged!N55/100)*report_47_flagged!H55</f>
        <v>3.3920782348632814</v>
      </c>
      <c r="X62" s="505">
        <f t="shared" si="3"/>
        <v>7.1262711957183852E-2</v>
      </c>
      <c r="Y62" s="503">
        <f>report_47_flagged!AP55</f>
        <v>1</v>
      </c>
      <c r="Z62" s="505">
        <f>(report_47_flagged!P55/100)*report_47_flagged!H55</f>
        <v>0.12262452154159546</v>
      </c>
      <c r="AA62" s="505">
        <f t="shared" si="4"/>
        <v>4.6603126353791666E-3</v>
      </c>
      <c r="AB62" s="503">
        <f>report_47_flagged!AR55</f>
        <v>1</v>
      </c>
      <c r="AC62" s="505">
        <f>(report_47_flagged!R55/100)*report_47_flagged!H55</f>
        <v>0.94619311505525261</v>
      </c>
      <c r="AD62" s="505">
        <f t="shared" si="5"/>
        <v>2.6499489193467011E-2</v>
      </c>
      <c r="AE62" s="503">
        <f>report_47_flagged!AT55</f>
        <v>1</v>
      </c>
      <c r="AF62" s="505">
        <f>(report_47_flagged!L55/100)*report_47_flagged!H55</f>
        <v>2.4458851198080289</v>
      </c>
      <c r="AG62" s="505">
        <f t="shared" si="6"/>
        <v>4.6494983045632425E-2</v>
      </c>
      <c r="AH62" s="503">
        <f>report_47_flagged!AV55</f>
        <v>1</v>
      </c>
      <c r="AI62" s="505">
        <f>(report_47_flagged!T55/100)*report_47_flagged!H55</f>
        <v>1.4190671579914207</v>
      </c>
      <c r="AJ62" s="505">
        <f t="shared" si="7"/>
        <v>6.9539503445955997E-2</v>
      </c>
      <c r="AK62" s="503">
        <f>report_47_flagged!AX55</f>
        <v>1</v>
      </c>
    </row>
    <row r="63" spans="1:37" ht="15.75">
      <c r="A63" s="43">
        <v>2023</v>
      </c>
      <c r="B63" s="43" t="str">
        <f>LEFT([1]report_47_flagged!B56,2)</f>
        <v>47</v>
      </c>
      <c r="C63" s="43">
        <f>report_47_flagged!E56</f>
        <v>3800</v>
      </c>
      <c r="D63" s="134">
        <f>report_47_flagged!AM56</f>
        <v>3816.4</v>
      </c>
      <c r="E63" s="43" t="str">
        <f>report_47_flagged!D56</f>
        <v>McLane-PARFLUX-Mark78H-21 ; frame# 10705, controller# 11649-01 and Motor # 11649-01 Cup set Lx21</v>
      </c>
      <c r="F63" s="43"/>
      <c r="G63" s="43"/>
      <c r="H63" s="43">
        <f>report_47_flagged!C56</f>
        <v>9</v>
      </c>
      <c r="I63" s="43">
        <f>report_47_flagged!F56</f>
        <v>1</v>
      </c>
      <c r="J63" s="89">
        <f>report_47_flagged!AC56</f>
        <v>45188</v>
      </c>
      <c r="K63" s="89">
        <f>report_47_flagged!AD56</f>
        <v>45203</v>
      </c>
      <c r="L63" s="89">
        <f>report_47_flagged!AE56</f>
        <v>45195.5</v>
      </c>
      <c r="M63" s="503">
        <f>report_47_flagged!AF56</f>
        <v>15</v>
      </c>
      <c r="N63" s="193">
        <f>report_47_flagged!H56</f>
        <v>19.502857142857145</v>
      </c>
      <c r="O63" s="193">
        <f t="shared" si="0"/>
        <v>1.1701714285714286E-2</v>
      </c>
      <c r="P63" s="503">
        <f>report_47_flagged!J56</f>
        <v>1</v>
      </c>
      <c r="Q63" s="547">
        <f>report_47_flagged!BA56</f>
        <v>39.619999999999997</v>
      </c>
      <c r="R63" s="547">
        <f t="shared" si="1"/>
        <v>0.87163999999999986</v>
      </c>
      <c r="S63" s="548">
        <f>report_47_flagged!BB56</f>
        <v>1</v>
      </c>
      <c r="T63" s="547">
        <f>report_47_flagged!BC56</f>
        <v>8.73</v>
      </c>
      <c r="U63" s="547">
        <f t="shared" si="2"/>
        <v>0.25317000000000001</v>
      </c>
      <c r="V63" s="548">
        <f>report_47_flagged!BD56</f>
        <v>1</v>
      </c>
      <c r="W63" s="505">
        <f>(report_47_flagged!N56/100)*report_47_flagged!H56</f>
        <v>2.4090760996137348</v>
      </c>
      <c r="X63" s="505">
        <f t="shared" si="3"/>
        <v>5.0611243103191289E-2</v>
      </c>
      <c r="Y63" s="503">
        <f>report_47_flagged!AP56</f>
        <v>1</v>
      </c>
      <c r="Z63" s="505">
        <f>(report_47_flagged!P56/100)*report_47_flagged!H56</f>
        <v>7.7823064574173526E-2</v>
      </c>
      <c r="AA63" s="505">
        <f t="shared" si="4"/>
        <v>2.9576450664145918E-3</v>
      </c>
      <c r="AB63" s="503">
        <f>report_47_flagged!AR56</f>
        <v>1</v>
      </c>
      <c r="AC63" s="505">
        <f>(report_47_flagged!R56/100)*report_47_flagged!H56</f>
        <v>0.60724670681948623</v>
      </c>
      <c r="AD63" s="505">
        <f t="shared" si="5"/>
        <v>1.7006811071745891E-2</v>
      </c>
      <c r="AE63" s="503">
        <f>report_47_flagged!AT56</f>
        <v>1</v>
      </c>
      <c r="AF63" s="505">
        <f>(report_47_flagged!L56/100)*report_47_flagged!H56</f>
        <v>1.8018293927942488</v>
      </c>
      <c r="AG63" s="505">
        <f t="shared" si="6"/>
        <v>3.4251824172210558E-2</v>
      </c>
      <c r="AH63" s="503">
        <f>report_47_flagged!AV56</f>
        <v>1</v>
      </c>
      <c r="AI63" s="505">
        <f>(report_47_flagged!T56/100)*report_47_flagged!H56</f>
        <v>0.92725929341167823</v>
      </c>
      <c r="AJ63" s="505">
        <f t="shared" si="7"/>
        <v>4.5439111508129168E-2</v>
      </c>
      <c r="AK63" s="503">
        <f>report_47_flagged!AX56</f>
        <v>1</v>
      </c>
    </row>
    <row r="64" spans="1:37" ht="15.75">
      <c r="A64" s="43">
        <v>2023</v>
      </c>
      <c r="B64" s="43" t="str">
        <f>LEFT([1]report_47_flagged!B57,2)</f>
        <v>47</v>
      </c>
      <c r="C64" s="43">
        <f>report_47_flagged!E57</f>
        <v>3800</v>
      </c>
      <c r="D64" s="134">
        <f>report_47_flagged!AM57</f>
        <v>3816.4</v>
      </c>
      <c r="E64" s="43" t="str">
        <f>report_47_flagged!D57</f>
        <v>McLane-PARFLUX-Mark78H-21 ; frame# 10705, controller# 11649-01 and Motor # 11649-01 Cup set Lx21</v>
      </c>
      <c r="F64" s="43"/>
      <c r="G64" s="43"/>
      <c r="H64" s="43">
        <f>report_47_flagged!C57</f>
        <v>10</v>
      </c>
      <c r="I64" s="43">
        <f>report_47_flagged!F57</f>
        <v>1</v>
      </c>
      <c r="J64" s="89">
        <f>report_47_flagged!AC57</f>
        <v>45203</v>
      </c>
      <c r="K64" s="89">
        <f>report_47_flagged!AD57</f>
        <v>45218</v>
      </c>
      <c r="L64" s="89">
        <f>report_47_flagged!AE57</f>
        <v>45210.5</v>
      </c>
      <c r="M64" s="503">
        <f>report_47_flagged!AF57</f>
        <v>15</v>
      </c>
      <c r="N64" s="193">
        <f>report_47_flagged!H57</f>
        <v>43.097142857142863</v>
      </c>
      <c r="O64" s="193">
        <f t="shared" si="0"/>
        <v>2.5858285714285716E-2</v>
      </c>
      <c r="P64" s="503">
        <f>report_47_flagged!J57</f>
        <v>1</v>
      </c>
      <c r="Q64" s="547">
        <f>report_47_flagged!BA57</f>
        <v>39.659999999999997</v>
      </c>
      <c r="R64" s="547">
        <f t="shared" si="1"/>
        <v>0.87251999999999985</v>
      </c>
      <c r="S64" s="548">
        <f>report_47_flagged!BB57</f>
        <v>1</v>
      </c>
      <c r="T64" s="547">
        <f>report_47_flagged!BC57</f>
        <v>8.39</v>
      </c>
      <c r="U64" s="547">
        <f t="shared" si="2"/>
        <v>0.24331000000000003</v>
      </c>
      <c r="V64" s="548">
        <f>report_47_flagged!BD57</f>
        <v>1</v>
      </c>
      <c r="W64" s="505">
        <f>(report_47_flagged!N57/100)*report_47_flagged!H57</f>
        <v>5.2550511598859524</v>
      </c>
      <c r="X64" s="505">
        <f t="shared" si="3"/>
        <v>0.11040110846450198</v>
      </c>
      <c r="Y64" s="503">
        <f>report_47_flagged!AP57</f>
        <v>1</v>
      </c>
      <c r="Z64" s="505">
        <f>(report_47_flagged!P57/100)*report_47_flagged!H57</f>
        <v>0.1563652461392539</v>
      </c>
      <c r="AA64" s="505">
        <f t="shared" si="4"/>
        <v>5.9426199846150047E-3</v>
      </c>
      <c r="AB64" s="503">
        <f>report_47_flagged!AR57</f>
        <v>1</v>
      </c>
      <c r="AC64" s="505">
        <f>(report_47_flagged!R57/100)*report_47_flagged!H57</f>
        <v>1.2238115846147692</v>
      </c>
      <c r="AD64" s="505">
        <f t="shared" si="5"/>
        <v>3.4274590826466805E-2</v>
      </c>
      <c r="AE64" s="503">
        <f>report_47_flagged!AT57</f>
        <v>1</v>
      </c>
      <c r="AF64" s="505">
        <f>(report_47_flagged!L57/100)*report_47_flagged!H57</f>
        <v>4.0312395752711829</v>
      </c>
      <c r="AG64" s="505">
        <f t="shared" si="6"/>
        <v>7.6631733104385202E-2</v>
      </c>
      <c r="AH64" s="503">
        <f>report_47_flagged!AV57</f>
        <v>1</v>
      </c>
      <c r="AI64" s="505">
        <f>(report_47_flagged!T57/100)*report_47_flagged!H57</f>
        <v>2.0841876575987084</v>
      </c>
      <c r="AJ64" s="505">
        <f t="shared" si="7"/>
        <v>0.10213285113492886</v>
      </c>
      <c r="AK64" s="503">
        <f>report_47_flagged!AX57</f>
        <v>1</v>
      </c>
    </row>
    <row r="65" spans="1:37" ht="15.75">
      <c r="A65" s="43">
        <v>2023</v>
      </c>
      <c r="B65" s="43" t="str">
        <f>LEFT([1]report_47_flagged!B58,2)</f>
        <v>47</v>
      </c>
      <c r="C65" s="43">
        <f>report_47_flagged!E58</f>
        <v>3800</v>
      </c>
      <c r="D65" s="134">
        <f>report_47_flagged!AM58</f>
        <v>3816.4</v>
      </c>
      <c r="E65" s="43" t="str">
        <f>report_47_flagged!D58</f>
        <v>McLane-PARFLUX-Mark78H-21 ; frame# 10705, controller# 11649-01 and Motor # 11649-01 Cup set Lx21</v>
      </c>
      <c r="F65" s="43"/>
      <c r="G65" s="43"/>
      <c r="H65" s="43">
        <f>report_47_flagged!C58</f>
        <v>11</v>
      </c>
      <c r="I65" s="43">
        <f>report_47_flagged!F58</f>
        <v>1</v>
      </c>
      <c r="J65" s="89">
        <f>report_47_flagged!AC58</f>
        <v>45218</v>
      </c>
      <c r="K65" s="89">
        <f>report_47_flagged!AD58</f>
        <v>45233</v>
      </c>
      <c r="L65" s="89">
        <f>report_47_flagged!AE58</f>
        <v>45225.5</v>
      </c>
      <c r="M65" s="503">
        <f>report_47_flagged!AF58</f>
        <v>15</v>
      </c>
      <c r="N65" s="193">
        <f>report_47_flagged!H58</f>
        <v>53.24</v>
      </c>
      <c r="O65" s="193">
        <f t="shared" si="0"/>
        <v>3.1944E-2</v>
      </c>
      <c r="P65" s="503">
        <f>report_47_flagged!J58</f>
        <v>1</v>
      </c>
      <c r="Q65" s="547">
        <f>report_47_flagged!BA58</f>
        <v>39.799999999999997</v>
      </c>
      <c r="R65" s="547">
        <f t="shared" si="1"/>
        <v>0.87559999999999993</v>
      </c>
      <c r="S65" s="548">
        <f>report_47_flagged!BB58</f>
        <v>1</v>
      </c>
      <c r="T65" s="547">
        <f>report_47_flagged!BC58</f>
        <v>8.66</v>
      </c>
      <c r="U65" s="547">
        <f t="shared" si="2"/>
        <v>0.25114000000000003</v>
      </c>
      <c r="V65" s="548">
        <f>report_47_flagged!BD58</f>
        <v>1</v>
      </c>
      <c r="W65" s="505">
        <f>(report_47_flagged!N58/100)*report_47_flagged!H58</f>
        <v>6.5692438625335692</v>
      </c>
      <c r="X65" s="505">
        <f t="shared" si="3"/>
        <v>0.13801041743104023</v>
      </c>
      <c r="Y65" s="503">
        <f>report_47_flagged!AP58</f>
        <v>1</v>
      </c>
      <c r="Z65" s="505">
        <f>(report_47_flagged!P58/100)*report_47_flagged!H58</f>
        <v>0.22275891528129579</v>
      </c>
      <c r="AA65" s="505">
        <f t="shared" si="4"/>
        <v>8.4658938887409822E-3</v>
      </c>
      <c r="AB65" s="503">
        <f>report_47_flagged!AR58</f>
        <v>1</v>
      </c>
      <c r="AC65" s="505">
        <f>(report_47_flagged!R58/100)*report_47_flagged!H58</f>
        <v>1.6621912119928497</v>
      </c>
      <c r="AD65" s="505">
        <f t="shared" si="5"/>
        <v>4.6552038224362088E-2</v>
      </c>
      <c r="AE65" s="503">
        <f>report_47_flagged!AT58</f>
        <v>1</v>
      </c>
      <c r="AF65" s="505">
        <f>(report_47_flagged!L58/100)*report_47_flagged!H58</f>
        <v>4.9070526505407193</v>
      </c>
      <c r="AG65" s="505">
        <f t="shared" si="6"/>
        <v>9.3280476643491553E-2</v>
      </c>
      <c r="AH65" s="503">
        <f>report_47_flagged!AV58</f>
        <v>1</v>
      </c>
      <c r="AI65" s="505">
        <f>(report_47_flagged!T58/100)*report_47_flagged!H58</f>
        <v>2.6384985198062476</v>
      </c>
      <c r="AJ65" s="505">
        <f t="shared" si="7"/>
        <v>0.12929611955076026</v>
      </c>
      <c r="AK65" s="503">
        <f>report_47_flagged!AX58</f>
        <v>1</v>
      </c>
    </row>
    <row r="66" spans="1:37" ht="15.75">
      <c r="A66" s="43">
        <v>2023</v>
      </c>
      <c r="B66" s="43" t="str">
        <f>LEFT([1]report_47_flagged!B59,2)</f>
        <v>47</v>
      </c>
      <c r="C66" s="43">
        <f>report_47_flagged!E59</f>
        <v>3800</v>
      </c>
      <c r="D66" s="134">
        <f>report_47_flagged!AM59</f>
        <v>3816.4</v>
      </c>
      <c r="E66" s="43" t="str">
        <f>report_47_flagged!D59</f>
        <v>McLane-PARFLUX-Mark78H-21 ; frame# 10705, controller# 11649-01 and Motor # 11649-01 Cup set Lx21</v>
      </c>
      <c r="F66" s="43"/>
      <c r="G66" s="43"/>
      <c r="H66" s="43">
        <f>report_47_flagged!C59</f>
        <v>12</v>
      </c>
      <c r="I66" s="43">
        <f>report_47_flagged!F59</f>
        <v>1</v>
      </c>
      <c r="J66" s="89">
        <f>report_47_flagged!AC59</f>
        <v>45233</v>
      </c>
      <c r="K66" s="89">
        <f>report_47_flagged!AD59</f>
        <v>45248</v>
      </c>
      <c r="L66" s="89">
        <f>report_47_flagged!AE59</f>
        <v>45240.5</v>
      </c>
      <c r="M66" s="503">
        <f>report_47_flagged!AF59</f>
        <v>15</v>
      </c>
      <c r="N66" s="193">
        <f>report_47_flagged!H59</f>
        <v>54.76</v>
      </c>
      <c r="O66" s="193">
        <f t="shared" si="0"/>
        <v>3.2855999999999996E-2</v>
      </c>
      <c r="P66" s="503">
        <f>report_47_flagged!J59</f>
        <v>1</v>
      </c>
      <c r="Q66" s="547">
        <f>report_47_flagged!BA59</f>
        <v>39.715000000000003</v>
      </c>
      <c r="R66" s="547">
        <f t="shared" si="1"/>
        <v>0.87373000000000001</v>
      </c>
      <c r="S66" s="548">
        <f>report_47_flagged!BB59</f>
        <v>1</v>
      </c>
      <c r="T66" s="547">
        <f>report_47_flagged!BC59</f>
        <v>8.6649999999999991</v>
      </c>
      <c r="U66" s="547">
        <f t="shared" si="2"/>
        <v>0.25128499999999998</v>
      </c>
      <c r="V66" s="548">
        <f>report_47_flagged!BD59</f>
        <v>1</v>
      </c>
      <c r="W66" s="505">
        <f>(report_47_flagged!N59/100)*report_47_flagged!H59</f>
        <v>7.2757730335235591</v>
      </c>
      <c r="X66" s="505">
        <f t="shared" si="3"/>
        <v>0.1528535847507459</v>
      </c>
      <c r="Y66" s="503">
        <f>report_47_flagged!AP59</f>
        <v>1</v>
      </c>
      <c r="Z66" s="505">
        <f>(report_47_flagged!P59/100)*report_47_flagged!H59</f>
        <v>0.3308770261287689</v>
      </c>
      <c r="AA66" s="505">
        <f t="shared" si="4"/>
        <v>1.2574894207448757E-2</v>
      </c>
      <c r="AB66" s="503">
        <f>report_47_flagged!AR59</f>
        <v>1</v>
      </c>
      <c r="AC66" s="505">
        <f>(report_47_flagged!R59/100)*report_47_flagged!H59</f>
        <v>2.4441977540089987</v>
      </c>
      <c r="AD66" s="505">
        <f t="shared" si="5"/>
        <v>6.8453248008759376E-2</v>
      </c>
      <c r="AE66" s="503">
        <f>report_47_flagged!AT59</f>
        <v>1</v>
      </c>
      <c r="AF66" s="505">
        <f>(report_47_flagged!L59/100)*report_47_flagged!H59</f>
        <v>4.8315752795145608</v>
      </c>
      <c r="AG66" s="505">
        <f t="shared" si="6"/>
        <v>9.1845691723394587E-2</v>
      </c>
      <c r="AH66" s="503">
        <f>report_47_flagged!AV59</f>
        <v>1</v>
      </c>
      <c r="AI66" s="505">
        <f>(report_47_flagged!T59/100)*report_47_flagged!H59</f>
        <v>2.6976100886134775</v>
      </c>
      <c r="AJ66" s="505">
        <f t="shared" si="7"/>
        <v>0.1321928035587141</v>
      </c>
      <c r="AK66" s="503">
        <f>report_47_flagged!AX59</f>
        <v>1</v>
      </c>
    </row>
    <row r="67" spans="1:37" ht="15.75">
      <c r="A67" s="43">
        <v>2023</v>
      </c>
      <c r="B67" s="43" t="str">
        <f>LEFT([1]report_47_flagged!B60,2)</f>
        <v>47</v>
      </c>
      <c r="C67" s="43">
        <f>report_47_flagged!E60</f>
        <v>3800</v>
      </c>
      <c r="D67" s="134">
        <f>report_47_flagged!AM60</f>
        <v>3816.4</v>
      </c>
      <c r="E67" s="43" t="str">
        <f>report_47_flagged!D60</f>
        <v>McLane-PARFLUX-Mark78H-21 ; frame# 10705, controller# 11649-01 and Motor # 11649-01 Cup set Lx21</v>
      </c>
      <c r="F67" s="43"/>
      <c r="G67" s="43"/>
      <c r="H67" s="43">
        <f>report_47_flagged!C60</f>
        <v>13</v>
      </c>
      <c r="I67" s="43">
        <f>report_47_flagged!F60</f>
        <v>1</v>
      </c>
      <c r="J67" s="89">
        <f>report_47_flagged!AC60</f>
        <v>45248</v>
      </c>
      <c r="K67" s="89">
        <f>report_47_flagged!AD60</f>
        <v>45263</v>
      </c>
      <c r="L67" s="89">
        <f>report_47_flagged!AE60</f>
        <v>45255.5</v>
      </c>
      <c r="M67" s="503">
        <f>report_47_flagged!AF60</f>
        <v>15</v>
      </c>
      <c r="N67" s="193">
        <f>report_47_flagged!H60</f>
        <v>167.79238095238094</v>
      </c>
      <c r="O67" s="193">
        <f t="shared" si="0"/>
        <v>0.10067542857142855</v>
      </c>
      <c r="P67" s="503">
        <f>report_47_flagged!J60</f>
        <v>2</v>
      </c>
      <c r="Q67" s="547">
        <f>report_47_flagged!BA60</f>
        <v>39.49</v>
      </c>
      <c r="R67" s="547">
        <f t="shared" si="1"/>
        <v>0.86878</v>
      </c>
      <c r="S67" s="548">
        <f>report_47_flagged!BB60</f>
        <v>1</v>
      </c>
      <c r="T67" s="547">
        <f>report_47_flagged!BC60</f>
        <v>8.49</v>
      </c>
      <c r="U67" s="547">
        <f t="shared" si="2"/>
        <v>0.24621000000000001</v>
      </c>
      <c r="V67" s="548">
        <f>report_47_flagged!BD60</f>
        <v>1</v>
      </c>
      <c r="W67" s="505">
        <f>(report_47_flagged!N60/100)*report_47_flagged!H60</f>
        <v>22.026952106403165</v>
      </c>
      <c r="X67" s="505">
        <f t="shared" si="3"/>
        <v>0.46275475816570016</v>
      </c>
      <c r="Y67" s="503">
        <f>report_47_flagged!AP60</f>
        <v>2</v>
      </c>
      <c r="Z67" s="505">
        <f>(report_47_flagged!P60/100)*report_47_flagged!H60</f>
        <v>1.1580134542204084</v>
      </c>
      <c r="AA67" s="505">
        <f t="shared" si="4"/>
        <v>4.4009996245423282E-2</v>
      </c>
      <c r="AB67" s="503">
        <f>report_47_flagged!AR60</f>
        <v>2</v>
      </c>
      <c r="AC67" s="505">
        <f>(report_47_flagged!R60/100)*report_47_flagged!H60</f>
        <v>9.0220084417364212</v>
      </c>
      <c r="AD67" s="505">
        <f t="shared" si="5"/>
        <v>0.25267422833783937</v>
      </c>
      <c r="AE67" s="503">
        <f>report_47_flagged!AT60</f>
        <v>2</v>
      </c>
      <c r="AF67" s="505">
        <f>(report_47_flagged!L60/100)*report_47_flagged!H60</f>
        <v>13.004943664666746</v>
      </c>
      <c r="AG67" s="505">
        <f t="shared" si="6"/>
        <v>0.24721710365756822</v>
      </c>
      <c r="AH67" s="503">
        <f>report_47_flagged!AV60</f>
        <v>2</v>
      </c>
      <c r="AI67" s="505">
        <f>(report_47_flagged!T60/100)*report_47_flagged!H60</f>
        <v>13.925967253378854</v>
      </c>
      <c r="AJ67" s="505">
        <f t="shared" si="7"/>
        <v>0.68242355011253375</v>
      </c>
      <c r="AK67" s="503">
        <f>report_47_flagged!AX60</f>
        <v>2</v>
      </c>
    </row>
    <row r="68" spans="1:37" ht="15.75">
      <c r="A68" s="43">
        <v>2023</v>
      </c>
      <c r="B68" s="43" t="str">
        <f>LEFT([1]report_47_flagged!B61,2)</f>
        <v>47</v>
      </c>
      <c r="C68" s="43">
        <f>report_47_flagged!E61</f>
        <v>3800</v>
      </c>
      <c r="D68" s="134">
        <f>report_47_flagged!AM61</f>
        <v>3816.4</v>
      </c>
      <c r="E68" s="43" t="str">
        <f>report_47_flagged!D61</f>
        <v>McLane-PARFLUX-Mark78H-21 ; frame# 10705, controller# 11649-01 and Motor # 11649-01 Cup set Lx21</v>
      </c>
      <c r="F68" s="43"/>
      <c r="G68" s="43"/>
      <c r="H68" s="43">
        <f>report_47_flagged!C61</f>
        <v>14</v>
      </c>
      <c r="I68" s="43">
        <f>report_47_flagged!F61</f>
        <v>1</v>
      </c>
      <c r="J68" s="89">
        <f>report_47_flagged!AC61</f>
        <v>45263</v>
      </c>
      <c r="K68" s="89">
        <f>report_47_flagged!AD61</f>
        <v>45278</v>
      </c>
      <c r="L68" s="89">
        <f>report_47_flagged!AE61</f>
        <v>45270.5</v>
      </c>
      <c r="M68" s="503">
        <f>report_47_flagged!AF61</f>
        <v>15</v>
      </c>
      <c r="N68" s="193">
        <f>report_47_flagged!H61</f>
        <v>172.01904761904763</v>
      </c>
      <c r="O68" s="193">
        <f t="shared" si="0"/>
        <v>0.10321142857142857</v>
      </c>
      <c r="P68" s="503">
        <f>report_47_flagged!J61</f>
        <v>2</v>
      </c>
      <c r="Q68" s="547">
        <f>report_47_flagged!BA61</f>
        <v>39.15</v>
      </c>
      <c r="R68" s="547">
        <f t="shared" si="1"/>
        <v>0.86129999999999995</v>
      </c>
      <c r="S68" s="548">
        <f>report_47_flagged!BB61</f>
        <v>1</v>
      </c>
      <c r="T68" s="547">
        <f>report_47_flagged!BC61</f>
        <v>8.5399999999999991</v>
      </c>
      <c r="U68" s="547">
        <f t="shared" si="2"/>
        <v>0.24765999999999999</v>
      </c>
      <c r="V68" s="548">
        <f>report_47_flagged!BD61</f>
        <v>1</v>
      </c>
      <c r="W68" s="505">
        <f>(report_47_flagged!N61/100)*report_47_flagged!H61</f>
        <v>19.925447267623177</v>
      </c>
      <c r="X68" s="505">
        <f t="shared" si="3"/>
        <v>0.41860514732730436</v>
      </c>
      <c r="Y68" s="503">
        <f>report_47_flagged!AP61</f>
        <v>2</v>
      </c>
      <c r="Z68" s="505">
        <f>(report_47_flagged!P61/100)*report_47_flagged!H61</f>
        <v>1.0761290838718416</v>
      </c>
      <c r="AA68" s="505">
        <f t="shared" si="4"/>
        <v>4.0898002323016436E-2</v>
      </c>
      <c r="AB68" s="503">
        <f>report_47_flagged!AR61</f>
        <v>2</v>
      </c>
      <c r="AC68" s="505">
        <f>(report_47_flagged!R61/100)*report_47_flagged!H61</f>
        <v>7.5153142913873978</v>
      </c>
      <c r="AD68" s="505">
        <f t="shared" si="5"/>
        <v>0.21047710734874572</v>
      </c>
      <c r="AE68" s="503">
        <f>report_47_flagged!AT61</f>
        <v>2</v>
      </c>
      <c r="AF68" s="505">
        <f>(report_47_flagged!L61/100)*report_47_flagged!H61</f>
        <v>12.410132976235779</v>
      </c>
      <c r="AG68" s="505">
        <f t="shared" si="6"/>
        <v>0.23591006693291233</v>
      </c>
      <c r="AH68" s="503">
        <f>report_47_flagged!AV61</f>
        <v>2</v>
      </c>
      <c r="AI68" s="505">
        <f>(report_47_flagged!T61/100)*report_47_flagged!H61</f>
        <v>18.507176057063042</v>
      </c>
      <c r="AJ68" s="505">
        <f t="shared" si="7"/>
        <v>0.90691960979258346</v>
      </c>
      <c r="AK68" s="503">
        <f>report_47_flagged!AX61</f>
        <v>2</v>
      </c>
    </row>
    <row r="69" spans="1:37" ht="15.75">
      <c r="A69" s="43">
        <v>2023</v>
      </c>
      <c r="B69" s="43" t="str">
        <f>LEFT([1]report_47_flagged!B62,2)</f>
        <v>47</v>
      </c>
      <c r="C69" s="43">
        <f>report_47_flagged!E62</f>
        <v>3800</v>
      </c>
      <c r="D69" s="134">
        <f>report_47_flagged!AM62</f>
        <v>3816.4</v>
      </c>
      <c r="E69" s="43" t="str">
        <f>report_47_flagged!D62</f>
        <v>McLane-PARFLUX-Mark78H-21 ; frame# 10705, controller# 11649-01 and Motor # 11649-01 Cup set Lx21</v>
      </c>
      <c r="F69" s="43"/>
      <c r="G69" s="43"/>
      <c r="H69" s="43">
        <f>report_47_flagged!C62</f>
        <v>15</v>
      </c>
      <c r="I69" s="43">
        <f>report_47_flagged!F62</f>
        <v>1</v>
      </c>
      <c r="J69" s="89">
        <f>report_47_flagged!AC62</f>
        <v>45278</v>
      </c>
      <c r="K69" s="89">
        <f>report_47_flagged!AD62</f>
        <v>45293</v>
      </c>
      <c r="L69" s="89">
        <f>report_47_flagged!AE62</f>
        <v>45285.5</v>
      </c>
      <c r="M69" s="503">
        <f>report_47_flagged!AF62</f>
        <v>15</v>
      </c>
      <c r="N69" s="193">
        <f>report_47_flagged!H62</f>
        <v>132.8342857142857</v>
      </c>
      <c r="O69" s="193">
        <f t="shared" si="0"/>
        <v>7.9700571428571412E-2</v>
      </c>
      <c r="P69" s="503">
        <f>report_47_flagged!J62</f>
        <v>1</v>
      </c>
      <c r="Q69" s="547">
        <f>report_47_flagged!BA62</f>
        <v>39.31</v>
      </c>
      <c r="R69" s="547">
        <f t="shared" si="1"/>
        <v>0.86482000000000003</v>
      </c>
      <c r="S69" s="548">
        <f>report_47_flagged!BB62</f>
        <v>1</v>
      </c>
      <c r="T69" s="547">
        <f>report_47_flagged!BC62</f>
        <v>8.58</v>
      </c>
      <c r="U69" s="547">
        <f t="shared" si="2"/>
        <v>0.24882000000000001</v>
      </c>
      <c r="V69" s="548">
        <f>report_47_flagged!BD62</f>
        <v>1</v>
      </c>
      <c r="W69" s="505">
        <f>(report_47_flagged!N62/100)*report_47_flagged!H62</f>
        <v>15.611654171534946</v>
      </c>
      <c r="X69" s="505">
        <f t="shared" si="3"/>
        <v>0.32797852448297182</v>
      </c>
      <c r="Y69" s="503">
        <f>report_47_flagged!AP62</f>
        <v>1</v>
      </c>
      <c r="Z69" s="505">
        <f>(report_47_flagged!P62/100)*report_47_flagged!H62</f>
        <v>0.81024054816109792</v>
      </c>
      <c r="AA69" s="505">
        <f t="shared" si="4"/>
        <v>3.0792978572486078E-2</v>
      </c>
      <c r="AB69" s="503">
        <f>report_47_flagged!AR62</f>
        <v>1</v>
      </c>
      <c r="AC69" s="505">
        <f>(report_47_flagged!R62/100)*report_47_flagged!H62</f>
        <v>6.0588043494763975</v>
      </c>
      <c r="AD69" s="505">
        <f t="shared" si="5"/>
        <v>0.16968546677165913</v>
      </c>
      <c r="AE69" s="503">
        <f>report_47_flagged!AT62</f>
        <v>1</v>
      </c>
      <c r="AF69" s="505">
        <f>(report_47_flagged!L62/100)*report_47_flagged!H62</f>
        <v>9.5528498220585476</v>
      </c>
      <c r="AG69" s="505">
        <f t="shared" si="6"/>
        <v>0.18159462475038313</v>
      </c>
      <c r="AH69" s="503">
        <f>report_47_flagged!AV62</f>
        <v>1</v>
      </c>
      <c r="AI69" s="505">
        <f>(report_47_flagged!T62/100)*report_47_flagged!H62</f>
        <v>14.011585965785311</v>
      </c>
      <c r="AJ69" s="505">
        <f t="shared" si="7"/>
        <v>0.68661918152638057</v>
      </c>
      <c r="AK69" s="503">
        <f>report_47_flagged!AX62</f>
        <v>1</v>
      </c>
    </row>
    <row r="70" spans="1:37" ht="15.75">
      <c r="A70" s="43">
        <v>2023</v>
      </c>
      <c r="B70" s="43" t="str">
        <f>LEFT([1]report_47_flagged!B63,2)</f>
        <v>47</v>
      </c>
      <c r="C70" s="43">
        <f>report_47_flagged!E63</f>
        <v>3800</v>
      </c>
      <c r="D70" s="134">
        <f>report_47_flagged!AM63</f>
        <v>3816.4</v>
      </c>
      <c r="E70" s="43" t="str">
        <f>report_47_flagged!D63</f>
        <v>McLane-PARFLUX-Mark78H-21 ; frame# 10705, controller# 11649-01 and Motor # 11649-01 Cup set Lx21</v>
      </c>
      <c r="F70" s="43"/>
      <c r="G70" s="43"/>
      <c r="H70" s="43">
        <f>report_47_flagged!C63</f>
        <v>16</v>
      </c>
      <c r="I70" s="43">
        <f>report_47_flagged!F63</f>
        <v>1</v>
      </c>
      <c r="J70" s="89">
        <f>report_47_flagged!AC63</f>
        <v>45293</v>
      </c>
      <c r="K70" s="89">
        <f>report_47_flagged!AD63</f>
        <v>45308</v>
      </c>
      <c r="L70" s="89">
        <f>report_47_flagged!AE63</f>
        <v>45300.5</v>
      </c>
      <c r="M70" s="503">
        <f>report_47_flagged!AF63</f>
        <v>15</v>
      </c>
      <c r="N70" s="193">
        <f>report_47_flagged!H63</f>
        <v>51.377142857142864</v>
      </c>
      <c r="O70" s="193">
        <f t="shared" si="0"/>
        <v>3.0826285714285716E-2</v>
      </c>
      <c r="P70" s="503">
        <f>report_47_flagged!J63</f>
        <v>1</v>
      </c>
      <c r="Q70" s="547">
        <f>report_47_flagged!BA63</f>
        <v>39.659999999999997</v>
      </c>
      <c r="R70" s="547">
        <f t="shared" si="1"/>
        <v>0.87251999999999985</v>
      </c>
      <c r="S70" s="548">
        <f>report_47_flagged!BB63</f>
        <v>1</v>
      </c>
      <c r="T70" s="547">
        <f>report_47_flagged!BC63</f>
        <v>8.67</v>
      </c>
      <c r="U70" s="547">
        <f t="shared" si="2"/>
        <v>0.25142999999999999</v>
      </c>
      <c r="V70" s="548">
        <f>report_47_flagged!BD63</f>
        <v>1</v>
      </c>
      <c r="W70" s="505">
        <f>(report_47_flagged!N63/100)*report_47_flagged!H63</f>
        <v>6.2757474766322554</v>
      </c>
      <c r="X70" s="505">
        <f t="shared" si="3"/>
        <v>0.13184447815700023</v>
      </c>
      <c r="Y70" s="503">
        <f>report_47_flagged!AP63</f>
        <v>1</v>
      </c>
      <c r="Z70" s="505">
        <f>(report_47_flagged!P63/100)*report_47_flagged!H63</f>
        <v>0.3059031709057945</v>
      </c>
      <c r="AA70" s="505">
        <f t="shared" si="4"/>
        <v>1.1625769419138956E-2</v>
      </c>
      <c r="AB70" s="503">
        <f>report_47_flagged!AR63</f>
        <v>1</v>
      </c>
      <c r="AC70" s="505">
        <f>(report_47_flagged!R63/100)*report_47_flagged!H63</f>
        <v>1.9828150945431589</v>
      </c>
      <c r="AD70" s="505">
        <f t="shared" si="5"/>
        <v>5.553156785274372E-2</v>
      </c>
      <c r="AE70" s="503">
        <f>report_47_flagged!AT63</f>
        <v>1</v>
      </c>
      <c r="AF70" s="505">
        <f>(report_47_flagged!L63/100)*report_47_flagged!H63</f>
        <v>4.2929323820890959</v>
      </c>
      <c r="AG70" s="505">
        <f t="shared" si="6"/>
        <v>8.1606375011163648E-2</v>
      </c>
      <c r="AH70" s="503">
        <f>report_47_flagged!AV63</f>
        <v>1</v>
      </c>
      <c r="AI70" s="505">
        <f>(report_47_flagged!T63/100)*report_47_flagged!H63</f>
        <v>3.6385743682265739</v>
      </c>
      <c r="AJ70" s="505">
        <f t="shared" si="7"/>
        <v>0.17830350973367301</v>
      </c>
      <c r="AK70" s="503">
        <f>report_47_flagged!AX63</f>
        <v>1</v>
      </c>
    </row>
    <row r="71" spans="1:37" ht="15.75">
      <c r="A71" s="43">
        <v>2023</v>
      </c>
      <c r="B71" s="43" t="str">
        <f>LEFT([1]report_47_flagged!B64,2)</f>
        <v>47</v>
      </c>
      <c r="C71" s="43">
        <f>report_47_flagged!E64</f>
        <v>3800</v>
      </c>
      <c r="D71" s="134">
        <f>report_47_flagged!AM64</f>
        <v>3816.4</v>
      </c>
      <c r="E71" s="43" t="str">
        <f>report_47_flagged!D64</f>
        <v>McLane-PARFLUX-Mark78H-21 ; frame# 10705, controller# 11649-01 and Motor # 11649-01 Cup set Lx21</v>
      </c>
      <c r="F71" s="43"/>
      <c r="G71" s="43"/>
      <c r="H71" s="43">
        <f>report_47_flagged!C64</f>
        <v>17</v>
      </c>
      <c r="I71" s="43">
        <f>report_47_flagged!F64</f>
        <v>1</v>
      </c>
      <c r="J71" s="89">
        <f>report_47_flagged!AC64</f>
        <v>45308</v>
      </c>
      <c r="K71" s="89">
        <f>report_47_flagged!AD64</f>
        <v>45323</v>
      </c>
      <c r="L71" s="89">
        <f>report_47_flagged!AE64</f>
        <v>45315.5</v>
      </c>
      <c r="M71" s="503">
        <f>report_47_flagged!AF64</f>
        <v>15</v>
      </c>
      <c r="N71" s="193">
        <f>report_47_flagged!H64</f>
        <v>62.222857142857144</v>
      </c>
      <c r="O71" s="193">
        <f t="shared" si="0"/>
        <v>3.7333714285714283E-2</v>
      </c>
      <c r="P71" s="503">
        <f>report_47_flagged!J64</f>
        <v>1</v>
      </c>
      <c r="Q71" s="547">
        <f>report_47_flagged!BA64</f>
        <v>39.4</v>
      </c>
      <c r="R71" s="547">
        <f t="shared" si="1"/>
        <v>0.8667999999999999</v>
      </c>
      <c r="S71" s="548">
        <f>report_47_flagged!BB64</f>
        <v>1</v>
      </c>
      <c r="T71" s="547">
        <f>report_47_flagged!BC64</f>
        <v>8.67</v>
      </c>
      <c r="U71" s="547">
        <f t="shared" si="2"/>
        <v>0.25142999999999999</v>
      </c>
      <c r="V71" s="548">
        <f>report_47_flagged!BD64</f>
        <v>1</v>
      </c>
      <c r="W71" s="505">
        <f>(report_47_flagged!N64/100)*report_47_flagged!H64</f>
        <v>7.6425344627925327</v>
      </c>
      <c r="X71" s="505">
        <f t="shared" si="3"/>
        <v>0.16055871779348463</v>
      </c>
      <c r="Y71" s="503">
        <f>report_47_flagged!AP64</f>
        <v>1</v>
      </c>
      <c r="Z71" s="505">
        <f>(report_47_flagged!P64/100)*report_47_flagged!H64</f>
        <v>0.32360602084568574</v>
      </c>
      <c r="AA71" s="505">
        <f t="shared" si="4"/>
        <v>1.2298561567233995E-2</v>
      </c>
      <c r="AB71" s="503">
        <f>report_47_flagged!AR64</f>
        <v>1</v>
      </c>
      <c r="AC71" s="505">
        <f>(report_47_flagged!R64/100)*report_47_flagged!H64</f>
        <v>2.3407643239771518</v>
      </c>
      <c r="AD71" s="505">
        <f t="shared" si="5"/>
        <v>6.5556447114988231E-2</v>
      </c>
      <c r="AE71" s="503">
        <f>report_47_flagged!AT64</f>
        <v>1</v>
      </c>
      <c r="AF71" s="505">
        <f>(report_47_flagged!L64/100)*report_47_flagged!H64</f>
        <v>5.3017701388153808</v>
      </c>
      <c r="AG71" s="505">
        <f t="shared" si="6"/>
        <v>0.10078384741774339</v>
      </c>
      <c r="AH71" s="503">
        <f>report_47_flagged!AV64</f>
        <v>1</v>
      </c>
      <c r="AI71" s="505">
        <f>(report_47_flagged!T64/100)*report_47_flagged!H64</f>
        <v>4.2252883721447647</v>
      </c>
      <c r="AJ71" s="505">
        <f t="shared" si="7"/>
        <v>0.207054651120814</v>
      </c>
      <c r="AK71" s="503">
        <f>report_47_flagged!AX64</f>
        <v>1</v>
      </c>
    </row>
    <row r="72" spans="1:37" ht="15.75">
      <c r="A72" s="43">
        <v>2023</v>
      </c>
      <c r="B72" s="43" t="str">
        <f>LEFT([1]report_47_flagged!B65,2)</f>
        <v>47</v>
      </c>
      <c r="C72" s="43">
        <f>report_47_flagged!E65</f>
        <v>3800</v>
      </c>
      <c r="D72" s="134">
        <f>report_47_flagged!AM65</f>
        <v>3816.4</v>
      </c>
      <c r="E72" s="43" t="str">
        <f>report_47_flagged!D65</f>
        <v>McLane-PARFLUX-Mark78H-21 ; frame# 10705, controller# 11649-01 and Motor # 11649-01 Cup set Lx21</v>
      </c>
      <c r="F72" s="43"/>
      <c r="G72" s="43"/>
      <c r="H72" s="43">
        <f>report_47_flagged!C65</f>
        <v>18</v>
      </c>
      <c r="I72" s="43">
        <f>report_47_flagged!F65</f>
        <v>1</v>
      </c>
      <c r="J72" s="89">
        <f>report_47_flagged!AC65</f>
        <v>45323</v>
      </c>
      <c r="K72" s="89">
        <f>report_47_flagged!AD65</f>
        <v>45338</v>
      </c>
      <c r="L72" s="89">
        <f>report_47_flagged!AE65</f>
        <v>45330.5</v>
      </c>
      <c r="M72" s="503">
        <f>report_47_flagged!AF65</f>
        <v>15</v>
      </c>
      <c r="N72" s="193">
        <f>report_47_flagged!H65</f>
        <v>44.106666666666662</v>
      </c>
      <c r="O72" s="193">
        <f t="shared" si="0"/>
        <v>2.6463999999999994E-2</v>
      </c>
      <c r="P72" s="503">
        <f>report_47_flagged!J65</f>
        <v>1</v>
      </c>
      <c r="Q72" s="547">
        <f>report_47_flagged!BA65</f>
        <v>39.42</v>
      </c>
      <c r="R72" s="547">
        <f t="shared" si="1"/>
        <v>0.86724000000000001</v>
      </c>
      <c r="S72" s="548">
        <f>report_47_flagged!BB65</f>
        <v>1</v>
      </c>
      <c r="T72" s="547">
        <f>report_47_flagged!BC65</f>
        <v>8.6999999999999993</v>
      </c>
      <c r="U72" s="547">
        <f t="shared" si="2"/>
        <v>0.25229999999999997</v>
      </c>
      <c r="V72" s="548">
        <f>report_47_flagged!BD65</f>
        <v>1</v>
      </c>
      <c r="W72" s="505">
        <f>(report_47_flagged!N65/100)*report_47_flagged!H65</f>
        <v>5.3775594238281244</v>
      </c>
      <c r="X72" s="505">
        <f t="shared" si="3"/>
        <v>0.11297483186390862</v>
      </c>
      <c r="Y72" s="503">
        <f>report_47_flagged!AP65</f>
        <v>1</v>
      </c>
      <c r="Z72" s="505">
        <f>(report_47_flagged!P65/100)*report_47_flagged!H65</f>
        <v>0.18307722069422402</v>
      </c>
      <c r="AA72" s="505">
        <f t="shared" si="4"/>
        <v>6.9578015402243952E-3</v>
      </c>
      <c r="AB72" s="503">
        <f>report_47_flagged!AR65</f>
        <v>1</v>
      </c>
      <c r="AC72" s="505">
        <f>(report_47_flagged!R65/100)*report_47_flagged!H65</f>
        <v>1.5046596713686229</v>
      </c>
      <c r="AD72" s="505">
        <f t="shared" si="5"/>
        <v>4.2140142500350038E-2</v>
      </c>
      <c r="AE72" s="503">
        <f>report_47_flagged!AT65</f>
        <v>1</v>
      </c>
      <c r="AF72" s="505">
        <f>(report_47_flagged!L65/100)*report_47_flagged!H65</f>
        <v>3.8728997524595012</v>
      </c>
      <c r="AG72" s="505">
        <f t="shared" si="6"/>
        <v>7.3621776783274182E-2</v>
      </c>
      <c r="AH72" s="503">
        <f>report_47_flagged!AV65</f>
        <v>1</v>
      </c>
      <c r="AI72" s="505">
        <f>(report_47_flagged!T65/100)*report_47_flagged!H65</f>
        <v>2.5053511177257071</v>
      </c>
      <c r="AJ72" s="505">
        <f t="shared" si="7"/>
        <v>0.1227714077542409</v>
      </c>
      <c r="AK72" s="503">
        <f>report_47_flagged!AX65</f>
        <v>1</v>
      </c>
    </row>
    <row r="73" spans="1:37" ht="15.75">
      <c r="A73" s="43">
        <v>2023</v>
      </c>
      <c r="B73" s="43" t="str">
        <f>LEFT([1]report_47_flagged!B66,2)</f>
        <v>47</v>
      </c>
      <c r="C73" s="43">
        <f>report_47_flagged!E66</f>
        <v>3800</v>
      </c>
      <c r="D73" s="134">
        <f>report_47_flagged!AM66</f>
        <v>3816.4</v>
      </c>
      <c r="E73" s="43" t="str">
        <f>report_47_flagged!D66</f>
        <v>McLane-PARFLUX-Mark78H-21 ; frame# 10705, controller# 11649-01 and Motor # 11649-01 Cup set Lx21</v>
      </c>
      <c r="F73" s="43"/>
      <c r="G73" s="43"/>
      <c r="H73" s="43">
        <f>report_47_flagged!C66</f>
        <v>19</v>
      </c>
      <c r="I73" s="43">
        <f>report_47_flagged!F66</f>
        <v>1</v>
      </c>
      <c r="J73" s="89">
        <f>report_47_flagged!AC66</f>
        <v>45338</v>
      </c>
      <c r="K73" s="89">
        <f>report_47_flagged!AD66</f>
        <v>45353</v>
      </c>
      <c r="L73" s="89">
        <f>report_47_flagged!AE66</f>
        <v>45345.5</v>
      </c>
      <c r="M73" s="503">
        <f>report_47_flagged!AF66</f>
        <v>15</v>
      </c>
      <c r="N73" s="193">
        <f>report_47_flagged!H66</f>
        <v>63.230476190476189</v>
      </c>
      <c r="O73" s="193">
        <f t="shared" si="0"/>
        <v>3.7938285714285709E-2</v>
      </c>
      <c r="P73" s="503">
        <f>report_47_flagged!J66</f>
        <v>1</v>
      </c>
      <c r="Q73" s="547">
        <f>report_47_flagged!BA66</f>
        <v>37.79</v>
      </c>
      <c r="R73" s="547">
        <f t="shared" si="1"/>
        <v>0.8313799999999999</v>
      </c>
      <c r="S73" s="548">
        <f>report_47_flagged!BB66</f>
        <v>1</v>
      </c>
      <c r="T73" s="547">
        <f>report_47_flagged!BC66</f>
        <v>8.67</v>
      </c>
      <c r="U73" s="547">
        <f t="shared" si="2"/>
        <v>0.25142999999999999</v>
      </c>
      <c r="V73" s="548">
        <f>report_47_flagged!BD66</f>
        <v>1</v>
      </c>
      <c r="W73" s="505">
        <f>(report_47_flagged!N66/100)*report_47_flagged!H66</f>
        <v>7.8677113678705117</v>
      </c>
      <c r="X73" s="505">
        <f t="shared" si="3"/>
        <v>0.16528936249414525</v>
      </c>
      <c r="Y73" s="503">
        <f>report_47_flagged!AP66</f>
        <v>1</v>
      </c>
      <c r="Z73" s="505">
        <f>(report_47_flagged!P66/100)*report_47_flagged!H66</f>
        <v>0.25890134588196162</v>
      </c>
      <c r="AA73" s="505">
        <f t="shared" si="4"/>
        <v>9.8394774418842472E-3</v>
      </c>
      <c r="AB73" s="503">
        <f>report_47_flagged!AR66</f>
        <v>1</v>
      </c>
      <c r="AC73" s="505">
        <f>(report_47_flagged!R66/100)*report_47_flagged!H66</f>
        <v>1.7547309511740399</v>
      </c>
      <c r="AD73" s="505">
        <f t="shared" si="5"/>
        <v>4.9143745751482497E-2</v>
      </c>
      <c r="AE73" s="503">
        <f>report_47_flagged!AT66</f>
        <v>1</v>
      </c>
      <c r="AF73" s="505">
        <f>(report_47_flagged!L66/100)*report_47_flagged!H66</f>
        <v>6.1129804166964723</v>
      </c>
      <c r="AG73" s="505">
        <f t="shared" si="6"/>
        <v>0.11620452593247446</v>
      </c>
      <c r="AH73" s="503">
        <f>report_47_flagged!AV66</f>
        <v>1</v>
      </c>
      <c r="AI73" s="505">
        <f>(report_47_flagged!T66/100)*report_47_flagged!H66</f>
        <v>2.676021159216921</v>
      </c>
      <c r="AJ73" s="505">
        <f t="shared" si="7"/>
        <v>0.13113486671498409</v>
      </c>
      <c r="AK73" s="503">
        <f>report_47_flagged!AX66</f>
        <v>1</v>
      </c>
    </row>
    <row r="74" spans="1:37" ht="15.75">
      <c r="A74" s="43">
        <v>2023</v>
      </c>
      <c r="B74" s="43" t="str">
        <f>LEFT([1]report_47_flagged!B67,2)</f>
        <v>47</v>
      </c>
      <c r="C74" s="43">
        <f>report_47_flagged!E67</f>
        <v>3800</v>
      </c>
      <c r="D74" s="134">
        <f>report_47_flagged!AM67</f>
        <v>3816.4</v>
      </c>
      <c r="E74" s="43" t="str">
        <f>report_47_flagged!D67</f>
        <v>McLane-PARFLUX-Mark78H-21 ; frame# 10705, controller# 11649-01 and Motor # 11649-01 Cup set Lx21</v>
      </c>
      <c r="F74" s="43"/>
      <c r="G74" s="43"/>
      <c r="H74" s="43">
        <f>report_47_flagged!C67</f>
        <v>20</v>
      </c>
      <c r="I74" s="43">
        <f>report_47_flagged!F67</f>
        <v>1</v>
      </c>
      <c r="J74" s="89">
        <f>report_47_flagged!AC67</f>
        <v>45353</v>
      </c>
      <c r="K74" s="89">
        <f>report_47_flagged!AD67</f>
        <v>45368</v>
      </c>
      <c r="L74" s="89">
        <f>report_47_flagged!AE67</f>
        <v>45360.5</v>
      </c>
      <c r="M74" s="503">
        <f>report_47_flagged!AF67</f>
        <v>15</v>
      </c>
      <c r="N74" s="193">
        <f>report_47_flagged!H67</f>
        <v>67.622857142857143</v>
      </c>
      <c r="O74" s="193">
        <f>N74*$N$5</f>
        <v>4.0573714285714282E-2</v>
      </c>
      <c r="P74" s="503">
        <f>report_47_flagged!J67</f>
        <v>1</v>
      </c>
      <c r="Q74" s="547">
        <f>report_47_flagged!BA67</f>
        <v>38.840000000000003</v>
      </c>
      <c r="R74" s="547">
        <f t="shared" si="1"/>
        <v>0.85448000000000002</v>
      </c>
      <c r="S74" s="548">
        <f>report_47_flagged!BB67</f>
        <v>1</v>
      </c>
      <c r="T74" s="547">
        <f>report_47_flagged!BC67</f>
        <v>8.52</v>
      </c>
      <c r="U74" s="547">
        <f t="shared" si="2"/>
        <v>0.24707999999999999</v>
      </c>
      <c r="V74" s="548">
        <f>report_47_flagged!BD67</f>
        <v>1</v>
      </c>
      <c r="W74" s="505">
        <f>(report_47_flagged!N67/100)*report_47_flagged!H67</f>
        <v>8.3717239795139857</v>
      </c>
      <c r="X74" s="505">
        <f t="shared" si="3"/>
        <v>0.17587794656546296</v>
      </c>
      <c r="Y74" s="503">
        <f>report_47_flagged!AP67</f>
        <v>1</v>
      </c>
      <c r="Z74" s="505">
        <f>(report_47_flagged!P67/100)*report_47_flagged!H67</f>
        <v>0.20760715684209552</v>
      </c>
      <c r="AA74" s="505">
        <f t="shared" si="4"/>
        <v>7.8900553010367632E-3</v>
      </c>
      <c r="AB74" s="503">
        <f>report_47_flagged!AR67</f>
        <v>1</v>
      </c>
      <c r="AC74" s="505">
        <f>(report_47_flagged!R67/100)*report_47_flagged!H67</f>
        <v>1.626934734515201</v>
      </c>
      <c r="AD74" s="505">
        <f t="shared" si="5"/>
        <v>4.5564630232216519E-2</v>
      </c>
      <c r="AE74" s="503">
        <f>report_47_flagged!AT67</f>
        <v>2</v>
      </c>
      <c r="AF74" s="505">
        <f>(report_47_flagged!L67/100)*report_47_flagged!H67</f>
        <v>6.7447892449987847</v>
      </c>
      <c r="AG74" s="505">
        <f t="shared" si="6"/>
        <v>0.12821487773603854</v>
      </c>
      <c r="AH74" s="503">
        <f>report_47_flagged!AV67</f>
        <v>2</v>
      </c>
      <c r="AI74" s="505">
        <f>(report_47_flagged!T67/100)*report_47_flagged!H67</f>
        <v>2.3228647941380678</v>
      </c>
      <c r="AJ74" s="505">
        <f>AI74*SQRT(($AI$5)^2+($N$5)^2)</f>
        <v>0.11382890756564926</v>
      </c>
      <c r="AK74" s="503">
        <f>report_47_flagged!AX67</f>
        <v>1</v>
      </c>
    </row>
    <row r="75" spans="1:37" ht="15.75">
      <c r="A75" s="43">
        <v>2023</v>
      </c>
      <c r="B75" s="43" t="str">
        <f>LEFT([1]report_47_flagged!B68,2)</f>
        <v>47</v>
      </c>
      <c r="C75" s="43">
        <f>report_47_flagged!E68</f>
        <v>3800</v>
      </c>
      <c r="D75" s="134">
        <f>report_47_flagged!AM68</f>
        <v>3816.4</v>
      </c>
      <c r="E75" s="43" t="str">
        <f>report_47_flagged!D68</f>
        <v>McLane-PARFLUX-Mark78H-21 ; frame# 10705, controller# 11649-01 and Motor # 11649-01 Cup set Lx21</v>
      </c>
      <c r="F75" s="43"/>
      <c r="G75" s="43"/>
      <c r="H75" s="43">
        <f>report_47_flagged!C68</f>
        <v>21</v>
      </c>
      <c r="I75" s="43">
        <f>report_47_flagged!F68</f>
        <v>1</v>
      </c>
      <c r="J75" s="89">
        <f>report_47_flagged!AC68</f>
        <v>45368</v>
      </c>
      <c r="K75" s="89">
        <f>report_47_flagged!AD68</f>
        <v>45383</v>
      </c>
      <c r="L75" s="89">
        <f>report_47_flagged!AE68</f>
        <v>45375.5</v>
      </c>
      <c r="M75" s="503">
        <f>report_47_flagged!AF68</f>
        <v>15</v>
      </c>
      <c r="N75" s="193">
        <f>report_47_flagged!H68</f>
        <v>61.272380952380963</v>
      </c>
      <c r="O75" s="193">
        <f t="shared" si="0"/>
        <v>3.6763428571428572E-2</v>
      </c>
      <c r="P75" s="503">
        <f>report_47_flagged!J68</f>
        <v>1</v>
      </c>
      <c r="Q75" s="547">
        <f>report_47_flagged!BA68</f>
        <v>39.369999999999997</v>
      </c>
      <c r="R75" s="547">
        <f t="shared" si="1"/>
        <v>0.86613999999999991</v>
      </c>
      <c r="S75" s="548">
        <f>report_47_flagged!BB68</f>
        <v>1</v>
      </c>
      <c r="T75" s="547">
        <f>report_47_flagged!BC68</f>
        <v>8.6999999999999993</v>
      </c>
      <c r="U75" s="547">
        <f t="shared" si="2"/>
        <v>0.25229999999999997</v>
      </c>
      <c r="V75" s="548">
        <f>report_47_flagged!BD68</f>
        <v>1</v>
      </c>
      <c r="W75" s="505">
        <f>(report_47_flagged!N68/100)*report_47_flagged!H68</f>
        <v>7.6921197433471695</v>
      </c>
      <c r="X75" s="505">
        <f t="shared" si="3"/>
        <v>0.16160043361511975</v>
      </c>
      <c r="Y75" s="503">
        <f>report_47_flagged!AP68</f>
        <v>1</v>
      </c>
      <c r="Z75" s="505">
        <f>(report_47_flagged!P68/100)*report_47_flagged!H68</f>
        <v>0.22528151408604219</v>
      </c>
      <c r="AA75" s="505">
        <f t="shared" si="4"/>
        <v>8.5617645917289188E-3</v>
      </c>
      <c r="AB75" s="503">
        <f>report_47_flagged!AR68</f>
        <v>1</v>
      </c>
      <c r="AC75" s="505">
        <f>(report_47_flagged!R68/100)*report_47_flagged!H68</f>
        <v>1.6051792945859535</v>
      </c>
      <c r="AD75" s="505">
        <f t="shared" si="5"/>
        <v>4.4955338073849306E-2</v>
      </c>
      <c r="AE75" s="503">
        <f>report_47_flagged!AT68</f>
        <v>1</v>
      </c>
      <c r="AF75" s="505">
        <f>(report_47_flagged!L68/100)*report_47_flagged!H68</f>
        <v>6.086940448761216</v>
      </c>
      <c r="AG75" s="505">
        <f t="shared" si="6"/>
        <v>0.11570951990874365</v>
      </c>
      <c r="AH75" s="503">
        <f>report_47_flagged!AV68</f>
        <v>1</v>
      </c>
      <c r="AI75" s="505">
        <f>(report_47_flagged!T68/100)*report_47_flagged!H68</f>
        <v>2.1189921189401781</v>
      </c>
      <c r="AJ75" s="505">
        <f t="shared" si="7"/>
        <v>0.10383839758899203</v>
      </c>
      <c r="AK75" s="503">
        <f>report_47_flagged!AX68</f>
        <v>1</v>
      </c>
    </row>
  </sheetData>
  <pageMargins left="0.7" right="0.7" top="0.75" bottom="0.75" header="0.3" footer="0.3"/>
  <headerFooter>
    <oddHeader>&amp;C&amp;"Aptos"&amp;12&amp;KFF0000 UNOFFICIAL&amp;1#_x000D_</oddHeader>
    <oddFooter>&amp;C_x000D_&amp;1#&amp;"Aptos"&amp;12&amp;KFF0000 UNOFFICIAL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C5E4B-A8D5-49BF-8227-05F6A5A9ED11}">
  <dimension ref="A1:E10"/>
  <sheetViews>
    <sheetView workbookViewId="0">
      <selection activeCell="U20" sqref="U20"/>
    </sheetView>
  </sheetViews>
  <sheetFormatPr defaultRowHeight="15"/>
  <sheetData>
    <row r="1" spans="1:5">
      <c r="A1" s="43" t="s">
        <v>1712</v>
      </c>
      <c r="B1" s="43" t="s">
        <v>2450</v>
      </c>
      <c r="C1" s="43" t="s">
        <v>2451</v>
      </c>
      <c r="D1" s="28"/>
      <c r="E1" s="28"/>
    </row>
    <row r="2" spans="1:5">
      <c r="A2" s="43" t="s">
        <v>2452</v>
      </c>
      <c r="B2" s="43">
        <v>1076.5</v>
      </c>
      <c r="C2" s="43">
        <v>1072.7</v>
      </c>
      <c r="D2" s="28"/>
      <c r="E2" s="28"/>
    </row>
    <row r="3" spans="1:5">
      <c r="A3" s="43" t="s">
        <v>2453</v>
      </c>
      <c r="B3" s="43">
        <v>2080.1999999999998</v>
      </c>
      <c r="C3" s="43">
        <v>2077.3000000000002</v>
      </c>
      <c r="D3" s="28"/>
      <c r="E3" s="28"/>
    </row>
    <row r="4" spans="1:5">
      <c r="A4" s="43" t="s">
        <v>2454</v>
      </c>
      <c r="B4" s="43">
        <v>3816.4</v>
      </c>
      <c r="C4" s="43">
        <v>3814.9</v>
      </c>
      <c r="D4" s="28"/>
      <c r="E4" s="28"/>
    </row>
    <row r="5" spans="1:5">
      <c r="A5" s="43" t="s">
        <v>2455</v>
      </c>
      <c r="B5" s="43">
        <v>1299.2</v>
      </c>
      <c r="C5" s="43">
        <v>1294.3</v>
      </c>
      <c r="D5" s="43" t="s">
        <v>2456</v>
      </c>
      <c r="E5" s="28"/>
    </row>
    <row r="6" spans="1:5">
      <c r="A6" s="28"/>
      <c r="B6" s="28"/>
      <c r="C6" s="28"/>
      <c r="D6" s="28"/>
      <c r="E6" s="28"/>
    </row>
    <row r="7" spans="1:5">
      <c r="A7" s="28"/>
      <c r="B7" s="28"/>
      <c r="C7" s="552"/>
      <c r="D7" s="28"/>
      <c r="E7" s="28"/>
    </row>
    <row r="8" spans="1:5">
      <c r="A8" s="28"/>
      <c r="B8" s="28"/>
      <c r="C8" s="28"/>
      <c r="D8" s="28"/>
      <c r="E8" s="28"/>
    </row>
    <row r="9" spans="1:5">
      <c r="A9" s="28"/>
      <c r="B9" s="28"/>
      <c r="C9" s="28"/>
      <c r="D9" s="28"/>
      <c r="E9" s="28"/>
    </row>
    <row r="10" spans="1:5">
      <c r="A10" s="28"/>
      <c r="B10" s="28"/>
      <c r="C10" s="28"/>
      <c r="D10" s="28"/>
      <c r="E10" s="28"/>
    </row>
  </sheetData>
  <pageMargins left="0.7" right="0.7" top="0.75" bottom="0.75" header="0.3" footer="0.3"/>
  <headerFooter>
    <oddHeader>&amp;C&amp;"Aptos"&amp;12&amp;KFF0000 UNOFFICIAL&amp;1#_x000D_</oddHeader>
    <oddFooter>&amp;C_x000D_&amp;1#&amp;"Aptos"&amp;12&amp;KFF0000 UNOFFICIAL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C857C-187B-4C6D-97C3-289568317CBA}">
  <dimension ref="A1"/>
  <sheetViews>
    <sheetView topLeftCell="M1" workbookViewId="0">
      <selection activeCell="AF55" sqref="AF55"/>
    </sheetView>
  </sheetViews>
  <sheetFormatPr defaultRowHeight="15"/>
  <sheetData/>
  <pageMargins left="0.7" right="0.7" top="0.75" bottom="0.75" header="0.3" footer="0.3"/>
  <headerFooter>
    <oddHeader>&amp;C&amp;"Aptos"&amp;12&amp;KFF0000 UNOFFICIAL&amp;1#_x000D_</oddHeader>
    <oddFooter>&amp;C_x000D_&amp;1#&amp;"Aptos"&amp;12&amp;KFF0000 UNOFFICIAL</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cup photo labels</vt:lpstr>
      <vt:lpstr>notes</vt:lpstr>
      <vt:lpstr>prep brines</vt:lpstr>
      <vt:lpstr>Schedule</vt:lpstr>
      <vt:lpstr>brine FSW info</vt:lpstr>
      <vt:lpstr>sample processing comments</vt:lpstr>
      <vt:lpstr>pH_Sal</vt:lpstr>
      <vt:lpstr>mass filt</vt:lpstr>
      <vt:lpstr>BSi data</vt:lpstr>
      <vt:lpstr>CHN data</vt:lpstr>
      <vt:lpstr>CSIRO CHN data  - DO NOT USE</vt:lpstr>
      <vt:lpstr>PIC data</vt:lpstr>
      <vt:lpstr>main</vt:lpstr>
      <vt:lpstr>report_47_flagged</vt:lpstr>
      <vt:lpstr>netCDF_format</vt:lpstr>
      <vt:lpstr>depths</vt:lpstr>
      <vt:lpstr>plots</vt:lpstr>
      <vt:lpstr>'CHN data'!Print_Area</vt:lpstr>
      <vt:lpstr>'cup photo labels'!Print_Area</vt:lpstr>
    </vt:vector>
  </TitlesOfParts>
  <Company>University of Tasmania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Cathryn Wynn-Edwards</dc:creator>
  <cp:lastModifiedBy>Jansen, Pete (NCMI, Hobart)</cp:lastModifiedBy>
  <cp:lastPrinted>2025-09-25T01:17:37Z</cp:lastPrinted>
  <dcterms:created xsi:type="dcterms:W3CDTF">2018-04-15T23:35:50Z</dcterms:created>
  <dcterms:modified xsi:type="dcterms:W3CDTF">2025-10-17T03:16:58Z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61d463-a7a2-4f89-972c-cb4d4e3c5dfc_Enabled">
    <vt:lpwstr>true</vt:lpwstr>
  </property>
  <property fmtid="{D5CDD505-2E9C-101B-9397-08002B2CF9AE}" pid="3" name="MSIP_Label_4f61d463-a7a2-4f89-972c-cb4d4e3c5dfc_SetDate">
    <vt:lpwstr>2025-10-17T02:52:34Z</vt:lpwstr>
  </property>
  <property fmtid="{D5CDD505-2E9C-101B-9397-08002B2CF9AE}" pid="4" name="MSIP_Label_4f61d463-a7a2-4f89-972c-cb4d4e3c5dfc_Method">
    <vt:lpwstr>Privileged</vt:lpwstr>
  </property>
  <property fmtid="{D5CDD505-2E9C-101B-9397-08002B2CF9AE}" pid="5" name="MSIP_Label_4f61d463-a7a2-4f89-972c-cb4d4e3c5dfc_Name">
    <vt:lpwstr>UNOFFICIAL</vt:lpwstr>
  </property>
  <property fmtid="{D5CDD505-2E9C-101B-9397-08002B2CF9AE}" pid="6" name="MSIP_Label_4f61d463-a7a2-4f89-972c-cb4d4e3c5dfc_SiteId">
    <vt:lpwstr>0fe05593-19ac-4f98-adbf-0375fce7f160</vt:lpwstr>
  </property>
  <property fmtid="{D5CDD505-2E9C-101B-9397-08002B2CF9AE}" pid="7" name="MSIP_Label_4f61d463-a7a2-4f89-972c-cb4d4e3c5dfc_ActionId">
    <vt:lpwstr>74b0aca5-3568-4fd1-8383-b4dc591b789c</vt:lpwstr>
  </property>
  <property fmtid="{D5CDD505-2E9C-101B-9397-08002B2CF9AE}" pid="8" name="MSIP_Label_4f61d463-a7a2-4f89-972c-cb4d4e3c5dfc_ContentBits">
    <vt:lpwstr>3</vt:lpwstr>
  </property>
  <property fmtid="{D5CDD505-2E9C-101B-9397-08002B2CF9AE}" pid="9" name="MSIP_Label_4f61d463-a7a2-4f89-972c-cb4d4e3c5dfc_Tag">
    <vt:lpwstr>10, 0, 1, 1</vt:lpwstr>
  </property>
</Properties>
</file>