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4.xml" ContentType="application/vnd.openxmlformats-officedocument.drawingml.chart+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ink/ink4.xml" ContentType="application/inkml+xml"/>
  <Override PartName="/xl/ink/ink5.xml" ContentType="application/inkml+xml"/>
  <Override PartName="/xl/charts/chart10.xml" ContentType="application/vnd.openxmlformats-officedocument.drawingml.chart+xml"/>
  <Override PartName="/xl/charts/chart1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autoCompressPictures="0"/>
  <mc:AlternateContent xmlns:mc="http://schemas.openxmlformats.org/markup-compatibility/2006">
    <mc:Choice Requires="x15">
      <x15ac:absPath xmlns:x15ac="http://schemas.microsoft.com/office/spreadsheetml/2010/11/ac" url="https://universitytasmania-my.sharepoint.com/personal/cathryn_wynnedwards_utas_edu_au/Documents/sediment trap lab proc/2019_saz21/"/>
    </mc:Choice>
  </mc:AlternateContent>
  <xr:revisionPtr revIDLastSave="542" documentId="13_ncr:1_{8BD7728D-A026-48C8-8517-ACF5C972C12E}" xr6:coauthVersionLast="46" xr6:coauthVersionMax="46" xr10:uidLastSave="{309B5A8F-084B-4B93-A581-AEA28AB0570A}"/>
  <bookViews>
    <workbookView xWindow="-110" yWindow="-110" windowWidth="19420" windowHeight="10420" firstSheet="10" activeTab="14" xr2:uid="{00000000-000D-0000-FFFF-FFFF00000000}"/>
  </bookViews>
  <sheets>
    <sheet name="cup photo labels" sheetId="5" r:id="rId1"/>
    <sheet name="notes" sheetId="2" r:id="rId2"/>
    <sheet name="prep brines" sheetId="1" r:id="rId3"/>
    <sheet name="Traps and Logs" sheetId="3" r:id="rId4"/>
    <sheet name="sample processing comments" sheetId="8" r:id="rId5"/>
    <sheet name="pH_Sal" sheetId="7" r:id="rId6"/>
    <sheet name="depths" sheetId="11" r:id="rId7"/>
    <sheet name="mass filt" sheetId="9" r:id="rId8"/>
    <sheet name="CHN raw data" sheetId="13" r:id="rId9"/>
    <sheet name="BSi raw data_and calculations" sheetId="14" r:id="rId10"/>
    <sheet name="PIC weights" sheetId="15" r:id="rId11"/>
    <sheet name="PIC data" sheetId="16" r:id="rId12"/>
    <sheet name="main" sheetId="4" r:id="rId13"/>
    <sheet name="report_47_flagged" sheetId="10" r:id="rId14"/>
    <sheet name="netcdf_format" sheetId="12" r:id="rId15"/>
    <sheet name="plots" sheetId="6" r:id="rId16"/>
  </sheets>
  <definedNames>
    <definedName name="_xlnm.Print_Area" localSheetId="0">'cup photo labels'!$A$1:$M$42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6" i="12" l="1"/>
  <c r="Z20" i="7"/>
  <c r="Y25" i="7"/>
  <c r="Y20" i="7"/>
  <c r="N22" i="4"/>
  <c r="O22" i="4"/>
  <c r="M22" i="4"/>
  <c r="N19" i="4"/>
  <c r="O19" i="4"/>
  <c r="M19" i="4"/>
  <c r="N14" i="4"/>
  <c r="O14" i="4"/>
  <c r="M14" i="4"/>
  <c r="AD88" i="13"/>
  <c r="AE88" i="13"/>
  <c r="AE87" i="13"/>
  <c r="AD87" i="13"/>
  <c r="AE90" i="13"/>
  <c r="AD90" i="13"/>
  <c r="AE85" i="13"/>
  <c r="AD85" i="13"/>
  <c r="W91" i="13"/>
  <c r="X91" i="13"/>
  <c r="Y91" i="13"/>
  <c r="Z91" i="13"/>
  <c r="AA91" i="13"/>
  <c r="AB91" i="13"/>
  <c r="AC91" i="13"/>
  <c r="V91" i="13"/>
  <c r="W90" i="13"/>
  <c r="X90" i="13"/>
  <c r="Y90" i="13"/>
  <c r="Z90" i="13"/>
  <c r="AA90" i="13"/>
  <c r="AB90" i="13"/>
  <c r="AC90" i="13"/>
  <c r="V90" i="13"/>
  <c r="W89" i="13"/>
  <c r="X89" i="13"/>
  <c r="Y89" i="13"/>
  <c r="Z89" i="13"/>
  <c r="AA89" i="13"/>
  <c r="AB89" i="13"/>
  <c r="AC89" i="13"/>
  <c r="V89" i="13"/>
  <c r="V88" i="13"/>
  <c r="W88" i="13"/>
  <c r="X88" i="13"/>
  <c r="Y88" i="13"/>
  <c r="Z88" i="13"/>
  <c r="AA88" i="13"/>
  <c r="AB88" i="13"/>
  <c r="AC88" i="13"/>
  <c r="W87" i="13"/>
  <c r="X87" i="13"/>
  <c r="Y87" i="13"/>
  <c r="Z87" i="13"/>
  <c r="AA87" i="13"/>
  <c r="AB87" i="13"/>
  <c r="AC87" i="13"/>
  <c r="V87" i="13"/>
  <c r="W86" i="13"/>
  <c r="X86" i="13"/>
  <c r="Y86" i="13"/>
  <c r="Z86" i="13"/>
  <c r="AA86" i="13"/>
  <c r="AB86" i="13"/>
  <c r="AC86" i="13"/>
  <c r="V86" i="13"/>
  <c r="W85" i="13"/>
  <c r="X85" i="13"/>
  <c r="Y85" i="13"/>
  <c r="Z85" i="13"/>
  <c r="AA85" i="13"/>
  <c r="AB85" i="13"/>
  <c r="AC85" i="13"/>
  <c r="V85" i="13"/>
  <c r="I104" i="13"/>
  <c r="I105" i="13"/>
  <c r="I106" i="13"/>
  <c r="I107" i="13"/>
  <c r="I108" i="13"/>
  <c r="I109" i="13"/>
  <c r="I110" i="13"/>
  <c r="I103" i="13"/>
  <c r="AK75" i="12"/>
  <c r="AH75" i="12"/>
  <c r="AE75" i="12"/>
  <c r="AB75" i="12"/>
  <c r="Y75" i="12"/>
  <c r="V75" i="12"/>
  <c r="S75" i="12"/>
  <c r="P75" i="12"/>
  <c r="I75" i="12"/>
  <c r="H75" i="12"/>
  <c r="C75" i="12"/>
  <c r="AK74" i="12"/>
  <c r="AH74" i="12"/>
  <c r="AE74" i="12"/>
  <c r="AB74" i="12"/>
  <c r="Y74" i="12"/>
  <c r="V74" i="12"/>
  <c r="S74" i="12"/>
  <c r="P74" i="12"/>
  <c r="I74" i="12"/>
  <c r="H74" i="12"/>
  <c r="C74" i="12"/>
  <c r="AK73" i="12"/>
  <c r="AH73" i="12"/>
  <c r="AE73" i="12"/>
  <c r="AB73" i="12"/>
  <c r="Y73" i="12"/>
  <c r="V73" i="12"/>
  <c r="S73" i="12"/>
  <c r="P73" i="12"/>
  <c r="I73" i="12"/>
  <c r="H73" i="12"/>
  <c r="C73" i="12"/>
  <c r="AK72" i="12"/>
  <c r="AH72" i="12"/>
  <c r="AE72" i="12"/>
  <c r="AB72" i="12"/>
  <c r="Y72" i="12"/>
  <c r="V72" i="12"/>
  <c r="S72" i="12"/>
  <c r="P72" i="12"/>
  <c r="I72" i="12"/>
  <c r="H72" i="12"/>
  <c r="C72" i="12"/>
  <c r="AK71" i="12"/>
  <c r="AH71" i="12"/>
  <c r="AE71" i="12"/>
  <c r="AB71" i="12"/>
  <c r="Y71" i="12"/>
  <c r="V71" i="12"/>
  <c r="S71" i="12"/>
  <c r="P71" i="12"/>
  <c r="I71" i="12"/>
  <c r="H71" i="12"/>
  <c r="C71" i="12"/>
  <c r="AK70" i="12"/>
  <c r="AH70" i="12"/>
  <c r="AE70" i="12"/>
  <c r="AB70" i="12"/>
  <c r="Y70" i="12"/>
  <c r="V70" i="12"/>
  <c r="S70" i="12"/>
  <c r="P70" i="12"/>
  <c r="I70" i="12"/>
  <c r="H70" i="12"/>
  <c r="C70" i="12"/>
  <c r="AK69" i="12"/>
  <c r="AH69" i="12"/>
  <c r="AE69" i="12"/>
  <c r="AB69" i="12"/>
  <c r="Y69" i="12"/>
  <c r="V69" i="12"/>
  <c r="S69" i="12"/>
  <c r="P69" i="12"/>
  <c r="I69" i="12"/>
  <c r="H69" i="12"/>
  <c r="C69" i="12"/>
  <c r="B69" i="12"/>
  <c r="AK68" i="12"/>
  <c r="AH68" i="12"/>
  <c r="AE68" i="12"/>
  <c r="AB68" i="12"/>
  <c r="Y68" i="12"/>
  <c r="V68" i="12"/>
  <c r="S68" i="12"/>
  <c r="P68" i="12"/>
  <c r="I68" i="12"/>
  <c r="H68" i="12"/>
  <c r="C68" i="12"/>
  <c r="AK67" i="12"/>
  <c r="AH67" i="12"/>
  <c r="AE67" i="12"/>
  <c r="AB67" i="12"/>
  <c r="Y67" i="12"/>
  <c r="V67" i="12"/>
  <c r="S67" i="12"/>
  <c r="P67" i="12"/>
  <c r="I67" i="12"/>
  <c r="H67" i="12"/>
  <c r="C67" i="12"/>
  <c r="AK66" i="12"/>
  <c r="AH66" i="12"/>
  <c r="AE66" i="12"/>
  <c r="AB66" i="12"/>
  <c r="Y66" i="12"/>
  <c r="V66" i="12"/>
  <c r="S66" i="12"/>
  <c r="P66" i="12"/>
  <c r="I66" i="12"/>
  <c r="H66" i="12"/>
  <c r="C66" i="12"/>
  <c r="AK65" i="12"/>
  <c r="AH65" i="12"/>
  <c r="AE65" i="12"/>
  <c r="AB65" i="12"/>
  <c r="Y65" i="12"/>
  <c r="V65" i="12"/>
  <c r="S65" i="12"/>
  <c r="P65" i="12"/>
  <c r="I65" i="12"/>
  <c r="H65" i="12"/>
  <c r="C65" i="12"/>
  <c r="AK64" i="12"/>
  <c r="AH64" i="12"/>
  <c r="AE64" i="12"/>
  <c r="AB64" i="12"/>
  <c r="Y64" i="12"/>
  <c r="V64" i="12"/>
  <c r="S64" i="12"/>
  <c r="P64" i="12"/>
  <c r="I64" i="12"/>
  <c r="H64" i="12"/>
  <c r="C64" i="12"/>
  <c r="AK63" i="12"/>
  <c r="AH63" i="12"/>
  <c r="AE63" i="12"/>
  <c r="AB63" i="12"/>
  <c r="Y63" i="12"/>
  <c r="V63" i="12"/>
  <c r="S63" i="12"/>
  <c r="P63" i="12"/>
  <c r="I63" i="12"/>
  <c r="H63" i="12"/>
  <c r="C63" i="12"/>
  <c r="AK62" i="12"/>
  <c r="AH62" i="12"/>
  <c r="AE62" i="12"/>
  <c r="AB62" i="12"/>
  <c r="Y62" i="12"/>
  <c r="V62" i="12"/>
  <c r="S62" i="12"/>
  <c r="P62" i="12"/>
  <c r="I62" i="12"/>
  <c r="H62" i="12"/>
  <c r="C62" i="12"/>
  <c r="AK61" i="12"/>
  <c r="AH61" i="12"/>
  <c r="AE61" i="12"/>
  <c r="AB61" i="12"/>
  <c r="Y61" i="12"/>
  <c r="V61" i="12"/>
  <c r="S61" i="12"/>
  <c r="P61" i="12"/>
  <c r="I61" i="12"/>
  <c r="H61" i="12"/>
  <c r="C61" i="12"/>
  <c r="AK60" i="12"/>
  <c r="AH60" i="12"/>
  <c r="AE60" i="12"/>
  <c r="AB60" i="12"/>
  <c r="Y60" i="12"/>
  <c r="V60" i="12"/>
  <c r="S60" i="12"/>
  <c r="P60" i="12"/>
  <c r="I60" i="12"/>
  <c r="H60" i="12"/>
  <c r="C60" i="12"/>
  <c r="AK59" i="12"/>
  <c r="AH59" i="12"/>
  <c r="AE59" i="12"/>
  <c r="AB59" i="12"/>
  <c r="Y59" i="12"/>
  <c r="V59" i="12"/>
  <c r="S59" i="12"/>
  <c r="P59" i="12"/>
  <c r="I59" i="12"/>
  <c r="H59" i="12"/>
  <c r="C59" i="12"/>
  <c r="AK58" i="12"/>
  <c r="AH58" i="12"/>
  <c r="AE58" i="12"/>
  <c r="AB58" i="12"/>
  <c r="Y58" i="12"/>
  <c r="V58" i="12"/>
  <c r="S58" i="12"/>
  <c r="P58" i="12"/>
  <c r="I58" i="12"/>
  <c r="H58" i="12"/>
  <c r="C58" i="12"/>
  <c r="AK57" i="12"/>
  <c r="AH57" i="12"/>
  <c r="AE57" i="12"/>
  <c r="AB57" i="12"/>
  <c r="Y57" i="12"/>
  <c r="V57" i="12"/>
  <c r="S57" i="12"/>
  <c r="P57" i="12"/>
  <c r="I57" i="12"/>
  <c r="H57" i="12"/>
  <c r="C57" i="12"/>
  <c r="AK56" i="12"/>
  <c r="AH56" i="12"/>
  <c r="AE56" i="12"/>
  <c r="AB56" i="12"/>
  <c r="Y56" i="12"/>
  <c r="V56" i="12"/>
  <c r="S56" i="12"/>
  <c r="P56" i="12"/>
  <c r="I56" i="12"/>
  <c r="H56" i="12"/>
  <c r="C56" i="12"/>
  <c r="AK55" i="12"/>
  <c r="AH55" i="12"/>
  <c r="AE55" i="12"/>
  <c r="AB55" i="12"/>
  <c r="Y55" i="12"/>
  <c r="V55" i="12"/>
  <c r="S55" i="12"/>
  <c r="P55" i="12"/>
  <c r="I55" i="12"/>
  <c r="H55" i="12"/>
  <c r="C55" i="12"/>
  <c r="AK54" i="12"/>
  <c r="AH54" i="12"/>
  <c r="AE54" i="12"/>
  <c r="AB54" i="12"/>
  <c r="Y54" i="12"/>
  <c r="V54" i="12"/>
  <c r="S54" i="12"/>
  <c r="P54" i="12"/>
  <c r="I54" i="12"/>
  <c r="H54" i="12"/>
  <c r="C54" i="12"/>
  <c r="AK53" i="12"/>
  <c r="AH53" i="12"/>
  <c r="AE53" i="12"/>
  <c r="AB53" i="12"/>
  <c r="Y53" i="12"/>
  <c r="V53" i="12"/>
  <c r="S53" i="12"/>
  <c r="P53" i="12"/>
  <c r="I53" i="12"/>
  <c r="H53" i="12"/>
  <c r="C53" i="12"/>
  <c r="AK52" i="12"/>
  <c r="AH52" i="12"/>
  <c r="AE52" i="12"/>
  <c r="AB52" i="12"/>
  <c r="Y52" i="12"/>
  <c r="V52" i="12"/>
  <c r="S52" i="12"/>
  <c r="P52" i="12"/>
  <c r="I52" i="12"/>
  <c r="H52" i="12"/>
  <c r="C52" i="12"/>
  <c r="AK51" i="12"/>
  <c r="AH51" i="12"/>
  <c r="AE51" i="12"/>
  <c r="AB51" i="12"/>
  <c r="Y51" i="12"/>
  <c r="V51" i="12"/>
  <c r="S51" i="12"/>
  <c r="P51" i="12"/>
  <c r="I51" i="12"/>
  <c r="H51" i="12"/>
  <c r="C51" i="12"/>
  <c r="AK50" i="12"/>
  <c r="AH50" i="12"/>
  <c r="AE50" i="12"/>
  <c r="AB50" i="12"/>
  <c r="Y50" i="12"/>
  <c r="V50" i="12"/>
  <c r="S50" i="12"/>
  <c r="P50" i="12"/>
  <c r="I50" i="12"/>
  <c r="H50" i="12"/>
  <c r="C50" i="12"/>
  <c r="AK49" i="12"/>
  <c r="AH49" i="12"/>
  <c r="AE49" i="12"/>
  <c r="AB49" i="12"/>
  <c r="Y49" i="12"/>
  <c r="V49" i="12"/>
  <c r="S49" i="12"/>
  <c r="P49" i="12"/>
  <c r="I49" i="12"/>
  <c r="H49" i="12"/>
  <c r="C49" i="12"/>
  <c r="AK48" i="12"/>
  <c r="AH48" i="12"/>
  <c r="AE48" i="12"/>
  <c r="AB48" i="12"/>
  <c r="Y48" i="12"/>
  <c r="V48" i="12"/>
  <c r="S48" i="12"/>
  <c r="P48" i="12"/>
  <c r="I48" i="12"/>
  <c r="H48" i="12"/>
  <c r="C48" i="12"/>
  <c r="AK47" i="12"/>
  <c r="AH47" i="12"/>
  <c r="AE47" i="12"/>
  <c r="AB47" i="12"/>
  <c r="Y47" i="12"/>
  <c r="V47" i="12"/>
  <c r="S47" i="12"/>
  <c r="P47" i="12"/>
  <c r="I47" i="12"/>
  <c r="H47" i="12"/>
  <c r="C47" i="12"/>
  <c r="AK46" i="12"/>
  <c r="AH46" i="12"/>
  <c r="AE46" i="12"/>
  <c r="AB46" i="12"/>
  <c r="Y46" i="12"/>
  <c r="V46" i="12"/>
  <c r="S46" i="12"/>
  <c r="P46" i="12"/>
  <c r="I46" i="12"/>
  <c r="H46" i="12"/>
  <c r="C46" i="12"/>
  <c r="AK45" i="12"/>
  <c r="AH45" i="12"/>
  <c r="AE45" i="12"/>
  <c r="AB45" i="12"/>
  <c r="Y45" i="12"/>
  <c r="V45" i="12"/>
  <c r="S45" i="12"/>
  <c r="P45" i="12"/>
  <c r="I45" i="12"/>
  <c r="H45" i="12"/>
  <c r="C45" i="12"/>
  <c r="AK44" i="12"/>
  <c r="AH44" i="12"/>
  <c r="AE44" i="12"/>
  <c r="AB44" i="12"/>
  <c r="Y44" i="12"/>
  <c r="V44" i="12"/>
  <c r="S44" i="12"/>
  <c r="P44" i="12"/>
  <c r="I44" i="12"/>
  <c r="H44" i="12"/>
  <c r="C44" i="12"/>
  <c r="AK43" i="12"/>
  <c r="AH43" i="12"/>
  <c r="AE43" i="12"/>
  <c r="AB43" i="12"/>
  <c r="Y43" i="12"/>
  <c r="V43" i="12"/>
  <c r="S43" i="12"/>
  <c r="P43" i="12"/>
  <c r="I43" i="12"/>
  <c r="H43" i="12"/>
  <c r="C43" i="12"/>
  <c r="AK42" i="12"/>
  <c r="AH42" i="12"/>
  <c r="AE42" i="12"/>
  <c r="AB42" i="12"/>
  <c r="Y42" i="12"/>
  <c r="V42" i="12"/>
  <c r="S42" i="12"/>
  <c r="P42" i="12"/>
  <c r="I42" i="12"/>
  <c r="H42" i="12"/>
  <c r="C42" i="12"/>
  <c r="AK41" i="12"/>
  <c r="AH41" i="12"/>
  <c r="AE41" i="12"/>
  <c r="AB41" i="12"/>
  <c r="Y41" i="12"/>
  <c r="V41" i="12"/>
  <c r="S41" i="12"/>
  <c r="P41" i="12"/>
  <c r="I41" i="12"/>
  <c r="H41" i="12"/>
  <c r="C41" i="12"/>
  <c r="AK40" i="12"/>
  <c r="AH40" i="12"/>
  <c r="AE40" i="12"/>
  <c r="AB40" i="12"/>
  <c r="Y40" i="12"/>
  <c r="V40" i="12"/>
  <c r="S40" i="12"/>
  <c r="P40" i="12"/>
  <c r="I40" i="12"/>
  <c r="H40" i="12"/>
  <c r="C40" i="12"/>
  <c r="AK39" i="12"/>
  <c r="AH39" i="12"/>
  <c r="AE39" i="12"/>
  <c r="AB39" i="12"/>
  <c r="Y39" i="12"/>
  <c r="V39" i="12"/>
  <c r="S39" i="12"/>
  <c r="P39" i="12"/>
  <c r="I39" i="12"/>
  <c r="H39" i="12"/>
  <c r="C39" i="12"/>
  <c r="AK38" i="12"/>
  <c r="AH38" i="12"/>
  <c r="AE38" i="12"/>
  <c r="AB38" i="12"/>
  <c r="Y38" i="12"/>
  <c r="V38" i="12"/>
  <c r="S38" i="12"/>
  <c r="P38" i="12"/>
  <c r="I38" i="12"/>
  <c r="H38" i="12"/>
  <c r="C38" i="12"/>
  <c r="AK37" i="12"/>
  <c r="AH37" i="12"/>
  <c r="AE37" i="12"/>
  <c r="AB37" i="12"/>
  <c r="Y37" i="12"/>
  <c r="V37" i="12"/>
  <c r="S37" i="12"/>
  <c r="P37" i="12"/>
  <c r="I37" i="12"/>
  <c r="H37" i="12"/>
  <c r="C37" i="12"/>
  <c r="AK36" i="12"/>
  <c r="AH36" i="12"/>
  <c r="AE36" i="12"/>
  <c r="AB36" i="12"/>
  <c r="Y36" i="12"/>
  <c r="V36" i="12"/>
  <c r="S36" i="12"/>
  <c r="P36" i="12"/>
  <c r="I36" i="12"/>
  <c r="H36" i="12"/>
  <c r="C36" i="12"/>
  <c r="AK35" i="12"/>
  <c r="AH35" i="12"/>
  <c r="AE35" i="12"/>
  <c r="AB35" i="12"/>
  <c r="Y35" i="12"/>
  <c r="V35" i="12"/>
  <c r="S35" i="12"/>
  <c r="P35" i="12"/>
  <c r="I35" i="12"/>
  <c r="H35" i="12"/>
  <c r="C35" i="12"/>
  <c r="AK34" i="12"/>
  <c r="AH34" i="12"/>
  <c r="AE34" i="12"/>
  <c r="AB34" i="12"/>
  <c r="Y34" i="12"/>
  <c r="V34" i="12"/>
  <c r="S34" i="12"/>
  <c r="P34" i="12"/>
  <c r="I34" i="12"/>
  <c r="H34" i="12"/>
  <c r="C34" i="12"/>
  <c r="AK33" i="12"/>
  <c r="AH33" i="12"/>
  <c r="AE33" i="12"/>
  <c r="AB33" i="12"/>
  <c r="Y33" i="12"/>
  <c r="V33" i="12"/>
  <c r="S33" i="12"/>
  <c r="P33" i="12"/>
  <c r="I33" i="12"/>
  <c r="H33" i="12"/>
  <c r="C33" i="12"/>
  <c r="AK32" i="12"/>
  <c r="AH32" i="12"/>
  <c r="AE32" i="12"/>
  <c r="AB32" i="12"/>
  <c r="Y32" i="12"/>
  <c r="V32" i="12"/>
  <c r="S32" i="12"/>
  <c r="P32" i="12"/>
  <c r="I32" i="12"/>
  <c r="H32" i="12"/>
  <c r="C32" i="12"/>
  <c r="AK31" i="12"/>
  <c r="AH31" i="12"/>
  <c r="AE31" i="12"/>
  <c r="AB31" i="12"/>
  <c r="Y31" i="12"/>
  <c r="V31" i="12"/>
  <c r="S31" i="12"/>
  <c r="P31" i="12"/>
  <c r="I31" i="12"/>
  <c r="H31" i="12"/>
  <c r="C31" i="12"/>
  <c r="AK30" i="12"/>
  <c r="AH30" i="12"/>
  <c r="AE30" i="12"/>
  <c r="AB30" i="12"/>
  <c r="Y30" i="12"/>
  <c r="V30" i="12"/>
  <c r="S30" i="12"/>
  <c r="P30" i="12"/>
  <c r="I30" i="12"/>
  <c r="H30" i="12"/>
  <c r="C30" i="12"/>
  <c r="AK29" i="12"/>
  <c r="AH29" i="12"/>
  <c r="AE29" i="12"/>
  <c r="AB29" i="12"/>
  <c r="Y29" i="12"/>
  <c r="V29" i="12"/>
  <c r="S29" i="12"/>
  <c r="P29" i="12"/>
  <c r="I29" i="12"/>
  <c r="H29" i="12"/>
  <c r="C29" i="12"/>
  <c r="AK28" i="12"/>
  <c r="AH28" i="12"/>
  <c r="AE28" i="12"/>
  <c r="AB28" i="12"/>
  <c r="Y28" i="12"/>
  <c r="V28" i="12"/>
  <c r="S28" i="12"/>
  <c r="P28" i="12"/>
  <c r="I28" i="12"/>
  <c r="H28" i="12"/>
  <c r="C28" i="12"/>
  <c r="B28" i="12"/>
  <c r="AK27" i="12"/>
  <c r="AH27" i="12"/>
  <c r="AE27" i="12"/>
  <c r="AB27" i="12"/>
  <c r="Y27" i="12"/>
  <c r="V27" i="12"/>
  <c r="S27" i="12"/>
  <c r="P27" i="12"/>
  <c r="I27" i="12"/>
  <c r="H27" i="12"/>
  <c r="C27" i="12"/>
  <c r="AK26" i="12"/>
  <c r="AH26" i="12"/>
  <c r="AE26" i="12"/>
  <c r="AB26" i="12"/>
  <c r="Y26" i="12"/>
  <c r="V26" i="12"/>
  <c r="S26" i="12"/>
  <c r="P26" i="12"/>
  <c r="I26" i="12"/>
  <c r="H26" i="12"/>
  <c r="C26" i="12"/>
  <c r="AK25" i="12"/>
  <c r="AH25" i="12"/>
  <c r="AE25" i="12"/>
  <c r="AB25" i="12"/>
  <c r="Y25" i="12"/>
  <c r="V25" i="12"/>
  <c r="S25" i="12"/>
  <c r="P25" i="12"/>
  <c r="I25" i="12"/>
  <c r="H25" i="12"/>
  <c r="C25" i="12"/>
  <c r="AK24" i="12"/>
  <c r="AH24" i="12"/>
  <c r="AE24" i="12"/>
  <c r="AB24" i="12"/>
  <c r="Y24" i="12"/>
  <c r="V24" i="12"/>
  <c r="S24" i="12"/>
  <c r="P24" i="12"/>
  <c r="I24" i="12"/>
  <c r="H24" i="12"/>
  <c r="C24" i="12"/>
  <c r="AK23" i="12"/>
  <c r="AH23" i="12"/>
  <c r="AE23" i="12"/>
  <c r="AB23" i="12"/>
  <c r="Y23" i="12"/>
  <c r="V23" i="12"/>
  <c r="S23" i="12"/>
  <c r="P23" i="12"/>
  <c r="I23" i="12"/>
  <c r="H23" i="12"/>
  <c r="C23" i="12"/>
  <c r="AK22" i="12"/>
  <c r="AH22" i="12"/>
  <c r="AE22" i="12"/>
  <c r="AB22" i="12"/>
  <c r="Y22" i="12"/>
  <c r="V22" i="12"/>
  <c r="S22" i="12"/>
  <c r="P22" i="12"/>
  <c r="I22" i="12"/>
  <c r="H22" i="12"/>
  <c r="C22" i="12"/>
  <c r="AK21" i="12"/>
  <c r="AH21" i="12"/>
  <c r="AE21" i="12"/>
  <c r="AB21" i="12"/>
  <c r="Y21" i="12"/>
  <c r="V21" i="12"/>
  <c r="S21" i="12"/>
  <c r="P21" i="12"/>
  <c r="I21" i="12"/>
  <c r="H21" i="12"/>
  <c r="C21" i="12"/>
  <c r="AK20" i="12"/>
  <c r="AH20" i="12"/>
  <c r="AE20" i="12"/>
  <c r="AB20" i="12"/>
  <c r="Y20" i="12"/>
  <c r="V20" i="12"/>
  <c r="S20" i="12"/>
  <c r="P20" i="12"/>
  <c r="I20" i="12"/>
  <c r="H20" i="12"/>
  <c r="C20" i="12"/>
  <c r="AK19" i="12"/>
  <c r="AH19" i="12"/>
  <c r="AE19" i="12"/>
  <c r="AB19" i="12"/>
  <c r="Y19" i="12"/>
  <c r="V19" i="12"/>
  <c r="S19" i="12"/>
  <c r="P19" i="12"/>
  <c r="I19" i="12"/>
  <c r="H19" i="12"/>
  <c r="C19" i="12"/>
  <c r="AK18" i="12"/>
  <c r="AH18" i="12"/>
  <c r="AE18" i="12"/>
  <c r="AB18" i="12"/>
  <c r="Y18" i="12"/>
  <c r="V18" i="12"/>
  <c r="S18" i="12"/>
  <c r="P18" i="12"/>
  <c r="I18" i="12"/>
  <c r="H18" i="12"/>
  <c r="C18" i="12"/>
  <c r="AK17" i="12"/>
  <c r="AH17" i="12"/>
  <c r="AE17" i="12"/>
  <c r="AB17" i="12"/>
  <c r="Y17" i="12"/>
  <c r="V17" i="12"/>
  <c r="S17" i="12"/>
  <c r="P17" i="12"/>
  <c r="I17" i="12"/>
  <c r="H17" i="12"/>
  <c r="C17" i="12"/>
  <c r="AK16" i="12"/>
  <c r="AH16" i="12"/>
  <c r="AE16" i="12"/>
  <c r="AB16" i="12"/>
  <c r="Y16" i="12"/>
  <c r="V16" i="12"/>
  <c r="S16" i="12"/>
  <c r="P16" i="12"/>
  <c r="I16" i="12"/>
  <c r="H16" i="12"/>
  <c r="C16" i="12"/>
  <c r="AK15" i="12"/>
  <c r="AH15" i="12"/>
  <c r="AE15" i="12"/>
  <c r="AB15" i="12"/>
  <c r="Y15" i="12"/>
  <c r="V15" i="12"/>
  <c r="S15" i="12"/>
  <c r="P15" i="12"/>
  <c r="I15" i="12"/>
  <c r="H15" i="12"/>
  <c r="C15" i="12"/>
  <c r="AK14" i="12"/>
  <c r="AH14" i="12"/>
  <c r="AE14" i="12"/>
  <c r="AB14" i="12"/>
  <c r="Y14" i="12"/>
  <c r="V14" i="12"/>
  <c r="S14" i="12"/>
  <c r="P14" i="12"/>
  <c r="I14" i="12"/>
  <c r="H14" i="12"/>
  <c r="C14" i="12"/>
  <c r="AK13" i="12"/>
  <c r="AH13" i="12"/>
  <c r="AE13" i="12"/>
  <c r="AB13" i="12"/>
  <c r="Y13" i="12"/>
  <c r="V13" i="12"/>
  <c r="S13" i="12"/>
  <c r="P13" i="12"/>
  <c r="I13" i="12"/>
  <c r="H13" i="12"/>
  <c r="C13" i="12"/>
  <c r="AM68" i="10"/>
  <c r="D75" i="12" s="1"/>
  <c r="D68" i="10"/>
  <c r="E75" i="12"/>
  <c r="B68" i="10"/>
  <c r="B75" i="12"/>
  <c r="A68" i="10"/>
  <c r="A75" i="12"/>
  <c r="AM67" i="10"/>
  <c r="D74" i="12"/>
  <c r="D67" i="10"/>
  <c r="E74" i="12"/>
  <c r="B67" i="10"/>
  <c r="B74" i="12"/>
  <c r="A67" i="10"/>
  <c r="A74" i="12"/>
  <c r="AM66" i="10"/>
  <c r="D73" i="12"/>
  <c r="D66" i="10"/>
  <c r="E73" i="12"/>
  <c r="B66" i="10"/>
  <c r="B73" i="12"/>
  <c r="A66" i="10"/>
  <c r="A73" i="12"/>
  <c r="AM65" i="10"/>
  <c r="D72" i="12"/>
  <c r="D65" i="10"/>
  <c r="E72" i="12"/>
  <c r="B65" i="10"/>
  <c r="B72" i="12"/>
  <c r="A65" i="10"/>
  <c r="A72" i="12"/>
  <c r="AM64" i="10"/>
  <c r="D71" i="12"/>
  <c r="D64" i="10"/>
  <c r="E71" i="12"/>
  <c r="B64" i="10"/>
  <c r="B71" i="12"/>
  <c r="A64" i="10"/>
  <c r="A71" i="12"/>
  <c r="AM63" i="10"/>
  <c r="D70" i="12"/>
  <c r="D63" i="10"/>
  <c r="E70" i="12"/>
  <c r="B63" i="10"/>
  <c r="B70" i="12"/>
  <c r="A63" i="10"/>
  <c r="A70" i="12"/>
  <c r="AM62" i="10"/>
  <c r="D69" i="12"/>
  <c r="D62" i="10"/>
  <c r="E69" i="12"/>
  <c r="B62" i="10"/>
  <c r="A62" i="10"/>
  <c r="A69" i="12"/>
  <c r="AM61" i="10"/>
  <c r="D68" i="12" s="1"/>
  <c r="D61" i="10"/>
  <c r="E68" i="12"/>
  <c r="B61" i="10"/>
  <c r="B68" i="12"/>
  <c r="A61" i="10"/>
  <c r="A68" i="12"/>
  <c r="AM60" i="10"/>
  <c r="D67" i="12" s="1"/>
  <c r="D60" i="10"/>
  <c r="E67" i="12"/>
  <c r="B60" i="10"/>
  <c r="B67" i="12"/>
  <c r="A60" i="10"/>
  <c r="A67" i="12"/>
  <c r="AM59" i="10"/>
  <c r="D66" i="12" s="1"/>
  <c r="D59" i="10"/>
  <c r="E66" i="12"/>
  <c r="B59" i="10"/>
  <c r="B66" i="12"/>
  <c r="A59" i="10"/>
  <c r="A66" i="12"/>
  <c r="AM58" i="10"/>
  <c r="D65" i="12" s="1"/>
  <c r="D58" i="10"/>
  <c r="E65" i="12"/>
  <c r="B58" i="10"/>
  <c r="B65" i="12"/>
  <c r="A58" i="10"/>
  <c r="A65" i="12"/>
  <c r="AM57" i="10"/>
  <c r="D64" i="12" s="1"/>
  <c r="D57" i="10"/>
  <c r="E64" i="12"/>
  <c r="B57" i="10"/>
  <c r="B64" i="12"/>
  <c r="A57" i="10"/>
  <c r="A64" i="12"/>
  <c r="AM56" i="10"/>
  <c r="D63" i="12" s="1"/>
  <c r="D56" i="10"/>
  <c r="E63" i="12"/>
  <c r="B56" i="10"/>
  <c r="B63" i="12"/>
  <c r="A56" i="10"/>
  <c r="A63" i="12"/>
  <c r="AM55" i="10"/>
  <c r="D62" i="12" s="1"/>
  <c r="D55" i="10"/>
  <c r="E62" i="12"/>
  <c r="B55" i="10"/>
  <c r="B62" i="12"/>
  <c r="A55" i="10"/>
  <c r="A62" i="12"/>
  <c r="AM54" i="10"/>
  <c r="D61" i="12" s="1"/>
  <c r="D54" i="10"/>
  <c r="E61" i="12"/>
  <c r="B54" i="10"/>
  <c r="B61" i="12"/>
  <c r="A54" i="10"/>
  <c r="A61" i="12"/>
  <c r="AM53" i="10"/>
  <c r="D60" i="12" s="1"/>
  <c r="D53" i="10"/>
  <c r="E60" i="12"/>
  <c r="B53" i="10"/>
  <c r="B60" i="12"/>
  <c r="A53" i="10"/>
  <c r="A60" i="12"/>
  <c r="AM52" i="10"/>
  <c r="D59" i="12" s="1"/>
  <c r="D52" i="10"/>
  <c r="E59" i="12"/>
  <c r="B52" i="10"/>
  <c r="B59" i="12"/>
  <c r="A52" i="10"/>
  <c r="A59" i="12"/>
  <c r="AM51" i="10"/>
  <c r="D58" i="12" s="1"/>
  <c r="D51" i="10"/>
  <c r="E58" i="12"/>
  <c r="B51" i="10"/>
  <c r="B58" i="12"/>
  <c r="A51" i="10"/>
  <c r="A58" i="12"/>
  <c r="AM50" i="10"/>
  <c r="D57" i="12" s="1"/>
  <c r="D50" i="10"/>
  <c r="E57" i="12"/>
  <c r="B50" i="10"/>
  <c r="B57" i="12"/>
  <c r="A50" i="10"/>
  <c r="A57" i="12"/>
  <c r="AM49" i="10"/>
  <c r="D56" i="12" s="1"/>
  <c r="D49" i="10"/>
  <c r="E56" i="12"/>
  <c r="B49" i="10"/>
  <c r="B56" i="12"/>
  <c r="A49" i="10"/>
  <c r="A56" i="12"/>
  <c r="AM48" i="10"/>
  <c r="D55" i="12" s="1"/>
  <c r="D48" i="10"/>
  <c r="E55" i="12"/>
  <c r="B48" i="10"/>
  <c r="B55" i="12"/>
  <c r="A48" i="10"/>
  <c r="A55" i="12"/>
  <c r="AM47" i="10"/>
  <c r="D54" i="12" s="1"/>
  <c r="D47" i="10"/>
  <c r="E54" i="12"/>
  <c r="B47" i="10"/>
  <c r="B54" i="12"/>
  <c r="A47" i="10"/>
  <c r="A54" i="12"/>
  <c r="AM46" i="10"/>
  <c r="D53" i="12" s="1"/>
  <c r="D46" i="10"/>
  <c r="E53" i="12"/>
  <c r="B46" i="10"/>
  <c r="B53" i="12"/>
  <c r="A46" i="10"/>
  <c r="A53" i="12"/>
  <c r="AM45" i="10"/>
  <c r="D52" i="12" s="1"/>
  <c r="D45" i="10"/>
  <c r="E52" i="12"/>
  <c r="B45" i="10"/>
  <c r="B52" i="12"/>
  <c r="A45" i="10"/>
  <c r="A52" i="12"/>
  <c r="AM44" i="10"/>
  <c r="D51" i="12" s="1"/>
  <c r="D44" i="10"/>
  <c r="E51" i="12"/>
  <c r="B44" i="10"/>
  <c r="B51" i="12"/>
  <c r="A44" i="10"/>
  <c r="A51" i="12"/>
  <c r="AM43" i="10"/>
  <c r="D50" i="12" s="1"/>
  <c r="D43" i="10"/>
  <c r="E50" i="12"/>
  <c r="B43" i="10"/>
  <c r="B50" i="12"/>
  <c r="A43" i="10"/>
  <c r="A50" i="12"/>
  <c r="AM42" i="10"/>
  <c r="D49" i="12" s="1"/>
  <c r="D42" i="10"/>
  <c r="E49" i="12"/>
  <c r="B42" i="10"/>
  <c r="B49" i="12"/>
  <c r="A42" i="10"/>
  <c r="A49" i="12"/>
  <c r="AM41" i="10"/>
  <c r="D48" i="12" s="1"/>
  <c r="D41" i="10"/>
  <c r="E48" i="12"/>
  <c r="B41" i="10"/>
  <c r="B48" i="12"/>
  <c r="A41" i="10"/>
  <c r="A48" i="12"/>
  <c r="AM40" i="10"/>
  <c r="D47" i="12" s="1"/>
  <c r="D40" i="10"/>
  <c r="E47" i="12"/>
  <c r="B40" i="10"/>
  <c r="B47" i="12"/>
  <c r="A40" i="10"/>
  <c r="A47" i="12"/>
  <c r="AM39" i="10"/>
  <c r="D46" i="12" s="1"/>
  <c r="D39" i="10"/>
  <c r="E46" i="12"/>
  <c r="B39" i="10"/>
  <c r="B46" i="12"/>
  <c r="A39" i="10"/>
  <c r="A46" i="12"/>
  <c r="AM38" i="10"/>
  <c r="D45" i="12" s="1"/>
  <c r="D38" i="10"/>
  <c r="E45" i="12"/>
  <c r="B38" i="10"/>
  <c r="B45" i="12"/>
  <c r="A38" i="10"/>
  <c r="A45" i="12"/>
  <c r="BA37" i="10"/>
  <c r="Q44" i="12"/>
  <c r="R44" i="12"/>
  <c r="AM37" i="10"/>
  <c r="D44" i="12" s="1"/>
  <c r="D37" i="10"/>
  <c r="E44" i="12"/>
  <c r="B37" i="10"/>
  <c r="B44" i="12"/>
  <c r="A37" i="10"/>
  <c r="A44" i="12"/>
  <c r="AM36" i="10"/>
  <c r="D43" i="12" s="1"/>
  <c r="D36" i="10"/>
  <c r="E43" i="12"/>
  <c r="B36" i="10"/>
  <c r="B43" i="12"/>
  <c r="A36" i="10"/>
  <c r="A43" i="12"/>
  <c r="AM35" i="10"/>
  <c r="D42" i="12" s="1"/>
  <c r="D35" i="10"/>
  <c r="E42" i="12"/>
  <c r="B35" i="10"/>
  <c r="B42" i="12"/>
  <c r="A35" i="10"/>
  <c r="A42" i="12"/>
  <c r="AM34" i="10"/>
  <c r="D41" i="12" s="1"/>
  <c r="D34" i="10"/>
  <c r="E41" i="12"/>
  <c r="B34" i="10"/>
  <c r="B41" i="12"/>
  <c r="A34" i="10"/>
  <c r="A41" i="12"/>
  <c r="AM33" i="10"/>
  <c r="D40" i="12" s="1"/>
  <c r="D33" i="10"/>
  <c r="E40" i="12"/>
  <c r="B33" i="10"/>
  <c r="B40" i="12"/>
  <c r="A33" i="10"/>
  <c r="A40" i="12"/>
  <c r="AM32" i="10"/>
  <c r="D39" i="12" s="1"/>
  <c r="D32" i="10"/>
  <c r="E39" i="12"/>
  <c r="B32" i="10"/>
  <c r="B39" i="12"/>
  <c r="A32" i="10"/>
  <c r="A39" i="12"/>
  <c r="BA31" i="10"/>
  <c r="Q38" i="12"/>
  <c r="R38" i="12"/>
  <c r="AM31" i="10"/>
  <c r="D38" i="12" s="1"/>
  <c r="D31" i="10"/>
  <c r="E38" i="12"/>
  <c r="B31" i="10"/>
  <c r="B38" i="12"/>
  <c r="A31" i="10"/>
  <c r="A38" i="12"/>
  <c r="AM30" i="10"/>
  <c r="D37" i="12" s="1"/>
  <c r="AE30" i="10"/>
  <c r="L37" i="12"/>
  <c r="D30" i="10"/>
  <c r="E37" i="12"/>
  <c r="B30" i="10"/>
  <c r="B37" i="12"/>
  <c r="A30" i="10"/>
  <c r="A37" i="12"/>
  <c r="AM29" i="10"/>
  <c r="D36" i="12" s="1"/>
  <c r="D29" i="10"/>
  <c r="E36" i="12"/>
  <c r="B29" i="10"/>
  <c r="B36" i="12"/>
  <c r="A29" i="10"/>
  <c r="A36" i="12"/>
  <c r="AM28" i="10"/>
  <c r="D35" i="12" s="1"/>
  <c r="D28" i="10"/>
  <c r="E35" i="12"/>
  <c r="B28" i="10"/>
  <c r="B35" i="12"/>
  <c r="A28" i="10"/>
  <c r="A35" i="12"/>
  <c r="AM27" i="10"/>
  <c r="D34" i="12" s="1"/>
  <c r="D27" i="10"/>
  <c r="E34" i="12"/>
  <c r="B27" i="10"/>
  <c r="B34" i="12"/>
  <c r="A27" i="10"/>
  <c r="A34" i="12"/>
  <c r="AM26" i="10"/>
  <c r="D33" i="12" s="1"/>
  <c r="D26" i="10"/>
  <c r="E33" i="12"/>
  <c r="B26" i="10"/>
  <c r="B33" i="12"/>
  <c r="A26" i="10"/>
  <c r="A33" i="12"/>
  <c r="AM25" i="10"/>
  <c r="D32" i="12"/>
  <c r="D25" i="10"/>
  <c r="E32" i="12"/>
  <c r="B25" i="10"/>
  <c r="B32" i="12"/>
  <c r="A25" i="10"/>
  <c r="A32" i="12"/>
  <c r="AM24" i="10"/>
  <c r="D31" i="12"/>
  <c r="D24" i="10"/>
  <c r="E31" i="12"/>
  <c r="B24" i="10"/>
  <c r="B31" i="12"/>
  <c r="A24" i="10"/>
  <c r="A31" i="12"/>
  <c r="AM23" i="10"/>
  <c r="D30" i="12"/>
  <c r="D23" i="10"/>
  <c r="E30" i="12"/>
  <c r="B23" i="10"/>
  <c r="B30" i="12"/>
  <c r="A23" i="10"/>
  <c r="A30" i="12"/>
  <c r="AM22" i="10"/>
  <c r="D29" i="12"/>
  <c r="D22" i="10"/>
  <c r="E29" i="12"/>
  <c r="B22" i="10"/>
  <c r="B29" i="12"/>
  <c r="A22" i="10"/>
  <c r="A29" i="12"/>
  <c r="AM21" i="10"/>
  <c r="D28" i="12"/>
  <c r="D21" i="10"/>
  <c r="E28" i="12"/>
  <c r="B21" i="10"/>
  <c r="A21" i="10"/>
  <c r="A28" i="12"/>
  <c r="AM20" i="10"/>
  <c r="D27" i="12"/>
  <c r="D20" i="10"/>
  <c r="E27" i="12"/>
  <c r="B20" i="10"/>
  <c r="B27" i="12"/>
  <c r="A20" i="10"/>
  <c r="A27" i="12"/>
  <c r="AM19" i="10"/>
  <c r="D26" i="12"/>
  <c r="D19" i="10"/>
  <c r="E26" i="12"/>
  <c r="B19" i="10"/>
  <c r="B26" i="12"/>
  <c r="A19" i="10"/>
  <c r="A26" i="12"/>
  <c r="AM18" i="10"/>
  <c r="D25" i="12"/>
  <c r="D18" i="10"/>
  <c r="E25" i="12"/>
  <c r="B18" i="10"/>
  <c r="B25" i="12"/>
  <c r="A18" i="10"/>
  <c r="A25" i="12"/>
  <c r="AM17" i="10"/>
  <c r="D24" i="12"/>
  <c r="D17" i="10"/>
  <c r="E24" i="12"/>
  <c r="B17" i="10"/>
  <c r="B24" i="12"/>
  <c r="A17" i="10"/>
  <c r="A24" i="12"/>
  <c r="AM16" i="10"/>
  <c r="D23" i="12"/>
  <c r="D16" i="10"/>
  <c r="E23" i="12"/>
  <c r="B16" i="10"/>
  <c r="B23" i="12"/>
  <c r="A16" i="10"/>
  <c r="A23" i="12"/>
  <c r="AM15" i="10"/>
  <c r="D22" i="12"/>
  <c r="D15" i="10"/>
  <c r="E22" i="12"/>
  <c r="B15" i="10"/>
  <c r="B22" i="12"/>
  <c r="A15" i="10"/>
  <c r="A22" i="12"/>
  <c r="BA14" i="10"/>
  <c r="Q21" i="12"/>
  <c r="R21" i="12" s="1"/>
  <c r="AM14" i="10"/>
  <c r="D21" i="12" s="1"/>
  <c r="D14" i="10"/>
  <c r="E21" i="12"/>
  <c r="B14" i="10"/>
  <c r="B21" i="12"/>
  <c r="A14" i="10"/>
  <c r="A21" i="12"/>
  <c r="AM13" i="10"/>
  <c r="D20" i="12" s="1"/>
  <c r="D13" i="10"/>
  <c r="E20" i="12"/>
  <c r="B13" i="10"/>
  <c r="B20" i="12"/>
  <c r="A13" i="10"/>
  <c r="A20" i="12"/>
  <c r="AM12" i="10"/>
  <c r="D19" i="12" s="1"/>
  <c r="AC12" i="10"/>
  <c r="J19" i="12"/>
  <c r="D12" i="10"/>
  <c r="E19" i="12"/>
  <c r="B12" i="10"/>
  <c r="B19" i="12"/>
  <c r="A12" i="10"/>
  <c r="A19" i="12"/>
  <c r="AM11" i="10"/>
  <c r="D18" i="12" s="1"/>
  <c r="D11" i="10"/>
  <c r="E18" i="12"/>
  <c r="B11" i="10"/>
  <c r="B18" i="12"/>
  <c r="A11" i="10"/>
  <c r="A18" i="12"/>
  <c r="AM10" i="10"/>
  <c r="D17" i="12" s="1"/>
  <c r="D10" i="10"/>
  <c r="E17" i="12"/>
  <c r="B10" i="10"/>
  <c r="B17" i="12"/>
  <c r="A10" i="10"/>
  <c r="A17" i="12"/>
  <c r="AM9" i="10"/>
  <c r="D16" i="12" s="1"/>
  <c r="D9" i="10"/>
  <c r="E16" i="12"/>
  <c r="B9" i="10"/>
  <c r="B16" i="12"/>
  <c r="A9" i="10"/>
  <c r="A16" i="12"/>
  <c r="AM8" i="10"/>
  <c r="D15" i="12" s="1"/>
  <c r="D8" i="10"/>
  <c r="E15" i="12"/>
  <c r="B8" i="10"/>
  <c r="B15" i="12"/>
  <c r="A8" i="10"/>
  <c r="A15" i="12"/>
  <c r="AM7" i="10"/>
  <c r="D14" i="12" s="1"/>
  <c r="AD7" i="10"/>
  <c r="K14" i="12"/>
  <c r="D7" i="10"/>
  <c r="E14" i="12"/>
  <c r="B7" i="10"/>
  <c r="B14" i="12"/>
  <c r="A7" i="10"/>
  <c r="A14" i="12"/>
  <c r="BC6" i="10"/>
  <c r="T13" i="12"/>
  <c r="U13" i="12" s="1"/>
  <c r="AM6" i="10"/>
  <c r="D13" i="12"/>
  <c r="AC6" i="10"/>
  <c r="J13" i="12"/>
  <c r="D6" i="10"/>
  <c r="E13" i="12"/>
  <c r="B6" i="10"/>
  <c r="B13" i="12"/>
  <c r="A6" i="10"/>
  <c r="A13" i="12"/>
  <c r="F86" i="4"/>
  <c r="D86" i="4"/>
  <c r="D84" i="4"/>
  <c r="D82" i="4"/>
  <c r="D81" i="4"/>
  <c r="D80" i="4"/>
  <c r="D83" i="4"/>
  <c r="U75" i="4"/>
  <c r="AD68" i="10"/>
  <c r="K75" i="12"/>
  <c r="T75" i="4"/>
  <c r="S75" i="4"/>
  <c r="BC68" i="10"/>
  <c r="T75" i="12"/>
  <c r="U75" i="12" s="1"/>
  <c r="R75" i="4"/>
  <c r="BA68" i="10"/>
  <c r="Q75" i="12"/>
  <c r="R75" i="12"/>
  <c r="O75" i="4"/>
  <c r="P68" i="10" s="1"/>
  <c r="N75" i="4"/>
  <c r="M75" i="4"/>
  <c r="N68" i="10" s="1"/>
  <c r="G75" i="4"/>
  <c r="U74" i="4"/>
  <c r="AD67" i="10"/>
  <c r="K74" i="12"/>
  <c r="T74" i="4"/>
  <c r="AC67" i="10"/>
  <c r="J74" i="12"/>
  <c r="S74" i="4"/>
  <c r="BC67" i="10"/>
  <c r="T74" i="12"/>
  <c r="U74" i="12"/>
  <c r="R74" i="4"/>
  <c r="BA67" i="10"/>
  <c r="Q74" i="12"/>
  <c r="R74" i="12"/>
  <c r="O74" i="4"/>
  <c r="P67" i="10" s="1"/>
  <c r="N74" i="4"/>
  <c r="M74" i="4"/>
  <c r="N67" i="10"/>
  <c r="H74" i="4"/>
  <c r="AF67" i="10"/>
  <c r="M74" i="12"/>
  <c r="G74" i="4"/>
  <c r="V73" i="4"/>
  <c r="AE66" i="10"/>
  <c r="L73" i="12"/>
  <c r="U73" i="4"/>
  <c r="AD66" i="10"/>
  <c r="K73" i="12"/>
  <c r="T73" i="4"/>
  <c r="AC66" i="10"/>
  <c r="J73" i="12"/>
  <c r="S73" i="4"/>
  <c r="BC66" i="10"/>
  <c r="T73" i="12"/>
  <c r="U73" i="12" s="1"/>
  <c r="R73" i="4"/>
  <c r="BA66" i="10"/>
  <c r="Q73" i="12"/>
  <c r="R73" i="12" s="1"/>
  <c r="O73" i="4"/>
  <c r="P66" i="10" s="1"/>
  <c r="N73" i="4"/>
  <c r="M73" i="4"/>
  <c r="N66" i="10" s="1"/>
  <c r="W73" i="12" s="1"/>
  <c r="H73" i="4"/>
  <c r="AF66" i="10"/>
  <c r="M73" i="12"/>
  <c r="G73" i="4"/>
  <c r="V72" i="4"/>
  <c r="AE65" i="10"/>
  <c r="L72" i="12"/>
  <c r="U72" i="4"/>
  <c r="AD65" i="10"/>
  <c r="K72" i="12"/>
  <c r="T72" i="4"/>
  <c r="AC65" i="10"/>
  <c r="J72" i="12"/>
  <c r="S72" i="4"/>
  <c r="BC65" i="10"/>
  <c r="T72" i="12"/>
  <c r="U72" i="12" s="1"/>
  <c r="R72" i="4"/>
  <c r="BA65" i="10"/>
  <c r="Q72" i="12"/>
  <c r="R72" i="12" s="1"/>
  <c r="O72" i="4"/>
  <c r="P65" i="10"/>
  <c r="N72" i="4"/>
  <c r="M72" i="4"/>
  <c r="N65" i="10"/>
  <c r="H72" i="4"/>
  <c r="AF65" i="10"/>
  <c r="M72" i="12"/>
  <c r="G72" i="4"/>
  <c r="AG71" i="4"/>
  <c r="U71" i="4"/>
  <c r="AD64" i="10"/>
  <c r="K71" i="12"/>
  <c r="T71" i="4"/>
  <c r="S71" i="4"/>
  <c r="BC64" i="10"/>
  <c r="T71" i="12"/>
  <c r="U71" i="12" s="1"/>
  <c r="R71" i="4"/>
  <c r="BA64" i="10"/>
  <c r="Q71" i="12"/>
  <c r="R71" i="12" s="1"/>
  <c r="O71" i="4"/>
  <c r="P64" i="10"/>
  <c r="N71" i="4"/>
  <c r="M71" i="4"/>
  <c r="N64" i="10"/>
  <c r="H71" i="4"/>
  <c r="G71" i="4"/>
  <c r="U70" i="4"/>
  <c r="AD63" i="10"/>
  <c r="K70" i="12"/>
  <c r="T70" i="4"/>
  <c r="AC63" i="10"/>
  <c r="J70" i="12"/>
  <c r="S70" i="4"/>
  <c r="BC63" i="10"/>
  <c r="T70" i="12"/>
  <c r="U70" i="12"/>
  <c r="R70" i="4"/>
  <c r="BA63" i="10"/>
  <c r="Q70" i="12"/>
  <c r="R70" i="12"/>
  <c r="O70" i="4"/>
  <c r="P63" i="10"/>
  <c r="N70" i="4"/>
  <c r="M70" i="4"/>
  <c r="N63" i="10"/>
  <c r="W70" i="12" s="1"/>
  <c r="X70" i="12" s="1"/>
  <c r="H70" i="4"/>
  <c r="AF63" i="10"/>
  <c r="M70" i="12"/>
  <c r="G70" i="4"/>
  <c r="V69" i="4"/>
  <c r="AE62" i="10"/>
  <c r="L69" i="12"/>
  <c r="U69" i="4"/>
  <c r="AD62" i="10"/>
  <c r="K69" i="12"/>
  <c r="T69" i="4"/>
  <c r="AC62" i="10"/>
  <c r="J69" i="12"/>
  <c r="S69" i="4"/>
  <c r="BC62" i="10"/>
  <c r="T69" i="12"/>
  <c r="U69" i="12" s="1"/>
  <c r="R69" i="4"/>
  <c r="BA62" i="10"/>
  <c r="Q69" i="12"/>
  <c r="R69" i="12"/>
  <c r="O69" i="4"/>
  <c r="P62" i="10" s="1"/>
  <c r="N69" i="4"/>
  <c r="M69" i="4"/>
  <c r="N62" i="10"/>
  <c r="H69" i="4"/>
  <c r="AF62" i="10"/>
  <c r="M69" i="12"/>
  <c r="G69" i="4"/>
  <c r="V68" i="4"/>
  <c r="AE61" i="10"/>
  <c r="L68" i="12"/>
  <c r="U68" i="4"/>
  <c r="AD61" i="10"/>
  <c r="K68" i="12"/>
  <c r="T68" i="4"/>
  <c r="AC61" i="10"/>
  <c r="J68" i="12"/>
  <c r="S68" i="4"/>
  <c r="BC61" i="10"/>
  <c r="T68" i="12"/>
  <c r="U68" i="12" s="1"/>
  <c r="R68" i="4"/>
  <c r="BA61" i="10"/>
  <c r="Q68" i="12"/>
  <c r="R68" i="12" s="1"/>
  <c r="O68" i="4"/>
  <c r="P61" i="10" s="1"/>
  <c r="Z61" i="10" s="1"/>
  <c r="AI61" i="10" s="1"/>
  <c r="AQ61" i="10" s="1"/>
  <c r="AZ61" i="10" s="1"/>
  <c r="N68" i="4"/>
  <c r="M68" i="4"/>
  <c r="G68" i="4"/>
  <c r="U67" i="4"/>
  <c r="AD60" i="10"/>
  <c r="K67" i="12"/>
  <c r="T67" i="4"/>
  <c r="S67" i="4"/>
  <c r="BC60" i="10"/>
  <c r="T67" i="12"/>
  <c r="U67" i="12" s="1"/>
  <c r="R67" i="4"/>
  <c r="BA60" i="10"/>
  <c r="Q67" i="12"/>
  <c r="R67" i="12" s="1"/>
  <c r="O67" i="4"/>
  <c r="P60" i="10"/>
  <c r="Z60" i="10" s="1"/>
  <c r="AI60" i="10" s="1"/>
  <c r="AQ60" i="10" s="1"/>
  <c r="AZ60" i="10" s="1"/>
  <c r="N67" i="4"/>
  <c r="M67" i="4"/>
  <c r="N60" i="10"/>
  <c r="G67" i="4"/>
  <c r="U66" i="4"/>
  <c r="AD59" i="10"/>
  <c r="K66" i="12"/>
  <c r="T66" i="4"/>
  <c r="AC59" i="10"/>
  <c r="J66" i="12"/>
  <c r="S66" i="4"/>
  <c r="BC59" i="10"/>
  <c r="T66" i="12"/>
  <c r="U66" i="12" s="1"/>
  <c r="R66" i="4"/>
  <c r="BA59" i="10"/>
  <c r="Q66" i="12"/>
  <c r="R66" i="12" s="1"/>
  <c r="O66" i="4"/>
  <c r="P59" i="10" s="1"/>
  <c r="N66" i="4"/>
  <c r="M66" i="4"/>
  <c r="N59" i="10"/>
  <c r="H66" i="4"/>
  <c r="AF59" i="10"/>
  <c r="M66" i="12"/>
  <c r="G66" i="4"/>
  <c r="E66" i="4"/>
  <c r="U65" i="4"/>
  <c r="AD58" i="10"/>
  <c r="K65" i="12"/>
  <c r="T65" i="4"/>
  <c r="AC58" i="10"/>
  <c r="J65" i="12"/>
  <c r="S65" i="4"/>
  <c r="BC58" i="10"/>
  <c r="T65" i="12"/>
  <c r="U65" i="12"/>
  <c r="R65" i="4"/>
  <c r="BA58" i="10"/>
  <c r="Q65" i="12"/>
  <c r="R65" i="12" s="1"/>
  <c r="O65" i="4"/>
  <c r="P58" i="10" s="1"/>
  <c r="Z58" i="10" s="1"/>
  <c r="AI58" i="10" s="1"/>
  <c r="AQ58" i="10" s="1"/>
  <c r="N65" i="4"/>
  <c r="M65" i="4"/>
  <c r="N58" i="10"/>
  <c r="H65" i="4"/>
  <c r="AF58" i="10"/>
  <c r="M65" i="12"/>
  <c r="G65" i="4"/>
  <c r="V64" i="4"/>
  <c r="AE57" i="10"/>
  <c r="L64" i="12"/>
  <c r="U64" i="4"/>
  <c r="AD57" i="10"/>
  <c r="K64" i="12"/>
  <c r="T64" i="4"/>
  <c r="AC57" i="10"/>
  <c r="J64" i="12"/>
  <c r="S64" i="4"/>
  <c r="BC57" i="10"/>
  <c r="T64" i="12"/>
  <c r="U64" i="12" s="1"/>
  <c r="R64" i="4"/>
  <c r="BA57" i="10"/>
  <c r="Q64" i="12"/>
  <c r="R64" i="12" s="1"/>
  <c r="O64" i="4"/>
  <c r="P57" i="10" s="1"/>
  <c r="N64" i="4"/>
  <c r="M64" i="4"/>
  <c r="AH64" i="4" s="1"/>
  <c r="N57" i="10"/>
  <c r="G64" i="4"/>
  <c r="U63" i="4"/>
  <c r="AD56" i="10"/>
  <c r="K63" i="12"/>
  <c r="T63" i="4"/>
  <c r="S63" i="4"/>
  <c r="BC56" i="10"/>
  <c r="T63" i="12"/>
  <c r="U63" i="12"/>
  <c r="R63" i="4"/>
  <c r="BA56" i="10"/>
  <c r="Q63" i="12"/>
  <c r="R63" i="12"/>
  <c r="O63" i="4"/>
  <c r="P56" i="10"/>
  <c r="N63" i="4"/>
  <c r="M63" i="4"/>
  <c r="N56" i="10"/>
  <c r="Y56" i="10" s="1"/>
  <c r="G63" i="4"/>
  <c r="U62" i="4"/>
  <c r="AD55" i="10"/>
  <c r="K62" i="12"/>
  <c r="T62" i="4"/>
  <c r="AC55" i="10"/>
  <c r="J62" i="12"/>
  <c r="S62" i="4"/>
  <c r="BC55" i="10"/>
  <c r="T62" i="12"/>
  <c r="U62" i="12"/>
  <c r="R62" i="4"/>
  <c r="BA55" i="10"/>
  <c r="Q62" i="12"/>
  <c r="R62" i="12"/>
  <c r="O62" i="4"/>
  <c r="P55" i="10" s="1"/>
  <c r="N62" i="4"/>
  <c r="M62" i="4"/>
  <c r="N55" i="10"/>
  <c r="H62" i="4"/>
  <c r="AF55" i="10"/>
  <c r="M62" i="12"/>
  <c r="G62" i="4"/>
  <c r="U61" i="4"/>
  <c r="AD54" i="10"/>
  <c r="K61" i="12"/>
  <c r="T61" i="4"/>
  <c r="AC54" i="10"/>
  <c r="J61" i="12"/>
  <c r="S61" i="4"/>
  <c r="BC54" i="10"/>
  <c r="T61" i="12"/>
  <c r="U61" i="12" s="1"/>
  <c r="R61" i="4"/>
  <c r="BA54" i="10"/>
  <c r="Q61" i="12"/>
  <c r="R61" i="12"/>
  <c r="O61" i="4"/>
  <c r="P54" i="10"/>
  <c r="Z61" i="12" s="1"/>
  <c r="AA61" i="12" s="1"/>
  <c r="N61" i="4"/>
  <c r="M61" i="4"/>
  <c r="H61" i="4"/>
  <c r="AF54" i="10"/>
  <c r="M61" i="12"/>
  <c r="G61" i="4"/>
  <c r="V60" i="4"/>
  <c r="AE53" i="10"/>
  <c r="L60" i="12"/>
  <c r="U60" i="4"/>
  <c r="AD53" i="10"/>
  <c r="K60" i="12"/>
  <c r="T60" i="4"/>
  <c r="AC53" i="10"/>
  <c r="J60" i="12"/>
  <c r="S60" i="4"/>
  <c r="BC53" i="10"/>
  <c r="T60" i="12"/>
  <c r="U60" i="12" s="1"/>
  <c r="R60" i="4"/>
  <c r="BA53" i="10"/>
  <c r="Q60" i="12"/>
  <c r="R60" i="12" s="1"/>
  <c r="O60" i="4"/>
  <c r="P53" i="10" s="1"/>
  <c r="Z60" i="12" s="1"/>
  <c r="AA60" i="12" s="1"/>
  <c r="N60" i="4"/>
  <c r="M60" i="4"/>
  <c r="N53" i="10"/>
  <c r="G60" i="4"/>
  <c r="U59" i="4"/>
  <c r="AD52" i="10"/>
  <c r="K59" i="12"/>
  <c r="T59" i="4"/>
  <c r="S59" i="4"/>
  <c r="BC52" i="10"/>
  <c r="T59" i="12"/>
  <c r="U59" i="12"/>
  <c r="R59" i="4"/>
  <c r="BA52" i="10"/>
  <c r="Q59" i="12"/>
  <c r="R59" i="12"/>
  <c r="O59" i="4"/>
  <c r="P52" i="10"/>
  <c r="N59" i="4"/>
  <c r="M59" i="4"/>
  <c r="N52" i="10" s="1"/>
  <c r="W59" i="12" s="1"/>
  <c r="X59" i="12" s="1"/>
  <c r="H59" i="4"/>
  <c r="G59" i="4"/>
  <c r="U58" i="4"/>
  <c r="AD51" i="10"/>
  <c r="K58" i="12"/>
  <c r="T58" i="4"/>
  <c r="AC51" i="10"/>
  <c r="J58" i="12"/>
  <c r="S58" i="4"/>
  <c r="BC51" i="10"/>
  <c r="T58" i="12"/>
  <c r="U58" i="12"/>
  <c r="R58" i="4"/>
  <c r="BA51" i="10"/>
  <c r="Q58" i="12"/>
  <c r="R58" i="12"/>
  <c r="O58" i="4"/>
  <c r="P51" i="10"/>
  <c r="Z51" i="10" s="1"/>
  <c r="AI51" i="10" s="1"/>
  <c r="AQ51" i="10" s="1"/>
  <c r="AZ51" i="10" s="1"/>
  <c r="N58" i="4"/>
  <c r="M58" i="4"/>
  <c r="N51" i="10"/>
  <c r="G58" i="4"/>
  <c r="U57" i="4"/>
  <c r="AD50" i="10"/>
  <c r="K57" i="12"/>
  <c r="T57" i="4"/>
  <c r="AC50" i="10"/>
  <c r="J57" i="12"/>
  <c r="S57" i="4"/>
  <c r="BC50" i="10"/>
  <c r="T57" i="12"/>
  <c r="U57" i="12"/>
  <c r="R57" i="4"/>
  <c r="BA50" i="10"/>
  <c r="Q57" i="12"/>
  <c r="R57" i="12"/>
  <c r="O57" i="4"/>
  <c r="P50" i="10"/>
  <c r="Z57" i="12" s="1"/>
  <c r="AA57" i="12" s="1"/>
  <c r="N57" i="4"/>
  <c r="M57" i="4"/>
  <c r="N50" i="10"/>
  <c r="H57" i="4"/>
  <c r="AF50" i="10"/>
  <c r="M57" i="12"/>
  <c r="G57" i="4"/>
  <c r="V56" i="4"/>
  <c r="AE49" i="10"/>
  <c r="L56" i="12"/>
  <c r="U56" i="4"/>
  <c r="AD49" i="10"/>
  <c r="K56" i="12"/>
  <c r="T56" i="4"/>
  <c r="AC49" i="10"/>
  <c r="J56" i="12"/>
  <c r="S56" i="4"/>
  <c r="BC49" i="10"/>
  <c r="T56" i="12"/>
  <c r="U56" i="12"/>
  <c r="R56" i="4"/>
  <c r="BA49" i="10"/>
  <c r="Q56" i="12"/>
  <c r="R56" i="12" s="1"/>
  <c r="O56" i="4"/>
  <c r="P49" i="10" s="1"/>
  <c r="Z49" i="10" s="1"/>
  <c r="AI49" i="10" s="1"/>
  <c r="AQ49" i="10" s="1"/>
  <c r="AZ49" i="10" s="1"/>
  <c r="N56" i="4"/>
  <c r="M56" i="4"/>
  <c r="N49" i="10"/>
  <c r="W56" i="12" s="1"/>
  <c r="X56" i="12" s="1"/>
  <c r="G56" i="4"/>
  <c r="AG55" i="4"/>
  <c r="U55" i="4"/>
  <c r="AD48" i="10"/>
  <c r="K55" i="12"/>
  <c r="T55" i="4"/>
  <c r="AC48" i="10"/>
  <c r="J55" i="12"/>
  <c r="S55" i="4"/>
  <c r="BC48" i="10"/>
  <c r="T55" i="12"/>
  <c r="U55" i="12" s="1"/>
  <c r="R55" i="4"/>
  <c r="BA48" i="10"/>
  <c r="Q55" i="12"/>
  <c r="R55" i="12"/>
  <c r="O55" i="4"/>
  <c r="P48" i="10"/>
  <c r="N55" i="4"/>
  <c r="M55" i="4"/>
  <c r="N48" i="10" s="1"/>
  <c r="H55" i="4"/>
  <c r="AF48" i="10"/>
  <c r="M55" i="12"/>
  <c r="G55" i="4"/>
  <c r="U51" i="4"/>
  <c r="AD47" i="10"/>
  <c r="K54" i="12"/>
  <c r="T51" i="4"/>
  <c r="AC47" i="10"/>
  <c r="J54" i="12"/>
  <c r="S51" i="4"/>
  <c r="BC47" i="10"/>
  <c r="T54" i="12"/>
  <c r="U54" i="12"/>
  <c r="R51" i="4"/>
  <c r="BA47" i="10"/>
  <c r="Q54" i="12"/>
  <c r="R54" i="12"/>
  <c r="O51" i="4"/>
  <c r="P47" i="10" s="1"/>
  <c r="Z47" i="10" s="1"/>
  <c r="AI47" i="10" s="1"/>
  <c r="AQ47" i="10" s="1"/>
  <c r="N51" i="4"/>
  <c r="M51" i="4"/>
  <c r="H51" i="4"/>
  <c r="AF47" i="10"/>
  <c r="M54" i="12"/>
  <c r="G51" i="4"/>
  <c r="V50" i="4"/>
  <c r="AE46" i="10"/>
  <c r="L53" i="12"/>
  <c r="U50" i="4"/>
  <c r="AD46" i="10"/>
  <c r="K53" i="12"/>
  <c r="T50" i="4"/>
  <c r="AC46" i="10"/>
  <c r="J53" i="12"/>
  <c r="S50" i="4"/>
  <c r="BC46" i="10"/>
  <c r="T53" i="12"/>
  <c r="U53" i="12"/>
  <c r="R50" i="4"/>
  <c r="BA46" i="10"/>
  <c r="Q53" i="12"/>
  <c r="R53" i="12"/>
  <c r="O50" i="4"/>
  <c r="P46" i="10"/>
  <c r="N50" i="4"/>
  <c r="M50" i="4"/>
  <c r="H50" i="4"/>
  <c r="AF46" i="10"/>
  <c r="M53" i="12"/>
  <c r="G50" i="4"/>
  <c r="U49" i="4"/>
  <c r="T49" i="4"/>
  <c r="AC45" i="10"/>
  <c r="J52" i="12"/>
  <c r="S49" i="4"/>
  <c r="BC45" i="10"/>
  <c r="T52" i="12"/>
  <c r="U52" i="12"/>
  <c r="R49" i="4"/>
  <c r="BA45" i="10"/>
  <c r="Q52" i="12"/>
  <c r="R52" i="12"/>
  <c r="O49" i="4"/>
  <c r="P45" i="10"/>
  <c r="Z45" i="10" s="1"/>
  <c r="AI45" i="10" s="1"/>
  <c r="AQ45" i="10" s="1"/>
  <c r="AZ45" i="10" s="1"/>
  <c r="N49" i="4"/>
  <c r="M49" i="4"/>
  <c r="N45" i="10"/>
  <c r="G49" i="4"/>
  <c r="U48" i="4"/>
  <c r="AD44" i="10"/>
  <c r="K51" i="12"/>
  <c r="T48" i="4"/>
  <c r="S48" i="4"/>
  <c r="BC44" i="10"/>
  <c r="T51" i="12"/>
  <c r="U51" i="12"/>
  <c r="R48" i="4"/>
  <c r="BA44" i="10"/>
  <c r="Q51" i="12"/>
  <c r="R51" i="12" s="1"/>
  <c r="O48" i="4"/>
  <c r="P44" i="10" s="1"/>
  <c r="Z51" i="12" s="1"/>
  <c r="N48" i="4"/>
  <c r="M48" i="4"/>
  <c r="AH48" i="4" s="1"/>
  <c r="R44" i="10" s="1"/>
  <c r="N44" i="10"/>
  <c r="W51" i="12" s="1"/>
  <c r="H48" i="4"/>
  <c r="G48" i="4"/>
  <c r="U47" i="4"/>
  <c r="AD43" i="10"/>
  <c r="K50" i="12"/>
  <c r="T47" i="4"/>
  <c r="AC43" i="10"/>
  <c r="J50" i="12"/>
  <c r="S47" i="4"/>
  <c r="BC43" i="10"/>
  <c r="T50" i="12"/>
  <c r="U50" i="12" s="1"/>
  <c r="R47" i="4"/>
  <c r="BA43" i="10"/>
  <c r="Q50" i="12"/>
  <c r="R50" i="12"/>
  <c r="O47" i="4"/>
  <c r="P43" i="10"/>
  <c r="Z50" i="12" s="1"/>
  <c r="N47" i="4"/>
  <c r="M47" i="4"/>
  <c r="H47" i="4"/>
  <c r="AF43" i="10"/>
  <c r="M50" i="12"/>
  <c r="G47" i="4"/>
  <c r="V46" i="4"/>
  <c r="AE42" i="10"/>
  <c r="L49" i="12"/>
  <c r="U46" i="4"/>
  <c r="AD42" i="10"/>
  <c r="K49" i="12"/>
  <c r="T46" i="4"/>
  <c r="AC42" i="10"/>
  <c r="J49" i="12"/>
  <c r="S46" i="4"/>
  <c r="BC42" i="10"/>
  <c r="T49" i="12"/>
  <c r="U49" i="12" s="1"/>
  <c r="R46" i="4"/>
  <c r="BA42" i="10"/>
  <c r="Q49" i="12"/>
  <c r="R49" i="12" s="1"/>
  <c r="O46" i="4"/>
  <c r="P42" i="10"/>
  <c r="N46" i="4"/>
  <c r="M46" i="4"/>
  <c r="AH46" i="4" s="1"/>
  <c r="H46" i="4"/>
  <c r="AF42" i="10"/>
  <c r="M49" i="12"/>
  <c r="G46" i="4"/>
  <c r="U45" i="4"/>
  <c r="T45" i="4"/>
  <c r="AC41" i="10"/>
  <c r="J48" i="12"/>
  <c r="S45" i="4"/>
  <c r="BC41" i="10"/>
  <c r="T48" i="12"/>
  <c r="U48" i="12" s="1"/>
  <c r="R45" i="4"/>
  <c r="BA41" i="10"/>
  <c r="Q48" i="12"/>
  <c r="R48" i="12" s="1"/>
  <c r="O45" i="4"/>
  <c r="P41" i="10" s="1"/>
  <c r="Z41" i="10" s="1"/>
  <c r="AI41" i="10" s="1"/>
  <c r="AQ41" i="10" s="1"/>
  <c r="AZ41" i="10" s="1"/>
  <c r="N45" i="4"/>
  <c r="M45" i="4"/>
  <c r="N41" i="10"/>
  <c r="G45" i="4"/>
  <c r="U44" i="4"/>
  <c r="AD40" i="10"/>
  <c r="K47" i="12"/>
  <c r="T44" i="4"/>
  <c r="S44" i="4"/>
  <c r="BC40" i="10"/>
  <c r="T47" i="12"/>
  <c r="U47" i="12"/>
  <c r="R44" i="4"/>
  <c r="BA40" i="10"/>
  <c r="Q47" i="12"/>
  <c r="R47" i="12"/>
  <c r="O44" i="4"/>
  <c r="P40" i="10"/>
  <c r="N44" i="4"/>
  <c r="M44" i="4"/>
  <c r="G44" i="4"/>
  <c r="U43" i="4"/>
  <c r="AD39" i="10"/>
  <c r="K46" i="12"/>
  <c r="T43" i="4"/>
  <c r="AC39" i="10"/>
  <c r="J46" i="12"/>
  <c r="S43" i="4"/>
  <c r="BC39" i="10"/>
  <c r="T46" i="12"/>
  <c r="U46" i="12" s="1"/>
  <c r="R43" i="4"/>
  <c r="BA39" i="10"/>
  <c r="Q46" i="12"/>
  <c r="R46" i="12" s="1"/>
  <c r="O43" i="4"/>
  <c r="P39" i="10"/>
  <c r="N43" i="4"/>
  <c r="M43" i="4"/>
  <c r="G43" i="4"/>
  <c r="V42" i="4"/>
  <c r="AE38" i="10"/>
  <c r="L45" i="12"/>
  <c r="U42" i="4"/>
  <c r="AD38" i="10"/>
  <c r="K45" i="12"/>
  <c r="T42" i="4"/>
  <c r="AC38" i="10"/>
  <c r="J45" i="12"/>
  <c r="S42" i="4"/>
  <c r="BC38" i="10"/>
  <c r="T45" i="12"/>
  <c r="U45" i="12" s="1"/>
  <c r="R42" i="4"/>
  <c r="BA38" i="10"/>
  <c r="Q45" i="12"/>
  <c r="R45" i="12" s="1"/>
  <c r="O42" i="4"/>
  <c r="P38" i="10" s="1"/>
  <c r="Z38" i="10" s="1"/>
  <c r="N42" i="4"/>
  <c r="M42" i="4"/>
  <c r="N38" i="10" s="1"/>
  <c r="W45" i="12" s="1"/>
  <c r="H42" i="4"/>
  <c r="AF38" i="10"/>
  <c r="M45" i="12"/>
  <c r="G42" i="4"/>
  <c r="U41" i="4"/>
  <c r="T41" i="4"/>
  <c r="AC37" i="10"/>
  <c r="J44" i="12"/>
  <c r="S41" i="4"/>
  <c r="BC37" i="10"/>
  <c r="T44" i="12"/>
  <c r="U44" i="12"/>
  <c r="R41" i="4"/>
  <c r="O41" i="4"/>
  <c r="P37" i="10"/>
  <c r="N41" i="4"/>
  <c r="M41" i="4"/>
  <c r="G41" i="4"/>
  <c r="U40" i="4"/>
  <c r="AD36" i="10"/>
  <c r="K43" i="12"/>
  <c r="T40" i="4"/>
  <c r="S40" i="4"/>
  <c r="BC36" i="10"/>
  <c r="T43" i="12"/>
  <c r="U43" i="12" s="1"/>
  <c r="R40" i="4"/>
  <c r="BA36" i="10"/>
  <c r="Q43" i="12"/>
  <c r="R43" i="12"/>
  <c r="O40" i="4"/>
  <c r="P36" i="10"/>
  <c r="N40" i="4"/>
  <c r="M40" i="4"/>
  <c r="N36" i="10" s="1"/>
  <c r="W43" i="12" s="1"/>
  <c r="X43" i="12" s="1"/>
  <c r="G40" i="4"/>
  <c r="U39" i="4"/>
  <c r="AD35" i="10"/>
  <c r="K42" i="12"/>
  <c r="T39" i="4"/>
  <c r="AC35" i="10"/>
  <c r="J42" i="12"/>
  <c r="S39" i="4"/>
  <c r="BC35" i="10"/>
  <c r="T42" i="12"/>
  <c r="U42" i="12" s="1"/>
  <c r="R39" i="4"/>
  <c r="BA35" i="10"/>
  <c r="Q42" i="12"/>
  <c r="R42" i="12" s="1"/>
  <c r="O39" i="4"/>
  <c r="AK39" i="4" s="1"/>
  <c r="N39" i="4"/>
  <c r="M39" i="4"/>
  <c r="N35" i="10"/>
  <c r="G39" i="4"/>
  <c r="V38" i="4"/>
  <c r="AE34" i="10"/>
  <c r="L41" i="12"/>
  <c r="U38" i="4"/>
  <c r="AD34" i="10"/>
  <c r="K41" i="12"/>
  <c r="T38" i="4"/>
  <c r="AC34" i="10"/>
  <c r="J41" i="12"/>
  <c r="S38" i="4"/>
  <c r="BC34" i="10"/>
  <c r="T41" i="12"/>
  <c r="U41" i="12" s="1"/>
  <c r="R38" i="4"/>
  <c r="BA34" i="10"/>
  <c r="Q41" i="12"/>
  <c r="R41" i="12" s="1"/>
  <c r="O38" i="4"/>
  <c r="AK38" i="4" s="1"/>
  <c r="P34" i="10"/>
  <c r="N38" i="4"/>
  <c r="M38" i="4"/>
  <c r="G38" i="4"/>
  <c r="U37" i="4"/>
  <c r="T37" i="4"/>
  <c r="AC33" i="10"/>
  <c r="J40" i="12"/>
  <c r="S37" i="4"/>
  <c r="BC33" i="10"/>
  <c r="T40" i="12"/>
  <c r="U40" i="12"/>
  <c r="R37" i="4"/>
  <c r="BA33" i="10"/>
  <c r="Q40" i="12"/>
  <c r="R40" i="12"/>
  <c r="O37" i="4"/>
  <c r="P33" i="10" s="1"/>
  <c r="N37" i="4"/>
  <c r="M37" i="4"/>
  <c r="N33" i="10"/>
  <c r="G37" i="4"/>
  <c r="U36" i="4"/>
  <c r="AD32" i="10"/>
  <c r="K39" i="12"/>
  <c r="T36" i="4"/>
  <c r="S36" i="4"/>
  <c r="BC32" i="10"/>
  <c r="T39" i="12"/>
  <c r="U39" i="12" s="1"/>
  <c r="R36" i="4"/>
  <c r="BA32" i="10"/>
  <c r="Q39" i="12"/>
  <c r="R39" i="12" s="1"/>
  <c r="O36" i="4"/>
  <c r="P32" i="10"/>
  <c r="N36" i="4"/>
  <c r="M36" i="4"/>
  <c r="N32" i="10" s="1"/>
  <c r="H36" i="4"/>
  <c r="G36" i="4"/>
  <c r="U35" i="4"/>
  <c r="AD31" i="10"/>
  <c r="K38" i="12"/>
  <c r="T35" i="4"/>
  <c r="AC31" i="10"/>
  <c r="J38" i="12"/>
  <c r="S35" i="4"/>
  <c r="BC31" i="10"/>
  <c r="T38" i="12"/>
  <c r="U38" i="12" s="1"/>
  <c r="R35" i="4"/>
  <c r="O35" i="4"/>
  <c r="P31" i="10"/>
  <c r="N35" i="4"/>
  <c r="M35" i="4"/>
  <c r="G35" i="4"/>
  <c r="V34" i="4"/>
  <c r="U34" i="4"/>
  <c r="AD30" i="10"/>
  <c r="K37" i="12"/>
  <c r="T34" i="4"/>
  <c r="AC30" i="10"/>
  <c r="J37" i="12"/>
  <c r="S34" i="4"/>
  <c r="BC30" i="10"/>
  <c r="T37" i="12"/>
  <c r="U37" i="12" s="1"/>
  <c r="R34" i="4"/>
  <c r="BA30" i="10"/>
  <c r="Q37" i="12"/>
  <c r="R37" i="12"/>
  <c r="O34" i="4"/>
  <c r="P30" i="10" s="1"/>
  <c r="Z30" i="10" s="1"/>
  <c r="AI30" i="10" s="1"/>
  <c r="N34" i="4"/>
  <c r="M34" i="4"/>
  <c r="N30" i="10" s="1"/>
  <c r="G34" i="4"/>
  <c r="V33" i="4"/>
  <c r="AE29" i="10"/>
  <c r="L36" i="12"/>
  <c r="U33" i="4"/>
  <c r="T33" i="4"/>
  <c r="AC29" i="10"/>
  <c r="J36" i="12"/>
  <c r="S33" i="4"/>
  <c r="BC29" i="10"/>
  <c r="T36" i="12"/>
  <c r="U36" i="12" s="1"/>
  <c r="R33" i="4"/>
  <c r="BA29" i="10"/>
  <c r="Q36" i="12"/>
  <c r="R36" i="12" s="1"/>
  <c r="O33" i="4"/>
  <c r="P29" i="10" s="1"/>
  <c r="Z29" i="10" s="1"/>
  <c r="N33" i="4"/>
  <c r="M33" i="4"/>
  <c r="AH33" i="4" s="1"/>
  <c r="N29" i="10"/>
  <c r="Y29" i="10" s="1"/>
  <c r="AH29" i="10" s="1"/>
  <c r="AO29" i="10" s="1"/>
  <c r="G33" i="4"/>
  <c r="U32" i="4"/>
  <c r="AD28" i="10"/>
  <c r="K35" i="12"/>
  <c r="T32" i="4"/>
  <c r="S32" i="4"/>
  <c r="BC28" i="10"/>
  <c r="T35" i="12"/>
  <c r="U35" i="12"/>
  <c r="R32" i="4"/>
  <c r="BA28" i="10"/>
  <c r="Q35" i="12"/>
  <c r="R35" i="12" s="1"/>
  <c r="O32" i="4"/>
  <c r="P28" i="10"/>
  <c r="N32" i="4"/>
  <c r="M32" i="4"/>
  <c r="N28" i="10"/>
  <c r="G32" i="4"/>
  <c r="U31" i="4"/>
  <c r="AD27" i="10"/>
  <c r="K34" i="12"/>
  <c r="T31" i="4"/>
  <c r="AC27" i="10"/>
  <c r="J34" i="12"/>
  <c r="S31" i="4"/>
  <c r="BC27" i="10"/>
  <c r="T34" i="12"/>
  <c r="U34" i="12" s="1"/>
  <c r="R31" i="4"/>
  <c r="BA27" i="10"/>
  <c r="Q34" i="12"/>
  <c r="R34" i="12"/>
  <c r="O31" i="4"/>
  <c r="P27" i="10"/>
  <c r="N31" i="4"/>
  <c r="M31" i="4"/>
  <c r="N27" i="10"/>
  <c r="W34" i="12" s="1"/>
  <c r="H31" i="4"/>
  <c r="AF27" i="10"/>
  <c r="M34" i="12"/>
  <c r="G31" i="4"/>
  <c r="V27" i="4"/>
  <c r="AE26" i="10"/>
  <c r="L33" i="12"/>
  <c r="U27" i="4"/>
  <c r="AD26" i="10"/>
  <c r="K33" i="12"/>
  <c r="T27" i="4"/>
  <c r="AC26" i="10"/>
  <c r="J33" i="12"/>
  <c r="S27" i="4"/>
  <c r="BC26" i="10"/>
  <c r="T33" i="12"/>
  <c r="U33" i="12"/>
  <c r="R27" i="4"/>
  <c r="BA26" i="10"/>
  <c r="Q33" i="12"/>
  <c r="R33" i="12"/>
  <c r="O27" i="4"/>
  <c r="P26" i="10" s="1"/>
  <c r="N27" i="4"/>
  <c r="M27" i="4"/>
  <c r="N26" i="10" s="1"/>
  <c r="G27" i="4"/>
  <c r="U26" i="4"/>
  <c r="AD25" i="10"/>
  <c r="K32" i="12"/>
  <c r="T26" i="4"/>
  <c r="S26" i="4"/>
  <c r="BC25" i="10"/>
  <c r="T32" i="12"/>
  <c r="U32" i="12"/>
  <c r="R26" i="4"/>
  <c r="BA25" i="10"/>
  <c r="Q32" i="12"/>
  <c r="R32" i="12"/>
  <c r="O26" i="4"/>
  <c r="P25" i="10"/>
  <c r="N26" i="4"/>
  <c r="M26" i="4"/>
  <c r="N25" i="10" s="1"/>
  <c r="Y25" i="10" s="1"/>
  <c r="AH25" i="10" s="1"/>
  <c r="H26" i="4"/>
  <c r="G26" i="4"/>
  <c r="AF25" i="4"/>
  <c r="V25" i="4"/>
  <c r="AE24" i="10"/>
  <c r="L31" i="12"/>
  <c r="U25" i="4"/>
  <c r="AD24" i="10"/>
  <c r="K31" i="12"/>
  <c r="T25" i="4"/>
  <c r="AC24" i="10"/>
  <c r="J31" i="12"/>
  <c r="S25" i="4"/>
  <c r="BC24" i="10"/>
  <c r="T31" i="12"/>
  <c r="U31" i="12"/>
  <c r="R25" i="4"/>
  <c r="BA24" i="10"/>
  <c r="Q31" i="12"/>
  <c r="R31" i="12"/>
  <c r="O25" i="4"/>
  <c r="P24" i="10" s="1"/>
  <c r="Z24" i="10" s="1"/>
  <c r="AI24" i="10" s="1"/>
  <c r="N25" i="4"/>
  <c r="M25" i="4"/>
  <c r="N24" i="10"/>
  <c r="H25" i="4"/>
  <c r="G25" i="4"/>
  <c r="U24" i="4"/>
  <c r="AD23" i="10"/>
  <c r="K30" i="12"/>
  <c r="T24" i="4"/>
  <c r="AC23" i="10"/>
  <c r="J30" i="12"/>
  <c r="S24" i="4"/>
  <c r="BC23" i="10"/>
  <c r="T30" i="12"/>
  <c r="U30" i="12"/>
  <c r="R24" i="4"/>
  <c r="BA23" i="10"/>
  <c r="Q30" i="12"/>
  <c r="R30" i="12"/>
  <c r="O24" i="4"/>
  <c r="P23" i="10" s="1"/>
  <c r="N24" i="4"/>
  <c r="M24" i="4"/>
  <c r="H24" i="4"/>
  <c r="AF23" i="10"/>
  <c r="M30" i="12"/>
  <c r="G24" i="4"/>
  <c r="V23" i="4"/>
  <c r="AE22" i="10"/>
  <c r="L29" i="12"/>
  <c r="U23" i="4"/>
  <c r="H23" i="4"/>
  <c r="AF22" i="10"/>
  <c r="M29" i="12"/>
  <c r="T23" i="4"/>
  <c r="AC22" i="10"/>
  <c r="J29" i="12"/>
  <c r="S23" i="4"/>
  <c r="BC22" i="10"/>
  <c r="T29" i="12"/>
  <c r="U29" i="12" s="1"/>
  <c r="R23" i="4"/>
  <c r="BA22" i="10"/>
  <c r="Q29" i="12"/>
  <c r="R29" i="12" s="1"/>
  <c r="O23" i="4"/>
  <c r="P22" i="10" s="1"/>
  <c r="Z29" i="12" s="1"/>
  <c r="AA29" i="12" s="1"/>
  <c r="N23" i="4"/>
  <c r="M23" i="4"/>
  <c r="G23" i="4"/>
  <c r="U22" i="4"/>
  <c r="AD21" i="10"/>
  <c r="K28" i="12"/>
  <c r="T22" i="4"/>
  <c r="H22" i="4"/>
  <c r="S22" i="4"/>
  <c r="BC21" i="10"/>
  <c r="T28" i="12"/>
  <c r="U28" i="12" s="1"/>
  <c r="R22" i="4"/>
  <c r="BA21" i="10"/>
  <c r="Q28" i="12"/>
  <c r="R28" i="12"/>
  <c r="P21" i="10"/>
  <c r="Z21" i="10" s="1"/>
  <c r="AH22" i="4"/>
  <c r="N21" i="10"/>
  <c r="G22" i="4"/>
  <c r="AF21" i="4"/>
  <c r="V21" i="4"/>
  <c r="AE20" i="10"/>
  <c r="L27" i="12"/>
  <c r="U21" i="4"/>
  <c r="AD20" i="10"/>
  <c r="K27" i="12"/>
  <c r="T21" i="4"/>
  <c r="AC20" i="10"/>
  <c r="J27" i="12"/>
  <c r="S21" i="4"/>
  <c r="BC20" i="10"/>
  <c r="T27" i="12"/>
  <c r="U27" i="12"/>
  <c r="R21" i="4"/>
  <c r="BA20" i="10"/>
  <c r="Q27" i="12"/>
  <c r="R27" i="12"/>
  <c r="O21" i="4"/>
  <c r="P20" i="10" s="1"/>
  <c r="N21" i="4"/>
  <c r="M21" i="4"/>
  <c r="N20" i="10"/>
  <c r="W27" i="12" s="1"/>
  <c r="X27" i="12" s="1"/>
  <c r="G21" i="4"/>
  <c r="U20" i="4"/>
  <c r="AD19" i="10"/>
  <c r="K26" i="12"/>
  <c r="T20" i="4"/>
  <c r="AC19" i="10"/>
  <c r="J26" i="12"/>
  <c r="S20" i="4"/>
  <c r="BC19" i="10"/>
  <c r="T26" i="12"/>
  <c r="U26" i="12" s="1"/>
  <c r="R20" i="4"/>
  <c r="BA19" i="10"/>
  <c r="Q26" i="12"/>
  <c r="R26" i="12" s="1"/>
  <c r="O20" i="4"/>
  <c r="P19" i="10" s="1"/>
  <c r="N20" i="4"/>
  <c r="M20" i="4"/>
  <c r="AH20" i="4" s="1"/>
  <c r="N19" i="10"/>
  <c r="H20" i="4"/>
  <c r="AF19" i="10"/>
  <c r="M26" i="12"/>
  <c r="G20" i="4"/>
  <c r="V19" i="4"/>
  <c r="AE18" i="10"/>
  <c r="L25" i="12"/>
  <c r="U19" i="4"/>
  <c r="AD18" i="10"/>
  <c r="K25" i="12"/>
  <c r="T19" i="4"/>
  <c r="AC18" i="10"/>
  <c r="J25" i="12"/>
  <c r="S19" i="4"/>
  <c r="BC18" i="10"/>
  <c r="T25" i="12"/>
  <c r="U25" i="12"/>
  <c r="R19" i="4"/>
  <c r="BA18" i="10"/>
  <c r="Q25" i="12"/>
  <c r="R25" i="12"/>
  <c r="P18" i="10"/>
  <c r="G19" i="4"/>
  <c r="U18" i="4"/>
  <c r="AD17" i="10"/>
  <c r="K24" i="12"/>
  <c r="T18" i="4"/>
  <c r="S18" i="4"/>
  <c r="BC17" i="10"/>
  <c r="T24" i="12"/>
  <c r="U24" i="12" s="1"/>
  <c r="R18" i="4"/>
  <c r="BA17" i="10"/>
  <c r="Q24" i="12"/>
  <c r="R24" i="12"/>
  <c r="O18" i="4"/>
  <c r="AK18" i="4" s="1"/>
  <c r="P17" i="10"/>
  <c r="Z17" i="10" s="1"/>
  <c r="AI17" i="10" s="1"/>
  <c r="AQ17" i="10" s="1"/>
  <c r="N18" i="4"/>
  <c r="M18" i="4"/>
  <c r="N17" i="10"/>
  <c r="W24" i="12" s="1"/>
  <c r="G18" i="4"/>
  <c r="V17" i="4"/>
  <c r="AE16" i="10"/>
  <c r="L23" i="12"/>
  <c r="U17" i="4"/>
  <c r="AD16" i="10"/>
  <c r="K23" i="12"/>
  <c r="T17" i="4"/>
  <c r="AC16" i="10"/>
  <c r="J23" i="12"/>
  <c r="S17" i="4"/>
  <c r="BC16" i="10"/>
  <c r="T23" i="12"/>
  <c r="U23" i="12" s="1"/>
  <c r="R17" i="4"/>
  <c r="BA16" i="10"/>
  <c r="Q23" i="12"/>
  <c r="R23" i="12" s="1"/>
  <c r="O17" i="4"/>
  <c r="AK17" i="4" s="1"/>
  <c r="N17" i="4"/>
  <c r="M17" i="4"/>
  <c r="N16" i="10"/>
  <c r="G17" i="4"/>
  <c r="U16" i="4"/>
  <c r="AD15" i="10"/>
  <c r="K22" i="12"/>
  <c r="T16" i="4"/>
  <c r="AC15" i="10"/>
  <c r="J22" i="12"/>
  <c r="S16" i="4"/>
  <c r="BC15" i="10"/>
  <c r="T22" i="12"/>
  <c r="U22" i="12"/>
  <c r="R16" i="4"/>
  <c r="BA15" i="10"/>
  <c r="Q22" i="12"/>
  <c r="R22" i="12"/>
  <c r="O16" i="4"/>
  <c r="P15" i="10"/>
  <c r="N16" i="4"/>
  <c r="M16" i="4"/>
  <c r="N15" i="10"/>
  <c r="Y15" i="10" s="1"/>
  <c r="AH15" i="10" s="1"/>
  <c r="AO15" i="10" s="1"/>
  <c r="H16" i="4"/>
  <c r="G16" i="4"/>
  <c r="V15" i="4"/>
  <c r="AE14" i="10"/>
  <c r="L21" i="12"/>
  <c r="U15" i="4"/>
  <c r="H15" i="4"/>
  <c r="AF14" i="10"/>
  <c r="M21" i="12"/>
  <c r="T15" i="4"/>
  <c r="AC14" i="10"/>
  <c r="J21" i="12"/>
  <c r="S15" i="4"/>
  <c r="BC14" i="10"/>
  <c r="T21" i="12"/>
  <c r="U21" i="12" s="1"/>
  <c r="R15" i="4"/>
  <c r="O15" i="4"/>
  <c r="P14" i="10" s="1"/>
  <c r="N15" i="4"/>
  <c r="M15" i="4"/>
  <c r="G15" i="4"/>
  <c r="U14" i="4"/>
  <c r="AD13" i="10"/>
  <c r="K20" i="12"/>
  <c r="T14" i="4"/>
  <c r="H14" i="4"/>
  <c r="S14" i="4"/>
  <c r="BC13" i="10"/>
  <c r="T20" i="12"/>
  <c r="U20" i="12" s="1"/>
  <c r="R14" i="4"/>
  <c r="BA13" i="10"/>
  <c r="Q20" i="12"/>
  <c r="R20" i="12" s="1"/>
  <c r="P13" i="10"/>
  <c r="Z13" i="10" s="1"/>
  <c r="N13" i="10"/>
  <c r="W20" i="12" s="1"/>
  <c r="X20" i="12" s="1"/>
  <c r="G14" i="4"/>
  <c r="V13" i="4"/>
  <c r="AE12" i="10"/>
  <c r="L19" i="12"/>
  <c r="U13" i="4"/>
  <c r="AD12" i="10"/>
  <c r="K19" i="12"/>
  <c r="T13" i="4"/>
  <c r="S13" i="4"/>
  <c r="BC12" i="10"/>
  <c r="T19" i="12"/>
  <c r="U19" i="12" s="1"/>
  <c r="R13" i="4"/>
  <c r="BA12" i="10"/>
  <c r="Q19" i="12"/>
  <c r="R19" i="12" s="1"/>
  <c r="O13" i="4"/>
  <c r="P12" i="10" s="1"/>
  <c r="N13" i="4"/>
  <c r="M13" i="4"/>
  <c r="N12" i="10"/>
  <c r="G13" i="4"/>
  <c r="U12" i="4"/>
  <c r="AD11" i="10"/>
  <c r="K18" i="12"/>
  <c r="T12" i="4"/>
  <c r="AC11" i="10"/>
  <c r="J18" i="12"/>
  <c r="S12" i="4"/>
  <c r="BC11" i="10"/>
  <c r="T18" i="12"/>
  <c r="U18" i="12"/>
  <c r="R12" i="4"/>
  <c r="BA11" i="10"/>
  <c r="Q18" i="12"/>
  <c r="R18" i="12"/>
  <c r="O12" i="4"/>
  <c r="P11" i="10" s="1"/>
  <c r="Z11" i="10" s="1"/>
  <c r="AI11" i="10" s="1"/>
  <c r="AQ11" i="10" s="1"/>
  <c r="N12" i="4"/>
  <c r="M12" i="4"/>
  <c r="N11" i="10"/>
  <c r="H12" i="4"/>
  <c r="AF11" i="10"/>
  <c r="M18" i="12"/>
  <c r="G12" i="4"/>
  <c r="V11" i="4"/>
  <c r="AE10" i="10"/>
  <c r="L17" i="12"/>
  <c r="U11" i="4"/>
  <c r="AD10" i="10"/>
  <c r="K17" i="12"/>
  <c r="T11" i="4"/>
  <c r="AC10" i="10"/>
  <c r="J17" i="12"/>
  <c r="S11" i="4"/>
  <c r="BC10" i="10"/>
  <c r="T17" i="12"/>
  <c r="U17" i="12" s="1"/>
  <c r="R11" i="4"/>
  <c r="BA10" i="10"/>
  <c r="Q17" i="12"/>
  <c r="R17" i="12" s="1"/>
  <c r="O11" i="4"/>
  <c r="P10" i="10"/>
  <c r="Z17" i="12" s="1"/>
  <c r="AA17" i="12" s="1"/>
  <c r="N11" i="4"/>
  <c r="M11" i="4"/>
  <c r="N10" i="10" s="1"/>
  <c r="Y10" i="10" s="1"/>
  <c r="AH10" i="10" s="1"/>
  <c r="AO10" i="10" s="1"/>
  <c r="G11" i="4"/>
  <c r="U10" i="4"/>
  <c r="AD9" i="10"/>
  <c r="K16" i="12"/>
  <c r="T10" i="4"/>
  <c r="S10" i="4"/>
  <c r="BC9" i="10"/>
  <c r="T16" i="12"/>
  <c r="U16" i="12" s="1"/>
  <c r="R10" i="4"/>
  <c r="BA9" i="10"/>
  <c r="Q16" i="12"/>
  <c r="R16" i="12"/>
  <c r="O10" i="4"/>
  <c r="P9" i="10"/>
  <c r="Z16" i="12" s="1"/>
  <c r="AA16" i="12" s="1"/>
  <c r="N10" i="4"/>
  <c r="M10" i="4"/>
  <c r="N9" i="10"/>
  <c r="G10" i="4"/>
  <c r="V9" i="4"/>
  <c r="AE8" i="10"/>
  <c r="L15" i="12"/>
  <c r="U9" i="4"/>
  <c r="AD8" i="10"/>
  <c r="K15" i="12"/>
  <c r="T9" i="4"/>
  <c r="AC8" i="10"/>
  <c r="J15" i="12"/>
  <c r="S9" i="4"/>
  <c r="BC8" i="10"/>
  <c r="T15" i="12"/>
  <c r="U15" i="12" s="1"/>
  <c r="R9" i="4"/>
  <c r="BA8" i="10"/>
  <c r="Q15" i="12"/>
  <c r="R15" i="12" s="1"/>
  <c r="O9" i="4"/>
  <c r="P8" i="10"/>
  <c r="Z8" i="10" s="1"/>
  <c r="AI8" i="10" s="1"/>
  <c r="N9" i="4"/>
  <c r="M9" i="4"/>
  <c r="AH9" i="4" s="1"/>
  <c r="G9" i="4"/>
  <c r="X8" i="4"/>
  <c r="U8" i="4"/>
  <c r="T8" i="4"/>
  <c r="S8" i="4"/>
  <c r="BC7" i="10"/>
  <c r="T14" i="12"/>
  <c r="U14" i="12" s="1"/>
  <c r="R8" i="4"/>
  <c r="BA7" i="10"/>
  <c r="Q14" i="12"/>
  <c r="R14" i="12" s="1"/>
  <c r="O8" i="4"/>
  <c r="P7" i="10"/>
  <c r="N8" i="4"/>
  <c r="M8" i="4"/>
  <c r="H8" i="4"/>
  <c r="AF7" i="10"/>
  <c r="M14" i="12"/>
  <c r="G8" i="4"/>
  <c r="AF7" i="4"/>
  <c r="V7" i="4"/>
  <c r="AE6" i="10"/>
  <c r="L13" i="12"/>
  <c r="U7" i="4"/>
  <c r="AD6" i="10"/>
  <c r="K13" i="12"/>
  <c r="T7" i="4"/>
  <c r="S7" i="4"/>
  <c r="R7" i="4"/>
  <c r="BA6" i="10"/>
  <c r="Q13" i="12"/>
  <c r="R13" i="12" s="1"/>
  <c r="O7" i="4"/>
  <c r="P6" i="10"/>
  <c r="N7" i="4"/>
  <c r="M7" i="4"/>
  <c r="N6" i="10"/>
  <c r="G7" i="4"/>
  <c r="X189" i="16"/>
  <c r="Y189" i="16"/>
  <c r="X188" i="16"/>
  <c r="Y188" i="16"/>
  <c r="X187" i="16"/>
  <c r="Y187" i="16"/>
  <c r="Y186" i="16"/>
  <c r="X186" i="16"/>
  <c r="X185" i="16"/>
  <c r="Y185" i="16"/>
  <c r="X184" i="16"/>
  <c r="Y184" i="16"/>
  <c r="X183" i="16"/>
  <c r="X154" i="16"/>
  <c r="Y154" i="16"/>
  <c r="X153" i="16"/>
  <c r="Y153" i="16"/>
  <c r="X152" i="16"/>
  <c r="Y152" i="16"/>
  <c r="X151" i="16"/>
  <c r="Y151" i="16"/>
  <c r="Y155" i="16"/>
  <c r="X150" i="16"/>
  <c r="Y150" i="16"/>
  <c r="X149" i="16"/>
  <c r="Y149" i="16"/>
  <c r="X148" i="16"/>
  <c r="X119" i="16"/>
  <c r="Y119" i="16"/>
  <c r="X118" i="16"/>
  <c r="Y118" i="16"/>
  <c r="X117" i="16"/>
  <c r="Y117" i="16"/>
  <c r="X116" i="16"/>
  <c r="Y116" i="16"/>
  <c r="Y120" i="16"/>
  <c r="X115" i="16"/>
  <c r="Y115" i="16"/>
  <c r="X114" i="16"/>
  <c r="Y114" i="16"/>
  <c r="X113" i="16"/>
  <c r="X84" i="16"/>
  <c r="Y84" i="16"/>
  <c r="X83" i="16"/>
  <c r="Y83" i="16"/>
  <c r="X82" i="16"/>
  <c r="Y82" i="16"/>
  <c r="X81" i="16"/>
  <c r="Y81" i="16"/>
  <c r="X80" i="16"/>
  <c r="Y80" i="16"/>
  <c r="X79" i="16"/>
  <c r="Y79" i="16"/>
  <c r="X78" i="16"/>
  <c r="AF70" i="16"/>
  <c r="AF75" i="4"/>
  <c r="AF69" i="16"/>
  <c r="AF74" i="4"/>
  <c r="AF68" i="16"/>
  <c r="AF73" i="4"/>
  <c r="AF67" i="16"/>
  <c r="AF72" i="4"/>
  <c r="AF66" i="16"/>
  <c r="AF71" i="4"/>
  <c r="AH65" i="16"/>
  <c r="AF65" i="16"/>
  <c r="AF70" i="4"/>
  <c r="AF64" i="16"/>
  <c r="AF69" i="4"/>
  <c r="AF63" i="16"/>
  <c r="AF68" i="4"/>
  <c r="AF62" i="16"/>
  <c r="AF67" i="4"/>
  <c r="AF61" i="16"/>
  <c r="AF66" i="4"/>
  <c r="AF60" i="16"/>
  <c r="AF65" i="4"/>
  <c r="AF59" i="16"/>
  <c r="AF64" i="4"/>
  <c r="AF58" i="16"/>
  <c r="AF63" i="4"/>
  <c r="AG63" i="4"/>
  <c r="AF57" i="16"/>
  <c r="AF62" i="4"/>
  <c r="AF56" i="16"/>
  <c r="AF61" i="4"/>
  <c r="AH55" i="16"/>
  <c r="AF55" i="16"/>
  <c r="AF60" i="4"/>
  <c r="AF54" i="16"/>
  <c r="AF59" i="4"/>
  <c r="AF53" i="16"/>
  <c r="AF58" i="4"/>
  <c r="AF52" i="16"/>
  <c r="AF57" i="4"/>
  <c r="AF51" i="16"/>
  <c r="AF56" i="4"/>
  <c r="AF50" i="16"/>
  <c r="AF55" i="4"/>
  <c r="AF49" i="16"/>
  <c r="AF51" i="4"/>
  <c r="X49" i="16"/>
  <c r="Y49" i="16"/>
  <c r="AF48" i="16"/>
  <c r="AF50" i="4"/>
  <c r="Y48" i="16"/>
  <c r="X48" i="16"/>
  <c r="AF47" i="16"/>
  <c r="AF49" i="4"/>
  <c r="X47" i="16"/>
  <c r="Y47" i="16"/>
  <c r="AF46" i="16"/>
  <c r="AF48" i="4"/>
  <c r="Y46" i="16"/>
  <c r="X46" i="16"/>
  <c r="AF45" i="16"/>
  <c r="AF47" i="4"/>
  <c r="X45" i="16"/>
  <c r="Y45" i="16"/>
  <c r="AF44" i="16"/>
  <c r="AF46" i="4"/>
  <c r="Y44" i="16"/>
  <c r="Y50" i="16"/>
  <c r="X44" i="16"/>
  <c r="AF43" i="16"/>
  <c r="AF45" i="4"/>
  <c r="X43" i="16"/>
  <c r="AH42" i="16"/>
  <c r="AF42" i="16"/>
  <c r="AF44" i="4"/>
  <c r="AF41" i="16"/>
  <c r="AF43" i="4"/>
  <c r="AF40" i="16"/>
  <c r="AF42" i="4"/>
  <c r="AF39" i="16"/>
  <c r="AF41" i="4"/>
  <c r="AF38" i="16"/>
  <c r="AF40" i="4"/>
  <c r="AF37" i="16"/>
  <c r="AF39" i="4"/>
  <c r="AF36" i="16"/>
  <c r="AF38" i="4"/>
  <c r="AF35" i="16"/>
  <c r="AF37" i="4"/>
  <c r="AF34" i="16"/>
  <c r="AF36" i="4"/>
  <c r="AF33" i="16"/>
  <c r="AF35" i="4"/>
  <c r="AF32" i="16"/>
  <c r="AF34" i="4"/>
  <c r="AH31" i="16"/>
  <c r="AF31" i="16"/>
  <c r="AF33" i="4"/>
  <c r="AF30" i="16"/>
  <c r="AF32" i="4"/>
  <c r="AG32" i="4"/>
  <c r="L28" i="10"/>
  <c r="AF29" i="16"/>
  <c r="AF31" i="4"/>
  <c r="AF28" i="16"/>
  <c r="AF27" i="4"/>
  <c r="AF27" i="16"/>
  <c r="AF26" i="4"/>
  <c r="AF26" i="16"/>
  <c r="AF25" i="16"/>
  <c r="AF24" i="4"/>
  <c r="AF24" i="16"/>
  <c r="AF23" i="4"/>
  <c r="AF23" i="16"/>
  <c r="AF22" i="4"/>
  <c r="AG22" i="4"/>
  <c r="AF22" i="16"/>
  <c r="AH21" i="16"/>
  <c r="AF21" i="16"/>
  <c r="AF20" i="4"/>
  <c r="AF20" i="16"/>
  <c r="AF19" i="4"/>
  <c r="AF19" i="16"/>
  <c r="AF18" i="4"/>
  <c r="AF18" i="16"/>
  <c r="AF17" i="4"/>
  <c r="AK17" i="16"/>
  <c r="AF17" i="16"/>
  <c r="AF16" i="4"/>
  <c r="AK16" i="16"/>
  <c r="AF16" i="16"/>
  <c r="AF15" i="4"/>
  <c r="AK15" i="16"/>
  <c r="AF15" i="16"/>
  <c r="AF14" i="4"/>
  <c r="AF14" i="16"/>
  <c r="AF13" i="4"/>
  <c r="AF13" i="16"/>
  <c r="AF12" i="4"/>
  <c r="X13" i="16"/>
  <c r="Y13" i="16"/>
  <c r="AF12" i="16"/>
  <c r="AF11" i="4"/>
  <c r="X12" i="16"/>
  <c r="Y12" i="16"/>
  <c r="AF11" i="16"/>
  <c r="AF10" i="4"/>
  <c r="X11" i="16"/>
  <c r="Y11" i="16"/>
  <c r="AF10" i="16"/>
  <c r="AF9" i="4"/>
  <c r="Y10" i="16"/>
  <c r="X10" i="16"/>
  <c r="AK9" i="16"/>
  <c r="AH9" i="16"/>
  <c r="AF9" i="16"/>
  <c r="AF8" i="4"/>
  <c r="X9" i="16"/>
  <c r="Y9" i="16"/>
  <c r="AK8" i="16"/>
  <c r="AF8" i="16"/>
  <c r="X8" i="16"/>
  <c r="Y8" i="16"/>
  <c r="Y14" i="16"/>
  <c r="AA14" i="16"/>
  <c r="AK7" i="16"/>
  <c r="AM7" i="16"/>
  <c r="X7" i="16"/>
  <c r="O81" i="14"/>
  <c r="Q81" i="14"/>
  <c r="S81" i="14"/>
  <c r="AC74" i="4"/>
  <c r="V67" i="10"/>
  <c r="M81" i="14"/>
  <c r="N81" i="14"/>
  <c r="N80" i="14"/>
  <c r="O80" i="14"/>
  <c r="M79" i="14"/>
  <c r="N79" i="14"/>
  <c r="O79" i="14"/>
  <c r="M78" i="14"/>
  <c r="N78" i="14"/>
  <c r="O78" i="14"/>
  <c r="M77" i="14"/>
  <c r="N77" i="14"/>
  <c r="O77" i="14"/>
  <c r="M76" i="14"/>
  <c r="N76" i="14"/>
  <c r="O76" i="14"/>
  <c r="M75" i="14"/>
  <c r="N75" i="14"/>
  <c r="O75" i="14"/>
  <c r="M70" i="14"/>
  <c r="N70" i="14"/>
  <c r="O70" i="14"/>
  <c r="N68" i="14"/>
  <c r="O68" i="14"/>
  <c r="M68" i="14"/>
  <c r="M67" i="14"/>
  <c r="N67" i="14"/>
  <c r="O67" i="14"/>
  <c r="M59" i="14"/>
  <c r="N59" i="14"/>
  <c r="O59" i="14"/>
  <c r="M57" i="14"/>
  <c r="N57" i="14"/>
  <c r="O57" i="14"/>
  <c r="M56" i="14"/>
  <c r="N56" i="14"/>
  <c r="O56" i="14"/>
  <c r="P51" i="14"/>
  <c r="R51" i="14"/>
  <c r="AB47" i="4"/>
  <c r="T43" i="10"/>
  <c r="O51" i="14"/>
  <c r="Q51" i="14"/>
  <c r="S51" i="14"/>
  <c r="AC47" i="4"/>
  <c r="V43" i="10"/>
  <c r="M51" i="14"/>
  <c r="N51" i="14"/>
  <c r="M49" i="14"/>
  <c r="N49" i="14"/>
  <c r="O49" i="14"/>
  <c r="M48" i="14"/>
  <c r="N48" i="14"/>
  <c r="O48" i="14"/>
  <c r="N46" i="14"/>
  <c r="O46" i="14"/>
  <c r="M46" i="14"/>
  <c r="M45" i="14"/>
  <c r="N45" i="14"/>
  <c r="O45" i="14"/>
  <c r="M40" i="14"/>
  <c r="N40" i="14"/>
  <c r="O40" i="14"/>
  <c r="M38" i="14"/>
  <c r="N38" i="14"/>
  <c r="O38" i="14"/>
  <c r="M37" i="14"/>
  <c r="N37" i="14"/>
  <c r="O37" i="14"/>
  <c r="M36" i="14"/>
  <c r="N36" i="14"/>
  <c r="O36" i="14"/>
  <c r="N35" i="14"/>
  <c r="O35" i="14"/>
  <c r="M35" i="14"/>
  <c r="M34" i="14"/>
  <c r="N34" i="14"/>
  <c r="O34" i="14"/>
  <c r="O29" i="14"/>
  <c r="Q29" i="14"/>
  <c r="S29" i="14"/>
  <c r="AC24" i="4"/>
  <c r="V23" i="10"/>
  <c r="M29" i="14"/>
  <c r="N29" i="14"/>
  <c r="M27" i="14"/>
  <c r="N27" i="14"/>
  <c r="O27" i="14"/>
  <c r="M26" i="14"/>
  <c r="N26" i="14"/>
  <c r="O26" i="14"/>
  <c r="M25" i="14"/>
  <c r="N25" i="14"/>
  <c r="O25" i="14"/>
  <c r="M24" i="14"/>
  <c r="N24" i="14"/>
  <c r="O24" i="14"/>
  <c r="M23" i="14"/>
  <c r="N23" i="14"/>
  <c r="O23" i="14"/>
  <c r="O18" i="14"/>
  <c r="Q18" i="14"/>
  <c r="S18" i="14"/>
  <c r="M18" i="14"/>
  <c r="N18" i="14"/>
  <c r="M16" i="14"/>
  <c r="N16" i="14"/>
  <c r="O16" i="14"/>
  <c r="M15" i="14"/>
  <c r="N15" i="14"/>
  <c r="O15" i="14"/>
  <c r="S5" i="14"/>
  <c r="M80" i="14"/>
  <c r="I88" i="13"/>
  <c r="I87" i="13"/>
  <c r="I86" i="13"/>
  <c r="I85" i="13"/>
  <c r="I84" i="13"/>
  <c r="I83" i="13"/>
  <c r="I82" i="13"/>
  <c r="M81" i="13"/>
  <c r="L81" i="13"/>
  <c r="I80" i="13"/>
  <c r="I79" i="13"/>
  <c r="I78" i="13"/>
  <c r="I77" i="13"/>
  <c r="I76" i="13"/>
  <c r="I75" i="13"/>
  <c r="I74" i="13"/>
  <c r="I73" i="13"/>
  <c r="I72" i="13"/>
  <c r="I71" i="13"/>
  <c r="I70" i="13"/>
  <c r="I69" i="13"/>
  <c r="I67" i="13"/>
  <c r="M66" i="13"/>
  <c r="L66" i="13"/>
  <c r="I66" i="13"/>
  <c r="I65" i="13"/>
  <c r="I64" i="13"/>
  <c r="I63" i="13"/>
  <c r="I62" i="13"/>
  <c r="I61" i="13"/>
  <c r="I60" i="13"/>
  <c r="I59" i="13"/>
  <c r="I58" i="13"/>
  <c r="W57" i="13"/>
  <c r="I57" i="13"/>
  <c r="U56" i="13"/>
  <c r="T56" i="13"/>
  <c r="W56" i="13"/>
  <c r="S56" i="13"/>
  <c r="R56" i="13"/>
  <c r="I56" i="13"/>
  <c r="W55" i="13"/>
  <c r="I54" i="13"/>
  <c r="I53" i="13"/>
  <c r="I52" i="13"/>
  <c r="W51" i="13"/>
  <c r="I51" i="13"/>
  <c r="W50" i="13"/>
  <c r="M50" i="13"/>
  <c r="L50" i="13"/>
  <c r="I50" i="13"/>
  <c r="W49" i="13"/>
  <c r="V49" i="13"/>
  <c r="I49" i="13"/>
  <c r="W48" i="13"/>
  <c r="U48" i="13"/>
  <c r="T48" i="13"/>
  <c r="S48" i="13"/>
  <c r="R48" i="13"/>
  <c r="V51" i="13"/>
  <c r="I48" i="13"/>
  <c r="I47" i="13"/>
  <c r="I46" i="13"/>
  <c r="I45" i="13"/>
  <c r="I44" i="13"/>
  <c r="I43" i="13"/>
  <c r="I41" i="13"/>
  <c r="I40" i="13"/>
  <c r="I39" i="13"/>
  <c r="I38" i="13"/>
  <c r="I37" i="13"/>
  <c r="M36" i="13"/>
  <c r="L36" i="13"/>
  <c r="I36" i="13"/>
  <c r="I35" i="13"/>
  <c r="I34" i="13"/>
  <c r="I33" i="13"/>
  <c r="I32" i="13"/>
  <c r="I29" i="13"/>
  <c r="I28" i="13"/>
  <c r="I27" i="13"/>
  <c r="I26" i="13"/>
  <c r="I25" i="13"/>
  <c r="I24" i="13"/>
  <c r="I23" i="13"/>
  <c r="M22" i="13"/>
  <c r="L22" i="13"/>
  <c r="I22" i="13"/>
  <c r="I21" i="13"/>
  <c r="I20" i="13"/>
  <c r="I19" i="13"/>
  <c r="I18" i="13"/>
  <c r="I16" i="13"/>
  <c r="I15" i="13"/>
  <c r="I14" i="13"/>
  <c r="I13" i="13"/>
  <c r="I12" i="13"/>
  <c r="I11" i="13"/>
  <c r="M10" i="13"/>
  <c r="L10" i="13"/>
  <c r="I10" i="13"/>
  <c r="I9" i="13"/>
  <c r="I8" i="13"/>
  <c r="I7" i="13"/>
  <c r="I6" i="13"/>
  <c r="I5" i="13"/>
  <c r="U91" i="9"/>
  <c r="W91" i="9"/>
  <c r="W90" i="9"/>
  <c r="U90" i="9"/>
  <c r="C90" i="9"/>
  <c r="W89" i="9"/>
  <c r="U89" i="9"/>
  <c r="W88" i="9"/>
  <c r="U88" i="9"/>
  <c r="V88" i="9"/>
  <c r="E74" i="4"/>
  <c r="C88" i="9"/>
  <c r="W87" i="9"/>
  <c r="U87" i="9"/>
  <c r="W86" i="9"/>
  <c r="U86" i="9"/>
  <c r="V86" i="9"/>
  <c r="E73" i="4"/>
  <c r="C86" i="9"/>
  <c r="U85" i="9"/>
  <c r="W85" i="9"/>
  <c r="W84" i="9"/>
  <c r="U84" i="9"/>
  <c r="V84" i="9"/>
  <c r="E72" i="4"/>
  <c r="C84" i="9"/>
  <c r="U83" i="9"/>
  <c r="W83" i="9"/>
  <c r="W82" i="9"/>
  <c r="U82" i="9"/>
  <c r="C82" i="9"/>
  <c r="U81" i="9"/>
  <c r="W81" i="9"/>
  <c r="W80" i="9"/>
  <c r="U80" i="9"/>
  <c r="C80" i="9"/>
  <c r="U79" i="9"/>
  <c r="V79" i="9"/>
  <c r="E69" i="4"/>
  <c r="C79" i="9"/>
  <c r="U78" i="9"/>
  <c r="V78" i="9"/>
  <c r="E68" i="4"/>
  <c r="C78" i="9"/>
  <c r="U77" i="9"/>
  <c r="W77" i="9"/>
  <c r="X76" i="9"/>
  <c r="X77" i="9"/>
  <c r="W76" i="9"/>
  <c r="U76" i="9"/>
  <c r="V76" i="9"/>
  <c r="E67" i="4"/>
  <c r="C76" i="9"/>
  <c r="V75" i="9"/>
  <c r="U75" i="9"/>
  <c r="C75" i="9"/>
  <c r="V74" i="9"/>
  <c r="E65" i="4"/>
  <c r="U74" i="9"/>
  <c r="C74" i="9"/>
  <c r="V73" i="9"/>
  <c r="E64" i="4"/>
  <c r="U73" i="9"/>
  <c r="C73" i="9"/>
  <c r="U72" i="9"/>
  <c r="V72" i="9"/>
  <c r="E63" i="4"/>
  <c r="C72" i="9"/>
  <c r="V71" i="9"/>
  <c r="E62" i="4"/>
  <c r="U71" i="9"/>
  <c r="C71" i="9"/>
  <c r="U70" i="9"/>
  <c r="V70" i="9"/>
  <c r="E61" i="4"/>
  <c r="C70" i="9"/>
  <c r="U69" i="9"/>
  <c r="V69" i="9"/>
  <c r="E60" i="4"/>
  <c r="C69" i="9"/>
  <c r="U68" i="9"/>
  <c r="V68" i="9"/>
  <c r="E59" i="4"/>
  <c r="C68" i="9"/>
  <c r="V67" i="9"/>
  <c r="E58" i="4"/>
  <c r="U67" i="9"/>
  <c r="C67" i="9"/>
  <c r="U66" i="9"/>
  <c r="V66" i="9"/>
  <c r="E57" i="4"/>
  <c r="C66" i="9"/>
  <c r="V65" i="9"/>
  <c r="E56" i="4"/>
  <c r="U65" i="9"/>
  <c r="C65" i="9"/>
  <c r="U64" i="9"/>
  <c r="U63" i="9"/>
  <c r="W63" i="9"/>
  <c r="C63" i="9"/>
  <c r="B62" i="9"/>
  <c r="A62" i="9"/>
  <c r="V60" i="9"/>
  <c r="E51" i="4"/>
  <c r="U60" i="9"/>
  <c r="C60" i="9"/>
  <c r="V59" i="9"/>
  <c r="E50" i="4"/>
  <c r="E49" i="8"/>
  <c r="U59" i="9"/>
  <c r="C59" i="9"/>
  <c r="U58" i="9"/>
  <c r="V58" i="9"/>
  <c r="E49" i="4"/>
  <c r="C58" i="9"/>
  <c r="V57" i="9"/>
  <c r="E48" i="4"/>
  <c r="U57" i="9"/>
  <c r="C57" i="9"/>
  <c r="U56" i="9"/>
  <c r="V56" i="9"/>
  <c r="E47" i="4"/>
  <c r="C56" i="9"/>
  <c r="U55" i="9"/>
  <c r="V55" i="9"/>
  <c r="E46" i="4"/>
  <c r="C55" i="9"/>
  <c r="U54" i="9"/>
  <c r="V54" i="9"/>
  <c r="E45" i="4"/>
  <c r="C54" i="9"/>
  <c r="U53" i="9"/>
  <c r="W53" i="9"/>
  <c r="W52" i="9"/>
  <c r="X52" i="9"/>
  <c r="X53" i="9"/>
  <c r="U52" i="9"/>
  <c r="V52" i="9"/>
  <c r="E44" i="4"/>
  <c r="W51" i="9"/>
  <c r="U51" i="9"/>
  <c r="W50" i="9"/>
  <c r="X50" i="9"/>
  <c r="X51" i="9"/>
  <c r="V50" i="9"/>
  <c r="E43" i="4"/>
  <c r="U50" i="9"/>
  <c r="V49" i="9"/>
  <c r="E42" i="4"/>
  <c r="E41" i="8"/>
  <c r="U49" i="9"/>
  <c r="C49" i="9"/>
  <c r="U48" i="9"/>
  <c r="V48" i="9"/>
  <c r="E41" i="4"/>
  <c r="C48" i="9"/>
  <c r="V47" i="9"/>
  <c r="E40" i="4"/>
  <c r="U47" i="9"/>
  <c r="C47" i="9"/>
  <c r="U46" i="9"/>
  <c r="V46" i="9"/>
  <c r="E39" i="4"/>
  <c r="C46" i="9"/>
  <c r="U45" i="9"/>
  <c r="V45" i="9"/>
  <c r="E38" i="4"/>
  <c r="C45" i="9"/>
  <c r="U44" i="9"/>
  <c r="V44" i="9"/>
  <c r="E37" i="4"/>
  <c r="C44" i="9"/>
  <c r="V43" i="9"/>
  <c r="E36" i="4"/>
  <c r="U43" i="9"/>
  <c r="C43" i="9"/>
  <c r="V42" i="9"/>
  <c r="E35" i="4"/>
  <c r="U42" i="9"/>
  <c r="C42" i="9"/>
  <c r="U41" i="9"/>
  <c r="W41" i="9"/>
  <c r="U40" i="9"/>
  <c r="W40" i="9"/>
  <c r="X40" i="9"/>
  <c r="X41" i="9"/>
  <c r="C40" i="9"/>
  <c r="V39" i="9"/>
  <c r="E33" i="4"/>
  <c r="G29" i="10"/>
  <c r="U39" i="9"/>
  <c r="C39" i="9"/>
  <c r="U38" i="9"/>
  <c r="V38" i="9"/>
  <c r="E32" i="4"/>
  <c r="C38" i="9"/>
  <c r="U37" i="9"/>
  <c r="W37" i="9"/>
  <c r="W36" i="9"/>
  <c r="U36" i="9"/>
  <c r="V36" i="9"/>
  <c r="E31" i="4"/>
  <c r="C36" i="9"/>
  <c r="B35" i="9"/>
  <c r="A35" i="9"/>
  <c r="U33" i="9"/>
  <c r="W33" i="9"/>
  <c r="U32" i="9"/>
  <c r="W32" i="9"/>
  <c r="X32" i="9"/>
  <c r="X33" i="9"/>
  <c r="C32" i="9"/>
  <c r="U31" i="9"/>
  <c r="W31" i="9"/>
  <c r="V30" i="9"/>
  <c r="E26" i="4"/>
  <c r="U30" i="9"/>
  <c r="W30" i="9"/>
  <c r="C30" i="9"/>
  <c r="U29" i="9"/>
  <c r="W29" i="9"/>
  <c r="U28" i="9"/>
  <c r="W28" i="9"/>
  <c r="X28" i="9"/>
  <c r="X29" i="9"/>
  <c r="C28" i="9"/>
  <c r="U27" i="9"/>
  <c r="W27" i="9"/>
  <c r="V26" i="9"/>
  <c r="E24" i="4"/>
  <c r="U26" i="9"/>
  <c r="W26" i="9"/>
  <c r="C26" i="9"/>
  <c r="AH25" i="9"/>
  <c r="AG25" i="9"/>
  <c r="W25" i="9"/>
  <c r="U25" i="9"/>
  <c r="V25" i="9"/>
  <c r="E23" i="4"/>
  <c r="C25" i="9"/>
  <c r="AH24" i="9"/>
  <c r="AG24" i="9"/>
  <c r="W24" i="9"/>
  <c r="U24" i="9"/>
  <c r="V24" i="9"/>
  <c r="E22" i="4"/>
  <c r="C24" i="9"/>
  <c r="V23" i="9"/>
  <c r="E21" i="4"/>
  <c r="U23" i="9"/>
  <c r="W23" i="9"/>
  <c r="C23" i="9"/>
  <c r="U22" i="9"/>
  <c r="W22" i="9"/>
  <c r="U21" i="9"/>
  <c r="W21" i="9"/>
  <c r="C21" i="9"/>
  <c r="U20" i="9"/>
  <c r="W20" i="9"/>
  <c r="V19" i="9"/>
  <c r="E19" i="4"/>
  <c r="U19" i="9"/>
  <c r="W19" i="9"/>
  <c r="C19" i="9"/>
  <c r="W18" i="9"/>
  <c r="U18" i="9"/>
  <c r="V18" i="9"/>
  <c r="E18" i="4"/>
  <c r="C18" i="9"/>
  <c r="U17" i="9"/>
  <c r="W17" i="9"/>
  <c r="C17" i="9"/>
  <c r="W16" i="9"/>
  <c r="U16" i="9"/>
  <c r="V16" i="9"/>
  <c r="E16" i="4"/>
  <c r="C16" i="9"/>
  <c r="U15" i="9"/>
  <c r="W15" i="9"/>
  <c r="C15" i="9"/>
  <c r="W14" i="9"/>
  <c r="U14" i="9"/>
  <c r="V14" i="9"/>
  <c r="E14" i="4"/>
  <c r="C14" i="9"/>
  <c r="U13" i="9"/>
  <c r="W13" i="9"/>
  <c r="C13" i="9"/>
  <c r="W12" i="9"/>
  <c r="U12" i="9"/>
  <c r="V12" i="9"/>
  <c r="E12" i="4"/>
  <c r="C12" i="9"/>
  <c r="V11" i="9"/>
  <c r="E11" i="4"/>
  <c r="U11" i="9"/>
  <c r="W11" i="9"/>
  <c r="C11" i="9"/>
  <c r="AG10" i="9"/>
  <c r="AB10" i="9"/>
  <c r="AA10" i="9"/>
  <c r="U10" i="9"/>
  <c r="C10" i="9"/>
  <c r="AH9" i="9"/>
  <c r="AG9" i="9"/>
  <c r="W9" i="9"/>
  <c r="U9" i="9"/>
  <c r="V9" i="9"/>
  <c r="E9" i="4"/>
  <c r="C9" i="9"/>
  <c r="W8" i="9"/>
  <c r="U8" i="9"/>
  <c r="V8" i="9"/>
  <c r="E8" i="4"/>
  <c r="C8" i="9"/>
  <c r="AB7" i="9"/>
  <c r="AA7" i="9"/>
  <c r="W7" i="9"/>
  <c r="V7" i="9"/>
  <c r="E7" i="4"/>
  <c r="U7" i="9"/>
  <c r="AB6" i="9"/>
  <c r="AA6" i="9"/>
  <c r="U6" i="9"/>
  <c r="W6" i="9"/>
  <c r="C6" i="9"/>
  <c r="B5" i="9"/>
  <c r="A5" i="9"/>
  <c r="Y109" i="7"/>
  <c r="I109" i="7"/>
  <c r="D109" i="7"/>
  <c r="Y108" i="7"/>
  <c r="I108" i="7"/>
  <c r="D108" i="7"/>
  <c r="Y107" i="7"/>
  <c r="I107" i="7"/>
  <c r="D107" i="7"/>
  <c r="Y106" i="7"/>
  <c r="I106" i="7"/>
  <c r="D106" i="7"/>
  <c r="I105" i="7"/>
  <c r="D105" i="7"/>
  <c r="D104" i="7"/>
  <c r="Y103" i="7"/>
  <c r="I103" i="7"/>
  <c r="D103" i="7"/>
  <c r="Y102" i="7"/>
  <c r="I102" i="7"/>
  <c r="D102" i="7"/>
  <c r="Y101" i="7"/>
  <c r="Z100" i="7"/>
  <c r="AA100" i="7"/>
  <c r="AB100" i="7"/>
  <c r="I101" i="7"/>
  <c r="D101" i="7"/>
  <c r="Y100" i="7"/>
  <c r="I100" i="7"/>
  <c r="D100" i="7"/>
  <c r="I99" i="7"/>
  <c r="D99" i="7"/>
  <c r="I98" i="7"/>
  <c r="D98" i="7"/>
  <c r="I97" i="7"/>
  <c r="D97" i="7"/>
  <c r="I96" i="7"/>
  <c r="D96" i="7"/>
  <c r="I95" i="7"/>
  <c r="D95" i="7"/>
  <c r="I94" i="7"/>
  <c r="D94" i="7"/>
  <c r="Y93" i="7"/>
  <c r="I93" i="7"/>
  <c r="D93" i="7"/>
  <c r="Y92" i="7"/>
  <c r="I92" i="7"/>
  <c r="D92" i="7"/>
  <c r="Y91" i="7"/>
  <c r="I91" i="7"/>
  <c r="D91" i="7"/>
  <c r="I90" i="7"/>
  <c r="D90" i="7"/>
  <c r="I89" i="7"/>
  <c r="D89" i="7"/>
  <c r="Y88" i="7"/>
  <c r="Y87" i="7"/>
  <c r="Z85" i="7"/>
  <c r="AA85" i="7"/>
  <c r="AB85" i="7"/>
  <c r="Y86" i="7"/>
  <c r="Y81" i="7"/>
  <c r="Y80" i="7"/>
  <c r="Y79" i="7"/>
  <c r="Y78" i="7"/>
  <c r="P77" i="7"/>
  <c r="O77" i="7"/>
  <c r="Y75" i="7"/>
  <c r="Y74" i="7"/>
  <c r="Y73" i="7"/>
  <c r="Z72" i="7"/>
  <c r="AA72" i="7"/>
  <c r="AB72" i="7"/>
  <c r="Y72" i="7"/>
  <c r="P68" i="7"/>
  <c r="O68" i="7"/>
  <c r="Y65" i="7"/>
  <c r="Y64" i="7"/>
  <c r="Y63" i="7"/>
  <c r="Y60" i="7"/>
  <c r="Y59" i="7"/>
  <c r="Y58" i="7"/>
  <c r="P56" i="7"/>
  <c r="O56" i="7"/>
  <c r="Y53" i="7"/>
  <c r="Y52" i="7"/>
  <c r="Y51" i="7"/>
  <c r="Y50" i="7"/>
  <c r="Y48" i="7"/>
  <c r="Y47" i="7"/>
  <c r="P47" i="7"/>
  <c r="O47" i="7"/>
  <c r="Y46" i="7"/>
  <c r="Y45" i="7"/>
  <c r="Y43" i="7"/>
  <c r="Z43" i="7"/>
  <c r="AA43" i="7"/>
  <c r="AB43" i="7"/>
  <c r="Y37" i="7"/>
  <c r="Y36" i="7"/>
  <c r="Y35" i="7"/>
  <c r="P35" i="7"/>
  <c r="O35" i="7"/>
  <c r="Y32" i="7"/>
  <c r="Y31" i="7"/>
  <c r="Y30" i="7"/>
  <c r="P26" i="7"/>
  <c r="O26" i="7"/>
  <c r="AA20" i="7"/>
  <c r="AB20" i="7" s="1"/>
  <c r="Y14" i="7"/>
  <c r="P14" i="7"/>
  <c r="O14" i="7"/>
  <c r="Y13" i="7"/>
  <c r="Y12" i="7"/>
  <c r="Y9" i="7"/>
  <c r="Y8" i="7"/>
  <c r="Y7" i="7"/>
  <c r="P5" i="7"/>
  <c r="O5" i="7"/>
  <c r="A75" i="8"/>
  <c r="D74" i="8"/>
  <c r="C74" i="8"/>
  <c r="B74" i="8"/>
  <c r="A74" i="8"/>
  <c r="D73" i="8"/>
  <c r="C73" i="8"/>
  <c r="B73" i="8"/>
  <c r="A73" i="8"/>
  <c r="D72" i="8"/>
  <c r="C72" i="8"/>
  <c r="B72" i="8"/>
  <c r="A72" i="8"/>
  <c r="D71" i="8"/>
  <c r="C71" i="8"/>
  <c r="B71" i="8"/>
  <c r="A71" i="8"/>
  <c r="D70" i="8"/>
  <c r="C70" i="8"/>
  <c r="B70" i="8"/>
  <c r="A70" i="8"/>
  <c r="D69" i="8"/>
  <c r="C69" i="8"/>
  <c r="B69" i="8"/>
  <c r="A69" i="8"/>
  <c r="D68" i="8"/>
  <c r="C68" i="8"/>
  <c r="B68" i="8"/>
  <c r="A68" i="8"/>
  <c r="D67" i="8"/>
  <c r="C67" i="8"/>
  <c r="B67" i="8"/>
  <c r="A67" i="8"/>
  <c r="D66" i="8"/>
  <c r="C66" i="8"/>
  <c r="B66" i="8"/>
  <c r="A66" i="8"/>
  <c r="D65" i="8"/>
  <c r="C65" i="8"/>
  <c r="B65" i="8"/>
  <c r="A65" i="8"/>
  <c r="D64" i="8"/>
  <c r="C64" i="8"/>
  <c r="B64" i="8"/>
  <c r="A64" i="8"/>
  <c r="D63" i="8"/>
  <c r="C63" i="8"/>
  <c r="B63" i="8"/>
  <c r="A63" i="8"/>
  <c r="D62" i="8"/>
  <c r="C62" i="8"/>
  <c r="B62" i="8"/>
  <c r="A62" i="8"/>
  <c r="D61" i="8"/>
  <c r="C61" i="8"/>
  <c r="B61" i="8"/>
  <c r="A61" i="8"/>
  <c r="D60" i="8"/>
  <c r="C60" i="8"/>
  <c r="B60" i="8"/>
  <c r="A60" i="8"/>
  <c r="D59" i="8"/>
  <c r="C59" i="8"/>
  <c r="B59" i="8"/>
  <c r="A59" i="8"/>
  <c r="E58" i="8"/>
  <c r="D58" i="8"/>
  <c r="C58" i="8"/>
  <c r="B58" i="8"/>
  <c r="A58" i="8"/>
  <c r="D57" i="8"/>
  <c r="C57" i="8"/>
  <c r="B57" i="8"/>
  <c r="A57" i="8"/>
  <c r="D56" i="8"/>
  <c r="C56" i="8"/>
  <c r="B56" i="8"/>
  <c r="A56" i="8"/>
  <c r="D55" i="8"/>
  <c r="C55" i="8"/>
  <c r="B55" i="8"/>
  <c r="A55" i="8"/>
  <c r="D54" i="8"/>
  <c r="C54" i="8"/>
  <c r="B54" i="8"/>
  <c r="A54" i="8"/>
  <c r="A51" i="8"/>
  <c r="D50" i="8"/>
  <c r="C50" i="8"/>
  <c r="B50" i="8"/>
  <c r="A50" i="8"/>
  <c r="D49" i="8"/>
  <c r="C49" i="8"/>
  <c r="B49" i="8"/>
  <c r="A49" i="8"/>
  <c r="D48" i="8"/>
  <c r="C48" i="8"/>
  <c r="B48" i="8"/>
  <c r="A48" i="8"/>
  <c r="E47" i="8"/>
  <c r="D47" i="8"/>
  <c r="C47" i="8"/>
  <c r="B47" i="8"/>
  <c r="A47" i="8"/>
  <c r="D46" i="8"/>
  <c r="C46" i="8"/>
  <c r="B46" i="8"/>
  <c r="A46" i="8"/>
  <c r="D45" i="8"/>
  <c r="C45" i="8"/>
  <c r="B45" i="8"/>
  <c r="A45" i="8"/>
  <c r="E44" i="8"/>
  <c r="D44" i="8"/>
  <c r="C44" i="8"/>
  <c r="B44" i="8"/>
  <c r="A44" i="8"/>
  <c r="D43" i="8"/>
  <c r="C43" i="8"/>
  <c r="B43" i="8"/>
  <c r="A43" i="8"/>
  <c r="D42" i="8"/>
  <c r="C42" i="8"/>
  <c r="B42" i="8"/>
  <c r="A42" i="8"/>
  <c r="D41" i="8"/>
  <c r="C41" i="8"/>
  <c r="B41" i="8"/>
  <c r="A41" i="8"/>
  <c r="D40" i="8"/>
  <c r="C40" i="8"/>
  <c r="B40" i="8"/>
  <c r="A40" i="8"/>
  <c r="E39" i="8"/>
  <c r="D39" i="8"/>
  <c r="C39" i="8"/>
  <c r="B39" i="8"/>
  <c r="A39" i="8"/>
  <c r="D38" i="8"/>
  <c r="C38" i="8"/>
  <c r="B38" i="8"/>
  <c r="A38" i="8"/>
  <c r="D37" i="8"/>
  <c r="C37" i="8"/>
  <c r="B37" i="8"/>
  <c r="A37" i="8"/>
  <c r="E36" i="8"/>
  <c r="D36" i="8"/>
  <c r="C36" i="8"/>
  <c r="B36" i="8"/>
  <c r="A36" i="8"/>
  <c r="E35" i="8"/>
  <c r="D35" i="8"/>
  <c r="C35" i="8"/>
  <c r="B35" i="8"/>
  <c r="A35" i="8"/>
  <c r="D34" i="8"/>
  <c r="C34" i="8"/>
  <c r="B34" i="8"/>
  <c r="A34" i="8"/>
  <c r="D33" i="8"/>
  <c r="C33" i="8"/>
  <c r="B33" i="8"/>
  <c r="A33" i="8"/>
  <c r="D32" i="8"/>
  <c r="C32" i="8"/>
  <c r="B32" i="8"/>
  <c r="A32" i="8"/>
  <c r="E31" i="8"/>
  <c r="D31" i="8"/>
  <c r="C31" i="8"/>
  <c r="B31" i="8"/>
  <c r="A31" i="8"/>
  <c r="D30" i="8"/>
  <c r="C30" i="8"/>
  <c r="B30" i="8"/>
  <c r="A30" i="8"/>
  <c r="A27" i="8"/>
  <c r="D26" i="8"/>
  <c r="C26" i="8"/>
  <c r="B26" i="8"/>
  <c r="A26" i="8"/>
  <c r="D25" i="8"/>
  <c r="C25" i="8"/>
  <c r="B25" i="8"/>
  <c r="A25" i="8"/>
  <c r="D24" i="8"/>
  <c r="C24" i="8"/>
  <c r="B24" i="8"/>
  <c r="A24" i="8"/>
  <c r="D23" i="8"/>
  <c r="C23" i="8"/>
  <c r="B23" i="8"/>
  <c r="A23" i="8"/>
  <c r="E22" i="8"/>
  <c r="D22" i="8"/>
  <c r="C22" i="8"/>
  <c r="B22" i="8"/>
  <c r="A22" i="8"/>
  <c r="D21" i="8"/>
  <c r="C21" i="8"/>
  <c r="B21" i="8"/>
  <c r="A21" i="8"/>
  <c r="D20" i="8"/>
  <c r="C20" i="8"/>
  <c r="B20" i="8"/>
  <c r="A20" i="8"/>
  <c r="D19" i="8"/>
  <c r="C19" i="8"/>
  <c r="B19" i="8"/>
  <c r="A19" i="8"/>
  <c r="D18" i="8"/>
  <c r="C18" i="8"/>
  <c r="B18" i="8"/>
  <c r="A18" i="8"/>
  <c r="E17" i="8"/>
  <c r="D17" i="8"/>
  <c r="C17" i="8"/>
  <c r="B17" i="8"/>
  <c r="A17" i="8"/>
  <c r="D16" i="8"/>
  <c r="C16" i="8"/>
  <c r="B16" i="8"/>
  <c r="A16" i="8"/>
  <c r="D15" i="8"/>
  <c r="C15" i="8"/>
  <c r="B15" i="8"/>
  <c r="A15" i="8"/>
  <c r="D14" i="8"/>
  <c r="C14" i="8"/>
  <c r="B14" i="8"/>
  <c r="A14" i="8"/>
  <c r="D13" i="8"/>
  <c r="C13" i="8"/>
  <c r="B13" i="8"/>
  <c r="A13" i="8"/>
  <c r="D12" i="8"/>
  <c r="C12" i="8"/>
  <c r="B12" i="8"/>
  <c r="A12" i="8"/>
  <c r="D11" i="8"/>
  <c r="C11" i="8"/>
  <c r="B11" i="8"/>
  <c r="A11" i="8"/>
  <c r="D10" i="8"/>
  <c r="C10" i="8"/>
  <c r="B10" i="8"/>
  <c r="A10" i="8"/>
  <c r="D9" i="8"/>
  <c r="C9" i="8"/>
  <c r="B9" i="8"/>
  <c r="A9" i="8"/>
  <c r="D8" i="8"/>
  <c r="C8" i="8"/>
  <c r="B8" i="8"/>
  <c r="A8" i="8"/>
  <c r="D7" i="8"/>
  <c r="C7" i="8"/>
  <c r="B7" i="8"/>
  <c r="A7" i="8"/>
  <c r="E6" i="8"/>
  <c r="D6" i="8"/>
  <c r="C6" i="8"/>
  <c r="B6" i="8"/>
  <c r="A6" i="8"/>
  <c r="H138" i="3"/>
  <c r="H137" i="3"/>
  <c r="H136" i="3"/>
  <c r="H135" i="3"/>
  <c r="H134" i="3"/>
  <c r="H133" i="3"/>
  <c r="H132" i="3"/>
  <c r="H131" i="3"/>
  <c r="H130" i="3"/>
  <c r="H129" i="3"/>
  <c r="H128" i="3"/>
  <c r="H127" i="3"/>
  <c r="O126" i="3"/>
  <c r="H126" i="3"/>
  <c r="O125" i="3"/>
  <c r="H125" i="3"/>
  <c r="O124" i="3"/>
  <c r="H124" i="3"/>
  <c r="O123" i="3"/>
  <c r="H123" i="3"/>
  <c r="O122" i="3"/>
  <c r="H122" i="3"/>
  <c r="O121" i="3"/>
  <c r="H121" i="3"/>
  <c r="O120" i="3"/>
  <c r="H120" i="3"/>
  <c r="O119" i="3"/>
  <c r="H119" i="3"/>
  <c r="O118" i="3"/>
  <c r="H118" i="3"/>
  <c r="O117" i="3"/>
  <c r="H117" i="3"/>
  <c r="O116" i="3"/>
  <c r="O115" i="3"/>
  <c r="O114" i="3"/>
  <c r="O113" i="3"/>
  <c r="O112" i="3"/>
  <c r="O111" i="3"/>
  <c r="O110" i="3"/>
  <c r="O109" i="3"/>
  <c r="O108" i="3"/>
  <c r="O107" i="3"/>
  <c r="O106" i="3"/>
  <c r="O105" i="3"/>
  <c r="B39" i="3"/>
  <c r="H34" i="3"/>
  <c r="H33" i="3"/>
  <c r="H32" i="3"/>
  <c r="H31" i="3"/>
  <c r="H30" i="3"/>
  <c r="H29" i="3"/>
  <c r="H28" i="3"/>
  <c r="H27" i="3"/>
  <c r="H26" i="3"/>
  <c r="H25" i="3"/>
  <c r="H24" i="3"/>
  <c r="H23" i="3"/>
  <c r="H22" i="3"/>
  <c r="H21" i="3"/>
  <c r="H20" i="3"/>
  <c r="H19" i="3"/>
  <c r="H18" i="3"/>
  <c r="H17" i="3"/>
  <c r="H16" i="3"/>
  <c r="H15" i="3"/>
  <c r="B15" i="3"/>
  <c r="H14" i="3"/>
  <c r="B17" i="1"/>
  <c r="C16" i="1"/>
  <c r="B16" i="1"/>
  <c r="C15" i="1"/>
  <c r="E12" i="1"/>
  <c r="F12" i="1"/>
  <c r="D12" i="1"/>
  <c r="D11" i="1"/>
  <c r="C11" i="1"/>
  <c r="E11" i="1"/>
  <c r="F11" i="1"/>
  <c r="E10" i="1"/>
  <c r="F10" i="1"/>
  <c r="D10" i="1"/>
  <c r="C10" i="1"/>
  <c r="D9" i="1"/>
  <c r="C9" i="1"/>
  <c r="E9" i="1"/>
  <c r="F9" i="1"/>
  <c r="Q27" i="14"/>
  <c r="S27" i="14"/>
  <c r="AC22" i="4"/>
  <c r="V21" i="10"/>
  <c r="P27" i="14"/>
  <c r="R27" i="14"/>
  <c r="AB22" i="4"/>
  <c r="T21" i="10"/>
  <c r="Q38" i="14"/>
  <c r="S38" i="14"/>
  <c r="AC35" i="4"/>
  <c r="V31" i="10"/>
  <c r="P38" i="14"/>
  <c r="R38" i="14"/>
  <c r="AB35" i="4"/>
  <c r="T31" i="10"/>
  <c r="Q70" i="14"/>
  <c r="S70" i="14"/>
  <c r="AC64" i="4"/>
  <c r="V57" i="10"/>
  <c r="P70" i="14"/>
  <c r="R70" i="14"/>
  <c r="AB64" i="4"/>
  <c r="T57" i="10"/>
  <c r="Y85" i="16"/>
  <c r="Y121" i="16"/>
  <c r="AA120" i="16"/>
  <c r="G67" i="10"/>
  <c r="J74" i="4"/>
  <c r="I67" i="10"/>
  <c r="I74" i="4"/>
  <c r="H67" i="10"/>
  <c r="N74" i="12"/>
  <c r="O74" i="12" s="1"/>
  <c r="E73" i="8"/>
  <c r="Q16" i="14"/>
  <c r="S16" i="14"/>
  <c r="AC14" i="4"/>
  <c r="V13" i="10"/>
  <c r="AB13" i="10"/>
  <c r="P16" i="14"/>
  <c r="R16" i="14"/>
  <c r="AB14" i="4"/>
  <c r="T13" i="10"/>
  <c r="Q40" i="14"/>
  <c r="S40" i="14"/>
  <c r="AC37" i="4"/>
  <c r="V33" i="10"/>
  <c r="P40" i="14"/>
  <c r="R40" i="14"/>
  <c r="AB37" i="4"/>
  <c r="T33" i="10"/>
  <c r="Y51" i="16"/>
  <c r="AA50" i="16"/>
  <c r="Q76" i="14"/>
  <c r="S76" i="14"/>
  <c r="P76" i="14"/>
  <c r="R76" i="14"/>
  <c r="AG17" i="4"/>
  <c r="L16" i="10"/>
  <c r="K16" i="10"/>
  <c r="Y156" i="16"/>
  <c r="AA155" i="16"/>
  <c r="Q57" i="14"/>
  <c r="S57" i="14"/>
  <c r="AC51" i="4"/>
  <c r="V47" i="10"/>
  <c r="P57" i="14"/>
  <c r="R57" i="14"/>
  <c r="AB51" i="4"/>
  <c r="T47" i="10"/>
  <c r="K12" i="10"/>
  <c r="AG13" i="4"/>
  <c r="L12" i="10"/>
  <c r="Q59" i="14"/>
  <c r="S59" i="14"/>
  <c r="AC56" i="4"/>
  <c r="V49" i="10"/>
  <c r="P59" i="14"/>
  <c r="R59" i="14"/>
  <c r="AB56" i="4"/>
  <c r="T49" i="10"/>
  <c r="G50" i="10"/>
  <c r="J57" i="4"/>
  <c r="I50" i="10"/>
  <c r="I57" i="4"/>
  <c r="H50" i="10"/>
  <c r="N57" i="12"/>
  <c r="O57" i="12" s="1"/>
  <c r="E56" i="8"/>
  <c r="Q24" i="14"/>
  <c r="S24" i="14"/>
  <c r="P24" i="14"/>
  <c r="R24" i="14"/>
  <c r="Q48" i="14"/>
  <c r="S48" i="14"/>
  <c r="P48" i="14"/>
  <c r="R48" i="14"/>
  <c r="Q79" i="14"/>
  <c r="S79" i="14"/>
  <c r="AC72" i="4"/>
  <c r="V65" i="10"/>
  <c r="P79" i="14"/>
  <c r="R79" i="14"/>
  <c r="AB72" i="4"/>
  <c r="T65" i="10"/>
  <c r="Q49" i="14"/>
  <c r="S49" i="14"/>
  <c r="AC45" i="4"/>
  <c r="V41" i="10"/>
  <c r="P49" i="14"/>
  <c r="R49" i="14"/>
  <c r="AB45" i="4"/>
  <c r="T41" i="10"/>
  <c r="Q80" i="14"/>
  <c r="S80" i="14"/>
  <c r="AC73" i="4"/>
  <c r="V66" i="10"/>
  <c r="P80" i="14"/>
  <c r="R80" i="14"/>
  <c r="AB73" i="4"/>
  <c r="T66" i="10"/>
  <c r="G25" i="10"/>
  <c r="J26" i="4"/>
  <c r="I25" i="10"/>
  <c r="I26" i="4"/>
  <c r="H25" i="10"/>
  <c r="N32" i="12"/>
  <c r="O32" i="12" s="1"/>
  <c r="G60" i="10"/>
  <c r="I67" i="4"/>
  <c r="H60" i="10"/>
  <c r="N67" i="12"/>
  <c r="O67" i="12" s="1"/>
  <c r="Q67" i="14"/>
  <c r="S67" i="14"/>
  <c r="P67" i="14"/>
  <c r="R67" i="14"/>
  <c r="K38" i="10"/>
  <c r="AG42" i="4"/>
  <c r="L38" i="10"/>
  <c r="AG7" i="4"/>
  <c r="K6" i="10"/>
  <c r="K20" i="10"/>
  <c r="AG21" i="4"/>
  <c r="L20" i="10"/>
  <c r="Z29" i="7"/>
  <c r="AA29" i="7"/>
  <c r="AB29" i="7"/>
  <c r="V13" i="9"/>
  <c r="E13" i="4"/>
  <c r="G15" i="10"/>
  <c r="J16" i="4"/>
  <c r="I15" i="10"/>
  <c r="I16" i="4"/>
  <c r="H15" i="10"/>
  <c r="N22" i="12"/>
  <c r="O22" i="12" s="1"/>
  <c r="E15" i="8"/>
  <c r="G27" i="10"/>
  <c r="J31" i="4"/>
  <c r="I27" i="10"/>
  <c r="I31" i="4"/>
  <c r="H27" i="10"/>
  <c r="N34" i="12"/>
  <c r="O34" i="12" s="1"/>
  <c r="E30" i="8"/>
  <c r="G35" i="10"/>
  <c r="J39" i="4"/>
  <c r="I35" i="10"/>
  <c r="Y35" i="10"/>
  <c r="AH35" i="10" s="1"/>
  <c r="AO35" i="10" s="1"/>
  <c r="E38" i="8"/>
  <c r="V63" i="9"/>
  <c r="E55" i="4"/>
  <c r="W64" i="9"/>
  <c r="X63" i="9"/>
  <c r="X64" i="9"/>
  <c r="V80" i="9"/>
  <c r="E70" i="4"/>
  <c r="X86" i="9"/>
  <c r="X87" i="9"/>
  <c r="P29" i="14"/>
  <c r="R29" i="14"/>
  <c r="AB24" i="4"/>
  <c r="T23" i="10"/>
  <c r="Q34" i="14"/>
  <c r="S34" i="14"/>
  <c r="AC32" i="4"/>
  <c r="V28" i="10"/>
  <c r="P34" i="14"/>
  <c r="R34" i="14"/>
  <c r="AB32" i="4"/>
  <c r="T28" i="10"/>
  <c r="K8" i="10"/>
  <c r="AG9" i="4"/>
  <c r="L8" i="10"/>
  <c r="Z6" i="7"/>
  <c r="AA6" i="7"/>
  <c r="AB6" i="7"/>
  <c r="X19" i="9"/>
  <c r="X20" i="9"/>
  <c r="G22" i="10"/>
  <c r="I23" i="4"/>
  <c r="H22" i="10"/>
  <c r="N29" i="12"/>
  <c r="O29" i="12" s="1"/>
  <c r="J23" i="4"/>
  <c r="I22" i="10"/>
  <c r="X36" i="9"/>
  <c r="X37" i="9"/>
  <c r="G51" i="10"/>
  <c r="E57" i="8"/>
  <c r="X80" i="9"/>
  <c r="X81" i="9"/>
  <c r="V90" i="9"/>
  <c r="E75" i="4"/>
  <c r="Q26" i="14"/>
  <c r="S26" i="14"/>
  <c r="AC21" i="4"/>
  <c r="V20" i="10"/>
  <c r="P26" i="14"/>
  <c r="R26" i="14"/>
  <c r="AB21" i="4"/>
  <c r="T20" i="10"/>
  <c r="Q68" i="14"/>
  <c r="S68" i="14"/>
  <c r="AC62" i="4"/>
  <c r="V55" i="10"/>
  <c r="P68" i="14"/>
  <c r="R68" i="14"/>
  <c r="AB62" i="4"/>
  <c r="T55" i="10"/>
  <c r="K32" i="10"/>
  <c r="W32" i="10"/>
  <c r="AG36" i="4"/>
  <c r="L32" i="10"/>
  <c r="K40" i="10"/>
  <c r="AG44" i="4"/>
  <c r="L40" i="10"/>
  <c r="AC17" i="10"/>
  <c r="J24" i="12"/>
  <c r="V18" i="4"/>
  <c r="AE17" i="10"/>
  <c r="L24" i="12"/>
  <c r="H18" i="4"/>
  <c r="G54" i="10"/>
  <c r="J61" i="4"/>
  <c r="I54" i="10"/>
  <c r="I61" i="4"/>
  <c r="H54" i="10"/>
  <c r="N61" i="12"/>
  <c r="O61" i="12" s="1"/>
  <c r="E60" i="8"/>
  <c r="AG24" i="4"/>
  <c r="L23" i="10"/>
  <c r="K23" i="10"/>
  <c r="X6" i="9"/>
  <c r="X7" i="9"/>
  <c r="G10" i="10"/>
  <c r="I11" i="4"/>
  <c r="H10" i="10"/>
  <c r="N17" i="12"/>
  <c r="O17" i="12"/>
  <c r="E10" i="8"/>
  <c r="J14" i="4"/>
  <c r="I13" i="10"/>
  <c r="G13" i="10"/>
  <c r="E13" i="8"/>
  <c r="I14" i="4"/>
  <c r="H13" i="10"/>
  <c r="N20" i="12"/>
  <c r="O20" i="12" s="1"/>
  <c r="G18" i="10"/>
  <c r="I19" i="4"/>
  <c r="H18" i="10"/>
  <c r="N25" i="12"/>
  <c r="O25" i="12"/>
  <c r="E18" i="8"/>
  <c r="G20" i="10"/>
  <c r="E20" i="8"/>
  <c r="I43" i="4"/>
  <c r="H39" i="10"/>
  <c r="N46" i="12"/>
  <c r="O46" i="12" s="1"/>
  <c r="G39" i="10"/>
  <c r="E42" i="8"/>
  <c r="G44" i="10"/>
  <c r="J48" i="4"/>
  <c r="I44" i="10"/>
  <c r="I48" i="4"/>
  <c r="H44" i="10"/>
  <c r="N51" i="12"/>
  <c r="O51" i="12"/>
  <c r="G47" i="10"/>
  <c r="J51" i="4"/>
  <c r="I47" i="10"/>
  <c r="I51" i="4"/>
  <c r="H47" i="10"/>
  <c r="N54" i="12"/>
  <c r="O54" i="12" s="1"/>
  <c r="E50" i="8"/>
  <c r="G55" i="10"/>
  <c r="J62" i="4"/>
  <c r="I55" i="10"/>
  <c r="I62" i="4"/>
  <c r="H55" i="10"/>
  <c r="N62" i="12"/>
  <c r="O62" i="12" s="1"/>
  <c r="G58" i="10"/>
  <c r="J65" i="4"/>
  <c r="I58" i="10"/>
  <c r="I65" i="4"/>
  <c r="H58" i="10"/>
  <c r="N65" i="12"/>
  <c r="O65" i="12"/>
  <c r="E64" i="8"/>
  <c r="G65" i="10"/>
  <c r="I72" i="4"/>
  <c r="H65" i="10"/>
  <c r="N72" i="12"/>
  <c r="O72" i="12" s="1"/>
  <c r="J72" i="4"/>
  <c r="I65" i="10"/>
  <c r="E71" i="8"/>
  <c r="X90" i="9"/>
  <c r="X91" i="9"/>
  <c r="Q35" i="14"/>
  <c r="S35" i="14"/>
  <c r="P35" i="14"/>
  <c r="R35" i="14"/>
  <c r="Q56" i="14"/>
  <c r="S56" i="14"/>
  <c r="AC50" i="4"/>
  <c r="V46" i="10"/>
  <c r="P56" i="14"/>
  <c r="R56" i="14"/>
  <c r="AB50" i="4"/>
  <c r="T46" i="10"/>
  <c r="Q77" i="14"/>
  <c r="S77" i="14"/>
  <c r="P77" i="14"/>
  <c r="R77" i="14"/>
  <c r="AB67" i="10"/>
  <c r="K9" i="10"/>
  <c r="AG10" i="4"/>
  <c r="K52" i="10"/>
  <c r="AG59" i="4"/>
  <c r="K59" i="10"/>
  <c r="AG66" i="4"/>
  <c r="L59" i="10"/>
  <c r="K66" i="10"/>
  <c r="W66" i="10"/>
  <c r="AG73" i="4"/>
  <c r="L66" i="10"/>
  <c r="AD37" i="10"/>
  <c r="K44" i="12"/>
  <c r="H41" i="4"/>
  <c r="V41" i="4"/>
  <c r="AE37" i="10"/>
  <c r="L44" i="12"/>
  <c r="L48" i="10"/>
  <c r="AH55" i="4"/>
  <c r="G23" i="10"/>
  <c r="J24" i="4"/>
  <c r="I23" i="10"/>
  <c r="AB23" i="10"/>
  <c r="I24" i="4"/>
  <c r="H23" i="10"/>
  <c r="N30" i="12"/>
  <c r="O30" i="12" s="1"/>
  <c r="E23" i="8"/>
  <c r="G43" i="10"/>
  <c r="J47" i="4"/>
  <c r="I43" i="10"/>
  <c r="AG43" i="10"/>
  <c r="AL43" i="10"/>
  <c r="AW43" i="10"/>
  <c r="I47" i="4"/>
  <c r="H43" i="10"/>
  <c r="N50" i="12"/>
  <c r="O50" i="12"/>
  <c r="E46" i="8"/>
  <c r="Q25" i="14"/>
  <c r="S25" i="14"/>
  <c r="P25" i="14"/>
  <c r="R25" i="14"/>
  <c r="Y15" i="16"/>
  <c r="K30" i="10"/>
  <c r="AG34" i="4"/>
  <c r="L30" i="10"/>
  <c r="L56" i="10"/>
  <c r="AH63" i="4"/>
  <c r="G14" i="3"/>
  <c r="B16" i="3"/>
  <c r="G7" i="10"/>
  <c r="J8" i="4"/>
  <c r="I7" i="10"/>
  <c r="Z7" i="10"/>
  <c r="AI7" i="10"/>
  <c r="AQ7" i="10" s="1"/>
  <c r="AZ7" i="10" s="1"/>
  <c r="I8" i="4"/>
  <c r="H7" i="10"/>
  <c r="N14" i="12"/>
  <c r="O14" i="12"/>
  <c r="E7" i="8"/>
  <c r="AH10" i="9"/>
  <c r="W10" i="9"/>
  <c r="V28" i="9"/>
  <c r="E25" i="4"/>
  <c r="V32" i="9"/>
  <c r="E27" i="4"/>
  <c r="V40" i="9"/>
  <c r="E34" i="4"/>
  <c r="G36" i="10"/>
  <c r="G41" i="10"/>
  <c r="G52" i="10"/>
  <c r="J59" i="4"/>
  <c r="I52" i="10"/>
  <c r="I59" i="4"/>
  <c r="H52" i="10"/>
  <c r="N59" i="12"/>
  <c r="O59" i="12"/>
  <c r="X84" i="9"/>
  <c r="X85" i="9"/>
  <c r="V50" i="13"/>
  <c r="V48" i="13"/>
  <c r="P18" i="14"/>
  <c r="R18" i="14"/>
  <c r="Q23" i="14"/>
  <c r="S23" i="14"/>
  <c r="AC19" i="4"/>
  <c r="P23" i="14"/>
  <c r="R23" i="14"/>
  <c r="AB19" i="4"/>
  <c r="T18" i="10"/>
  <c r="P81" i="14"/>
  <c r="R81" i="14"/>
  <c r="AB74" i="4"/>
  <c r="T67" i="10"/>
  <c r="Z5" i="16"/>
  <c r="K7" i="10"/>
  <c r="AG8" i="4"/>
  <c r="L7" i="10"/>
  <c r="K53" i="10"/>
  <c r="AG60" i="4"/>
  <c r="L53" i="10"/>
  <c r="K60" i="10"/>
  <c r="AG67" i="4"/>
  <c r="K67" i="10"/>
  <c r="W67" i="10"/>
  <c r="AG74" i="4"/>
  <c r="L67" i="10"/>
  <c r="V57" i="13"/>
  <c r="V55" i="13"/>
  <c r="V56" i="13"/>
  <c r="V58" i="13"/>
  <c r="Q46" i="14"/>
  <c r="S46" i="14"/>
  <c r="AC43" i="4"/>
  <c r="V39" i="10"/>
  <c r="P46" i="14"/>
  <c r="R46" i="14"/>
  <c r="AB43" i="4"/>
  <c r="T39" i="10"/>
  <c r="K42" i="10"/>
  <c r="W42" i="10"/>
  <c r="AG46" i="4"/>
  <c r="L42" i="10"/>
  <c r="E66" i="8"/>
  <c r="V10" i="9"/>
  <c r="E10" i="4"/>
  <c r="G11" i="10"/>
  <c r="J12" i="4"/>
  <c r="I11" i="10"/>
  <c r="I12" i="4"/>
  <c r="H11" i="10"/>
  <c r="N18" i="12"/>
  <c r="O18" i="12"/>
  <c r="E11" i="8"/>
  <c r="V17" i="9"/>
  <c r="E17" i="4"/>
  <c r="G21" i="10"/>
  <c r="J22" i="4"/>
  <c r="I21" i="10"/>
  <c r="E21" i="8"/>
  <c r="I22" i="4"/>
  <c r="H21" i="10"/>
  <c r="N28" i="12"/>
  <c r="O28" i="12" s="1"/>
  <c r="G33" i="10"/>
  <c r="G45" i="10"/>
  <c r="E48" i="8"/>
  <c r="G56" i="10"/>
  <c r="E62" i="8"/>
  <c r="G61" i="10"/>
  <c r="E67" i="8"/>
  <c r="Q15" i="14"/>
  <c r="S15" i="14"/>
  <c r="AC13" i="4"/>
  <c r="V12" i="10"/>
  <c r="P15" i="14"/>
  <c r="R15" i="14"/>
  <c r="AB13" i="4"/>
  <c r="T12" i="10"/>
  <c r="Q36" i="14"/>
  <c r="S36" i="14"/>
  <c r="P36" i="14"/>
  <c r="R36" i="14"/>
  <c r="Q78" i="14"/>
  <c r="S78" i="14"/>
  <c r="AC71" i="4"/>
  <c r="V64" i="10"/>
  <c r="P78" i="14"/>
  <c r="R78" i="14"/>
  <c r="AB71" i="4"/>
  <c r="T64" i="10"/>
  <c r="K28" i="10"/>
  <c r="K44" i="10"/>
  <c r="W44" i="10"/>
  <c r="AG48" i="4"/>
  <c r="L44" i="10"/>
  <c r="K47" i="10"/>
  <c r="W47" i="10"/>
  <c r="AG51" i="4"/>
  <c r="Y190" i="16"/>
  <c r="AA5" i="16"/>
  <c r="AA6" i="16"/>
  <c r="AF13" i="10"/>
  <c r="M20" i="12"/>
  <c r="AF64" i="10"/>
  <c r="M71" i="12"/>
  <c r="L64" i="10"/>
  <c r="AH71" i="4"/>
  <c r="G31" i="10"/>
  <c r="E34" i="8"/>
  <c r="E25" i="8"/>
  <c r="X21" i="9"/>
  <c r="X22" i="9"/>
  <c r="G28" i="10"/>
  <c r="G37" i="10"/>
  <c r="E40" i="8"/>
  <c r="J41" i="4"/>
  <c r="I37" i="10"/>
  <c r="G42" i="10"/>
  <c r="J46" i="4"/>
  <c r="I42" i="10"/>
  <c r="I46" i="4"/>
  <c r="H42" i="10"/>
  <c r="N49" i="12"/>
  <c r="O49" i="12"/>
  <c r="E45" i="8"/>
  <c r="G53" i="10"/>
  <c r="E59" i="8"/>
  <c r="V82" i="9"/>
  <c r="E71" i="4"/>
  <c r="X88" i="9"/>
  <c r="X89" i="9"/>
  <c r="Q45" i="14"/>
  <c r="S45" i="14"/>
  <c r="AC42" i="4"/>
  <c r="V38" i="10"/>
  <c r="P45" i="14"/>
  <c r="R45" i="14"/>
  <c r="AB42" i="4"/>
  <c r="T38" i="10"/>
  <c r="L21" i="10"/>
  <c r="K36" i="10"/>
  <c r="AG40" i="4"/>
  <c r="L36" i="10"/>
  <c r="G66" i="10"/>
  <c r="J73" i="4"/>
  <c r="I66" i="10"/>
  <c r="I73" i="4"/>
  <c r="H66" i="10"/>
  <c r="N73" i="12"/>
  <c r="O73" i="12"/>
  <c r="E72" i="8"/>
  <c r="E61" i="8"/>
  <c r="Z57" i="7"/>
  <c r="AA57" i="7"/>
  <c r="AB57" i="7"/>
  <c r="G6" i="10"/>
  <c r="G8" i="10"/>
  <c r="J9" i="4"/>
  <c r="I8" i="10"/>
  <c r="AQ8" i="10"/>
  <c r="AZ8" i="10" s="1"/>
  <c r="E8" i="8"/>
  <c r="V15" i="9"/>
  <c r="E15" i="4"/>
  <c r="G17" i="10"/>
  <c r="J18" i="4"/>
  <c r="I17" i="10"/>
  <c r="I18" i="4"/>
  <c r="H17" i="10"/>
  <c r="N24" i="12"/>
  <c r="O24" i="12"/>
  <c r="V21" i="9"/>
  <c r="E20" i="4"/>
  <c r="X26" i="9"/>
  <c r="X27" i="9"/>
  <c r="X30" i="9"/>
  <c r="X31" i="9"/>
  <c r="G34" i="10"/>
  <c r="E37" i="8"/>
  <c r="G40" i="10"/>
  <c r="E43" i="8"/>
  <c r="G62" i="10"/>
  <c r="J69" i="4"/>
  <c r="I62" i="10"/>
  <c r="I69" i="4"/>
  <c r="H62" i="10"/>
  <c r="N69" i="12"/>
  <c r="O69" i="12" s="1"/>
  <c r="E68" i="8"/>
  <c r="X82" i="9"/>
  <c r="X83" i="9"/>
  <c r="Q37" i="14"/>
  <c r="S37" i="14"/>
  <c r="AC34" i="4"/>
  <c r="V30" i="10"/>
  <c r="P37" i="14"/>
  <c r="R37" i="14"/>
  <c r="AB34" i="4"/>
  <c r="T30" i="10"/>
  <c r="Q75" i="14"/>
  <c r="S75" i="14"/>
  <c r="AC69" i="4"/>
  <c r="V62" i="10"/>
  <c r="AB62" i="10"/>
  <c r="P75" i="14"/>
  <c r="R75" i="14"/>
  <c r="AB69" i="4"/>
  <c r="T62" i="10"/>
  <c r="K22" i="10"/>
  <c r="W22" i="10"/>
  <c r="AG23" i="4"/>
  <c r="L22" i="10"/>
  <c r="K37" i="10"/>
  <c r="W37" i="10"/>
  <c r="AG41" i="4"/>
  <c r="AF21" i="10"/>
  <c r="M28" i="12"/>
  <c r="AD41" i="10"/>
  <c r="K48" i="12"/>
  <c r="H45" i="4"/>
  <c r="J45" i="4"/>
  <c r="I41" i="10"/>
  <c r="V45" i="4"/>
  <c r="AE41" i="10"/>
  <c r="L48" i="12"/>
  <c r="K24" i="10"/>
  <c r="AG25" i="4"/>
  <c r="L24" i="10"/>
  <c r="AD33" i="10"/>
  <c r="K40" i="12"/>
  <c r="H37" i="4"/>
  <c r="I37" i="4"/>
  <c r="H33" i="10"/>
  <c r="G59" i="10"/>
  <c r="J66" i="4"/>
  <c r="I59" i="10"/>
  <c r="I66" i="4"/>
  <c r="H59" i="10"/>
  <c r="N66" i="12"/>
  <c r="O66" i="12" s="1"/>
  <c r="E55" i="8"/>
  <c r="E63" i="8"/>
  <c r="M14" i="14"/>
  <c r="N14" i="14"/>
  <c r="O14" i="14"/>
  <c r="M22" i="14"/>
  <c r="N22" i="14"/>
  <c r="O22" i="14"/>
  <c r="M33" i="14"/>
  <c r="N33" i="14"/>
  <c r="O33" i="14"/>
  <c r="M44" i="14"/>
  <c r="N44" i="14"/>
  <c r="O44" i="14"/>
  <c r="M55" i="14"/>
  <c r="N55" i="14"/>
  <c r="O55" i="14"/>
  <c r="M63" i="14"/>
  <c r="N63" i="14"/>
  <c r="O63" i="14"/>
  <c r="M66" i="14"/>
  <c r="N66" i="14"/>
  <c r="O66" i="14"/>
  <c r="M74" i="14"/>
  <c r="N74" i="14"/>
  <c r="O74" i="14"/>
  <c r="M85" i="14"/>
  <c r="N85" i="14"/>
  <c r="O85" i="14"/>
  <c r="K17" i="10"/>
  <c r="W17" i="10"/>
  <c r="AG35" i="4"/>
  <c r="K31" i="10"/>
  <c r="K39" i="10"/>
  <c r="AG43" i="4"/>
  <c r="K45" i="10"/>
  <c r="AG49" i="4"/>
  <c r="K61" i="10"/>
  <c r="AG68" i="4"/>
  <c r="L61" i="10"/>
  <c r="K68" i="10"/>
  <c r="Z14" i="12"/>
  <c r="AA14" i="12" s="1"/>
  <c r="AC25" i="10"/>
  <c r="J32" i="12"/>
  <c r="V26" i="4"/>
  <c r="AE25" i="10"/>
  <c r="L32" i="12"/>
  <c r="H33" i="4"/>
  <c r="AD29" i="10"/>
  <c r="K36" i="12"/>
  <c r="V37" i="4"/>
  <c r="AE33" i="10"/>
  <c r="L40" i="12"/>
  <c r="AC68" i="10"/>
  <c r="J75" i="12"/>
  <c r="V75" i="4"/>
  <c r="AE68" i="10"/>
  <c r="L75" i="12"/>
  <c r="AC13" i="10"/>
  <c r="J20" i="12"/>
  <c r="V14" i="4"/>
  <c r="AE13" i="10"/>
  <c r="L20" i="12"/>
  <c r="AC21" i="10"/>
  <c r="J28" i="12"/>
  <c r="V22" i="4"/>
  <c r="AE21" i="10"/>
  <c r="L28" i="12"/>
  <c r="AF52" i="10"/>
  <c r="M59" i="12"/>
  <c r="AC56" i="10"/>
  <c r="J63" i="12"/>
  <c r="V63" i="4"/>
  <c r="AE56" i="10"/>
  <c r="L63" i="12"/>
  <c r="W58" i="13"/>
  <c r="M13" i="14"/>
  <c r="N13" i="14"/>
  <c r="O13" i="14"/>
  <c r="M21" i="14"/>
  <c r="N21" i="14"/>
  <c r="O21" i="14"/>
  <c r="M32" i="14"/>
  <c r="N32" i="14"/>
  <c r="O32" i="14"/>
  <c r="M43" i="14"/>
  <c r="N43" i="14"/>
  <c r="O43" i="14"/>
  <c r="M54" i="14"/>
  <c r="N54" i="14"/>
  <c r="O54" i="14"/>
  <c r="M62" i="14"/>
  <c r="N62" i="14"/>
  <c r="O62" i="14"/>
  <c r="M64" i="14"/>
  <c r="N64" i="14"/>
  <c r="O64" i="14"/>
  <c r="M65" i="14"/>
  <c r="N65" i="14"/>
  <c r="O65" i="14"/>
  <c r="M73" i="14"/>
  <c r="N73" i="14"/>
  <c r="O73" i="14"/>
  <c r="M84" i="14"/>
  <c r="N84" i="14"/>
  <c r="O84" i="14"/>
  <c r="K10" i="10"/>
  <c r="AG11" i="4"/>
  <c r="L10" i="10"/>
  <c r="K13" i="10"/>
  <c r="W13" i="10"/>
  <c r="K18" i="10"/>
  <c r="AG19" i="4"/>
  <c r="L18" i="10"/>
  <c r="K25" i="10"/>
  <c r="W25" i="10"/>
  <c r="K48" i="10"/>
  <c r="K54" i="10"/>
  <c r="W54" i="10"/>
  <c r="AG61" i="4"/>
  <c r="L54" i="10"/>
  <c r="K62" i="10"/>
  <c r="W62" i="10"/>
  <c r="AG69" i="4"/>
  <c r="L62" i="10"/>
  <c r="AG14" i="4"/>
  <c r="AG18" i="4"/>
  <c r="AF25" i="10"/>
  <c r="M32" i="12"/>
  <c r="J33" i="4"/>
  <c r="I29" i="10"/>
  <c r="V40" i="4"/>
  <c r="AE36" i="10"/>
  <c r="L43" i="12"/>
  <c r="AC36" i="10"/>
  <c r="J43" i="12"/>
  <c r="AC40" i="10"/>
  <c r="J47" i="12"/>
  <c r="V44" i="4"/>
  <c r="AE40" i="10"/>
  <c r="L47" i="12"/>
  <c r="N46" i="10"/>
  <c r="H63" i="4"/>
  <c r="AC60" i="10"/>
  <c r="J67" i="12"/>
  <c r="V67" i="4"/>
  <c r="AE60" i="10"/>
  <c r="L67" i="12"/>
  <c r="G32" i="10"/>
  <c r="J36" i="4"/>
  <c r="I32" i="10"/>
  <c r="I36" i="4"/>
  <c r="H32" i="10"/>
  <c r="N39" i="12"/>
  <c r="O39" i="12"/>
  <c r="M9" i="14"/>
  <c r="N9" i="14"/>
  <c r="O9" i="14"/>
  <c r="M12" i="14"/>
  <c r="N12" i="14"/>
  <c r="O12" i="14"/>
  <c r="M20" i="14"/>
  <c r="N20" i="14"/>
  <c r="O20" i="14"/>
  <c r="M31" i="14"/>
  <c r="N31" i="14"/>
  <c r="O31" i="14"/>
  <c r="M42" i="14"/>
  <c r="N42" i="14"/>
  <c r="O42" i="14"/>
  <c r="M53" i="14"/>
  <c r="N53" i="14"/>
  <c r="O53" i="14"/>
  <c r="M61" i="14"/>
  <c r="N61" i="14"/>
  <c r="O61" i="14"/>
  <c r="M72" i="14"/>
  <c r="N72" i="14"/>
  <c r="O72" i="14"/>
  <c r="M83" i="14"/>
  <c r="N83" i="14"/>
  <c r="O83" i="14"/>
  <c r="K19" i="10"/>
  <c r="AG20" i="4"/>
  <c r="L19" i="10"/>
  <c r="K26" i="10"/>
  <c r="AG27" i="4"/>
  <c r="L26" i="10"/>
  <c r="K33" i="10"/>
  <c r="AG37" i="4"/>
  <c r="K43" i="10"/>
  <c r="W43" i="10"/>
  <c r="AG47" i="4"/>
  <c r="K55" i="10"/>
  <c r="W55" i="10"/>
  <c r="AG62" i="4"/>
  <c r="L55" i="10"/>
  <c r="K63" i="10"/>
  <c r="AG70" i="4"/>
  <c r="L63" i="10"/>
  <c r="H7" i="4"/>
  <c r="X24" i="12"/>
  <c r="AG26" i="4"/>
  <c r="AC32" i="10"/>
  <c r="J39" i="12"/>
  <c r="V36" i="4"/>
  <c r="AE32" i="10"/>
  <c r="L39" i="12"/>
  <c r="AC44" i="10"/>
  <c r="J51" i="12"/>
  <c r="V48" i="4"/>
  <c r="AE44" i="10"/>
  <c r="L51" i="12"/>
  <c r="H75" i="4"/>
  <c r="AG75" i="4"/>
  <c r="E65" i="8"/>
  <c r="E32" i="8"/>
  <c r="M8" i="14"/>
  <c r="N8" i="14"/>
  <c r="O8" i="14"/>
  <c r="M10" i="14"/>
  <c r="N10" i="14"/>
  <c r="O10" i="14"/>
  <c r="M11" i="14"/>
  <c r="N11" i="14"/>
  <c r="O11" i="14"/>
  <c r="M19" i="14"/>
  <c r="N19" i="14"/>
  <c r="O19" i="14"/>
  <c r="M30" i="14"/>
  <c r="N30" i="14"/>
  <c r="O30" i="14"/>
  <c r="M41" i="14"/>
  <c r="N41" i="14"/>
  <c r="O41" i="14"/>
  <c r="M52" i="14"/>
  <c r="N52" i="14"/>
  <c r="O52" i="14"/>
  <c r="M60" i="14"/>
  <c r="N60" i="14"/>
  <c r="O60" i="14"/>
  <c r="M71" i="14"/>
  <c r="N71" i="14"/>
  <c r="O71" i="14"/>
  <c r="M82" i="14"/>
  <c r="N82" i="14"/>
  <c r="O82" i="14"/>
  <c r="K14" i="10"/>
  <c r="AG15" i="4"/>
  <c r="L14" i="10"/>
  <c r="K27" i="10"/>
  <c r="W27" i="10"/>
  <c r="AG31" i="4"/>
  <c r="K34" i="10"/>
  <c r="AG38" i="4"/>
  <c r="L34" i="10"/>
  <c r="K46" i="10"/>
  <c r="W46" i="10"/>
  <c r="AG50" i="4"/>
  <c r="L46" i="10"/>
  <c r="K49" i="10"/>
  <c r="AG56" i="4"/>
  <c r="L49" i="10"/>
  <c r="K56" i="10"/>
  <c r="AC7" i="10"/>
  <c r="J14" i="12"/>
  <c r="V8" i="4"/>
  <c r="AE7" i="10"/>
  <c r="L14" i="12"/>
  <c r="W32" i="12"/>
  <c r="X32" i="12"/>
  <c r="AO25" i="10"/>
  <c r="AC28" i="10"/>
  <c r="J35" i="12"/>
  <c r="V32" i="4"/>
  <c r="AE28" i="10"/>
  <c r="L35" i="12"/>
  <c r="H40" i="4"/>
  <c r="H44" i="4"/>
  <c r="J44" i="4"/>
  <c r="I40" i="10"/>
  <c r="H67" i="4"/>
  <c r="J67" i="4"/>
  <c r="I60" i="10"/>
  <c r="G38" i="10"/>
  <c r="J42" i="4"/>
  <c r="I38" i="10"/>
  <c r="I42" i="4"/>
  <c r="H38" i="10"/>
  <c r="N45" i="12"/>
  <c r="O45" i="12"/>
  <c r="G49" i="10"/>
  <c r="G57" i="10"/>
  <c r="I64" i="4"/>
  <c r="H57" i="10"/>
  <c r="N64" i="12"/>
  <c r="O64" i="12"/>
  <c r="K11" i="10"/>
  <c r="W11" i="10"/>
  <c r="AG12" i="4"/>
  <c r="L11" i="10"/>
  <c r="K35" i="10"/>
  <c r="AG39" i="4"/>
  <c r="K41" i="10"/>
  <c r="AG45" i="4"/>
  <c r="K50" i="10"/>
  <c r="W50" i="10"/>
  <c r="AG57" i="4"/>
  <c r="L50" i="10"/>
  <c r="K57" i="10"/>
  <c r="AG64" i="4"/>
  <c r="L57" i="10"/>
  <c r="K64" i="10"/>
  <c r="AC9" i="10"/>
  <c r="J16" i="12"/>
  <c r="V10" i="4"/>
  <c r="AE9" i="10"/>
  <c r="L16" i="12"/>
  <c r="Z15" i="10"/>
  <c r="AI15" i="10" s="1"/>
  <c r="AQ15" i="10" s="1"/>
  <c r="AZ15" i="10" s="1"/>
  <c r="AF32" i="10"/>
  <c r="M39" i="12"/>
  <c r="N34" i="10"/>
  <c r="Y34" i="10" s="1"/>
  <c r="AH38" i="4"/>
  <c r="AH42" i="4"/>
  <c r="N42" i="10"/>
  <c r="W49" i="12" s="1"/>
  <c r="X49" i="12" s="1"/>
  <c r="Z43" i="10"/>
  <c r="AI43" i="10" s="1"/>
  <c r="AQ43" i="10" s="1"/>
  <c r="AZ43" i="10" s="1"/>
  <c r="AF44" i="10"/>
  <c r="M51" i="12"/>
  <c r="AC64" i="10"/>
  <c r="J71" i="12"/>
  <c r="V71" i="4"/>
  <c r="AE64" i="10"/>
  <c r="L71" i="12"/>
  <c r="Y17" i="10"/>
  <c r="AH17" i="10" s="1"/>
  <c r="AO17" i="10" s="1"/>
  <c r="G46" i="10"/>
  <c r="J50" i="4"/>
  <c r="I46" i="10"/>
  <c r="I50" i="4"/>
  <c r="H46" i="10"/>
  <c r="N53" i="12"/>
  <c r="O53" i="12"/>
  <c r="M17" i="14"/>
  <c r="N17" i="14"/>
  <c r="O17" i="14"/>
  <c r="M28" i="14"/>
  <c r="N28" i="14"/>
  <c r="O28" i="14"/>
  <c r="M39" i="14"/>
  <c r="N39" i="14"/>
  <c r="O39" i="14"/>
  <c r="M47" i="14"/>
  <c r="N47" i="14"/>
  <c r="O47" i="14"/>
  <c r="M50" i="14"/>
  <c r="N50" i="14"/>
  <c r="O50" i="14"/>
  <c r="M58" i="14"/>
  <c r="N58" i="14"/>
  <c r="O58" i="14"/>
  <c r="M69" i="14"/>
  <c r="N69" i="14"/>
  <c r="O69" i="14"/>
  <c r="K15" i="10"/>
  <c r="W15" i="10"/>
  <c r="AG16" i="4"/>
  <c r="L15" i="10"/>
  <c r="K21" i="10"/>
  <c r="W21" i="10"/>
  <c r="K29" i="10"/>
  <c r="W29" i="10"/>
  <c r="AG33" i="4"/>
  <c r="K51" i="10"/>
  <c r="AG58" i="4"/>
  <c r="K58" i="10"/>
  <c r="W58" i="10"/>
  <c r="AG65" i="4"/>
  <c r="L58" i="10"/>
  <c r="K65" i="10"/>
  <c r="W65" i="10"/>
  <c r="AG72" i="4"/>
  <c r="L65" i="10"/>
  <c r="H10" i="4"/>
  <c r="N14" i="10"/>
  <c r="AH15" i="4"/>
  <c r="AH19" i="4"/>
  <c r="N18" i="10"/>
  <c r="N22" i="10"/>
  <c r="W29" i="12" s="1"/>
  <c r="AH23" i="4"/>
  <c r="R22" i="10" s="1"/>
  <c r="Z34" i="12"/>
  <c r="AA34" i="12" s="1"/>
  <c r="Z27" i="10"/>
  <c r="AI27" i="10" s="1"/>
  <c r="AQ27" i="10" s="1"/>
  <c r="AZ27" i="10" s="1"/>
  <c r="H32" i="4"/>
  <c r="AH34" i="4"/>
  <c r="H49" i="4"/>
  <c r="I49" i="4"/>
  <c r="H45" i="10"/>
  <c r="AD45" i="10"/>
  <c r="K52" i="12"/>
  <c r="V49" i="4"/>
  <c r="AE45" i="10"/>
  <c r="L52" i="12"/>
  <c r="AC52" i="10"/>
  <c r="J59" i="12"/>
  <c r="V59" i="4"/>
  <c r="AE52" i="10"/>
  <c r="L59" i="12"/>
  <c r="Z50" i="10"/>
  <c r="AI50" i="10" s="1"/>
  <c r="AQ50" i="10" s="1"/>
  <c r="Z65" i="12"/>
  <c r="AA65" i="12" s="1"/>
  <c r="W72" i="12"/>
  <c r="X72" i="12"/>
  <c r="Y65" i="10"/>
  <c r="AH65" i="10" s="1"/>
  <c r="AO65" i="10" s="1"/>
  <c r="AF15" i="10"/>
  <c r="M22" i="12"/>
  <c r="AD22" i="10"/>
  <c r="K29" i="12"/>
  <c r="H9" i="4"/>
  <c r="X9" i="4"/>
  <c r="X10" i="4"/>
  <c r="X11" i="4"/>
  <c r="X12" i="4"/>
  <c r="X13" i="4"/>
  <c r="X14" i="4"/>
  <c r="X15" i="4"/>
  <c r="X16" i="4"/>
  <c r="X17" i="4"/>
  <c r="X18" i="4"/>
  <c r="X19" i="4"/>
  <c r="X20" i="4"/>
  <c r="X21" i="4"/>
  <c r="X22" i="4"/>
  <c r="X23" i="4"/>
  <c r="X24" i="4"/>
  <c r="X25" i="4"/>
  <c r="X26" i="4"/>
  <c r="X27" i="4"/>
  <c r="H13" i="4"/>
  <c r="H17" i="4"/>
  <c r="H21" i="4"/>
  <c r="AH32" i="4"/>
  <c r="AH36" i="4"/>
  <c r="R32" i="10" s="1"/>
  <c r="AH40" i="4"/>
  <c r="Z45" i="12"/>
  <c r="AA45" i="12" s="1"/>
  <c r="AI38" i="10"/>
  <c r="AQ38" i="10" s="1"/>
  <c r="AZ38" i="10" s="1"/>
  <c r="Z49" i="12"/>
  <c r="AA49" i="12" s="1"/>
  <c r="Z42" i="10"/>
  <c r="AI42" i="10" s="1"/>
  <c r="AQ42" i="10" s="1"/>
  <c r="Z53" i="12"/>
  <c r="AA53" i="12" s="1"/>
  <c r="Z46" i="10"/>
  <c r="AI46" i="10" s="1"/>
  <c r="AQ46" i="10" s="1"/>
  <c r="AZ46" i="10" s="1"/>
  <c r="H58" i="4"/>
  <c r="J58" i="4"/>
  <c r="I51" i="10"/>
  <c r="AH13" i="4"/>
  <c r="AI13" i="4" s="1"/>
  <c r="Y13" i="10"/>
  <c r="AH13" i="10" s="1"/>
  <c r="AO13" i="10" s="1"/>
  <c r="AH17" i="4"/>
  <c r="AH21" i="4"/>
  <c r="Z22" i="10"/>
  <c r="AI22" i="10" s="1"/>
  <c r="AQ22" i="10" s="1"/>
  <c r="AZ22" i="10" s="1"/>
  <c r="AH25" i="4"/>
  <c r="AK25" i="4" s="1"/>
  <c r="H35" i="4"/>
  <c r="H39" i="4"/>
  <c r="H43" i="4"/>
  <c r="J43" i="4"/>
  <c r="I39" i="10"/>
  <c r="V55" i="4"/>
  <c r="AE48" i="10"/>
  <c r="L55" i="12"/>
  <c r="Y52" i="10"/>
  <c r="AH52" i="10" s="1"/>
  <c r="AO52" i="10" s="1"/>
  <c r="AH62" i="4"/>
  <c r="R55" i="10" s="1"/>
  <c r="AH66" i="4"/>
  <c r="W67" i="12"/>
  <c r="X67" i="12" s="1"/>
  <c r="AH70" i="4"/>
  <c r="Z72" i="12"/>
  <c r="AA72" i="12" s="1"/>
  <c r="Z65" i="10"/>
  <c r="AI65" i="10"/>
  <c r="AQ65" i="10"/>
  <c r="AH74" i="4"/>
  <c r="AI74" i="4" s="1"/>
  <c r="AD14" i="10"/>
  <c r="K21" i="12"/>
  <c r="AF24" i="10"/>
  <c r="M31" i="12"/>
  <c r="AI29" i="10"/>
  <c r="AQ29" i="10" s="1"/>
  <c r="Z37" i="10"/>
  <c r="AI37" i="10"/>
  <c r="AQ37" i="10" s="1"/>
  <c r="AZ37" i="10" s="1"/>
  <c r="X51" i="12"/>
  <c r="Y44" i="10"/>
  <c r="AH44" i="10" s="1"/>
  <c r="AO44" i="10" s="1"/>
  <c r="W55" i="4"/>
  <c r="V58" i="4"/>
  <c r="AE51" i="10"/>
  <c r="L58" i="12"/>
  <c r="V62" i="4"/>
  <c r="AE55" i="10"/>
  <c r="L62" i="12"/>
  <c r="V66" i="4"/>
  <c r="AE59" i="10"/>
  <c r="L66" i="12"/>
  <c r="V70" i="4"/>
  <c r="AE63" i="10"/>
  <c r="L70" i="12"/>
  <c r="V74" i="4"/>
  <c r="AE67" i="10"/>
  <c r="L74" i="12"/>
  <c r="AH12" i="4"/>
  <c r="R11" i="10" s="1"/>
  <c r="Z20" i="12"/>
  <c r="AA20" i="12" s="1"/>
  <c r="AI13" i="10"/>
  <c r="AQ13" i="10" s="1"/>
  <c r="AZ13" i="10" s="1"/>
  <c r="AH16" i="4"/>
  <c r="Z24" i="12"/>
  <c r="AA24" i="12" s="1"/>
  <c r="Z28" i="12"/>
  <c r="AA28" i="12" s="1"/>
  <c r="AI21" i="10"/>
  <c r="AQ21" i="10" s="1"/>
  <c r="AZ21" i="10" s="1"/>
  <c r="Z32" i="12"/>
  <c r="AA32" i="12" s="1"/>
  <c r="H34" i="4"/>
  <c r="V35" i="4"/>
  <c r="AE31" i="10"/>
  <c r="L38" i="12"/>
  <c r="H38" i="4"/>
  <c r="J38" i="4"/>
  <c r="I34" i="10"/>
  <c r="V39" i="4"/>
  <c r="AE35" i="10"/>
  <c r="L42" i="12"/>
  <c r="V43" i="4"/>
  <c r="AE39" i="10"/>
  <c r="L46" i="12"/>
  <c r="V47" i="4"/>
  <c r="AE43" i="10"/>
  <c r="L50" i="12"/>
  <c r="V51" i="4"/>
  <c r="AE47" i="10"/>
  <c r="L54" i="12"/>
  <c r="AH57" i="4"/>
  <c r="Z52" i="10"/>
  <c r="AI52" i="10"/>
  <c r="AQ52" i="10" s="1"/>
  <c r="W62" i="12"/>
  <c r="X62" i="12" s="1"/>
  <c r="Y55" i="10"/>
  <c r="AH55" i="10"/>
  <c r="AO55" i="10" s="1"/>
  <c r="AH65" i="4"/>
  <c r="R58" i="10" s="1"/>
  <c r="W66" i="12"/>
  <c r="X66" i="12"/>
  <c r="Y59" i="10"/>
  <c r="AH59" i="10"/>
  <c r="AO59" i="10" s="1"/>
  <c r="AH69" i="4"/>
  <c r="AH73" i="4"/>
  <c r="R66" i="10" s="1"/>
  <c r="AA66" i="10" s="1"/>
  <c r="AJ66" i="10" s="1"/>
  <c r="AS66" i="10" s="1"/>
  <c r="W74" i="12"/>
  <c r="X74" i="12" s="1"/>
  <c r="Y67" i="10"/>
  <c r="AH67" i="10" s="1"/>
  <c r="AO67" i="10" s="1"/>
  <c r="H11" i="4"/>
  <c r="V12" i="4"/>
  <c r="AE11" i="10"/>
  <c r="L18" i="12"/>
  <c r="V16" i="4"/>
  <c r="AE15" i="10"/>
  <c r="L22" i="12"/>
  <c r="H19" i="4"/>
  <c r="V20" i="4"/>
  <c r="AE19" i="10"/>
  <c r="L26" i="12"/>
  <c r="V24" i="4"/>
  <c r="AE23" i="10"/>
  <c r="L30" i="12"/>
  <c r="H27" i="4"/>
  <c r="V31" i="4"/>
  <c r="AE27" i="10"/>
  <c r="L34" i="12"/>
  <c r="Z39" i="12"/>
  <c r="AA39" i="12"/>
  <c r="Z32" i="10"/>
  <c r="AI32" i="10"/>
  <c r="AQ32" i="10" s="1"/>
  <c r="AZ32" i="10" s="1"/>
  <c r="AA51" i="12"/>
  <c r="Z44" i="10"/>
  <c r="AI44" i="10" s="1"/>
  <c r="AQ44" i="10" s="1"/>
  <c r="AZ44" i="10" s="1"/>
  <c r="H56" i="4"/>
  <c r="J56" i="4"/>
  <c r="I49" i="10"/>
  <c r="V57" i="4"/>
  <c r="AE50" i="10"/>
  <c r="L57" i="12"/>
  <c r="H60" i="4"/>
  <c r="I60" i="4"/>
  <c r="H53" i="10"/>
  <c r="V61" i="4"/>
  <c r="AE54" i="10"/>
  <c r="L61" i="12"/>
  <c r="H64" i="4"/>
  <c r="J64" i="4"/>
  <c r="I57" i="10"/>
  <c r="V65" i="4"/>
  <c r="AE58" i="10"/>
  <c r="L65" i="12"/>
  <c r="H68" i="4"/>
  <c r="X34" i="12"/>
  <c r="Y27" i="10"/>
  <c r="AH27" i="10"/>
  <c r="AO27" i="10" s="1"/>
  <c r="W31" i="4"/>
  <c r="AH56" i="4"/>
  <c r="AK56" i="4" s="1"/>
  <c r="AI56" i="4"/>
  <c r="AH60" i="4"/>
  <c r="AI64" i="4"/>
  <c r="W65" i="12"/>
  <c r="X65" i="12" s="1"/>
  <c r="Y58" i="10"/>
  <c r="AH58" i="10"/>
  <c r="AO58" i="10" s="1"/>
  <c r="W69" i="12"/>
  <c r="X69" i="12" s="1"/>
  <c r="Y62" i="10"/>
  <c r="AH62" i="10" s="1"/>
  <c r="AO62" i="10" s="1"/>
  <c r="AH72" i="4"/>
  <c r="AK72" i="4" s="1"/>
  <c r="AI72" i="4"/>
  <c r="X73" i="12"/>
  <c r="Y66" i="10"/>
  <c r="AH66" i="10" s="1"/>
  <c r="AO66" i="10" s="1"/>
  <c r="Z25" i="10"/>
  <c r="AI25" i="10"/>
  <c r="AQ25" i="10" s="1"/>
  <c r="AZ25" i="10" s="1"/>
  <c r="N40" i="12"/>
  <c r="O40" i="12"/>
  <c r="W40" i="12"/>
  <c r="X40" i="12" s="1"/>
  <c r="Y49" i="10"/>
  <c r="AH49" i="10"/>
  <c r="AO49" i="10" s="1"/>
  <c r="Z39" i="10"/>
  <c r="AI39" i="10"/>
  <c r="AQ39" i="10"/>
  <c r="N52" i="12"/>
  <c r="O52" i="12"/>
  <c r="W52" i="12"/>
  <c r="X52" i="12" s="1"/>
  <c r="Y51" i="10"/>
  <c r="AH51" i="10"/>
  <c r="AO51" i="10"/>
  <c r="Y60" i="10"/>
  <c r="AH60" i="10"/>
  <c r="AO60" i="10" s="1"/>
  <c r="Z57" i="10"/>
  <c r="AI57" i="10"/>
  <c r="AQ57" i="10" s="1"/>
  <c r="AZ57" i="10" s="1"/>
  <c r="Z40" i="10"/>
  <c r="AI40" i="10"/>
  <c r="AQ40" i="10" s="1"/>
  <c r="AZ40" i="10" s="1"/>
  <c r="Y41" i="10"/>
  <c r="AH41" i="10"/>
  <c r="AO41" i="10" s="1"/>
  <c r="N60" i="12"/>
  <c r="O60" i="12"/>
  <c r="AF31" i="10"/>
  <c r="M38" i="12"/>
  <c r="R38" i="10"/>
  <c r="L41" i="10"/>
  <c r="AH45" i="4"/>
  <c r="R41" i="10" s="1"/>
  <c r="AA41" i="10" s="1"/>
  <c r="AJ41" i="10" s="1"/>
  <c r="AS41" i="10" s="1"/>
  <c r="Q30" i="14"/>
  <c r="S30" i="14"/>
  <c r="AC25" i="4"/>
  <c r="P30" i="14"/>
  <c r="R30" i="14"/>
  <c r="AB25" i="4"/>
  <c r="T24" i="10"/>
  <c r="L25" i="10"/>
  <c r="AH26" i="4"/>
  <c r="AF17" i="12"/>
  <c r="AG17" i="12"/>
  <c r="W39" i="10"/>
  <c r="AI64" i="12"/>
  <c r="AJ64" i="12" s="1"/>
  <c r="AG57" i="10"/>
  <c r="AL57" i="10"/>
  <c r="AW57" i="10"/>
  <c r="AF30" i="10"/>
  <c r="M37" i="12"/>
  <c r="AK12" i="4"/>
  <c r="R59" i="10"/>
  <c r="AK66" i="4"/>
  <c r="R24" i="10"/>
  <c r="AC31" i="12" s="1"/>
  <c r="AD31" i="12" s="1"/>
  <c r="AF20" i="10"/>
  <c r="M27" i="12"/>
  <c r="W25" i="12"/>
  <c r="X25" i="12" s="1"/>
  <c r="AF9" i="10"/>
  <c r="M16" i="12"/>
  <c r="AF22" i="12"/>
  <c r="AG22" i="12" s="1"/>
  <c r="X15" i="10"/>
  <c r="AK15" i="10"/>
  <c r="AU15" i="10"/>
  <c r="Q28" i="14"/>
  <c r="S28" i="14"/>
  <c r="AC23" i="4"/>
  <c r="P28" i="14"/>
  <c r="R28" i="14"/>
  <c r="AB23" i="4"/>
  <c r="T22" i="10"/>
  <c r="X45" i="12"/>
  <c r="Y38" i="10"/>
  <c r="AH38" i="10"/>
  <c r="AO38" i="10" s="1"/>
  <c r="W41" i="10"/>
  <c r="Q19" i="14"/>
  <c r="S19" i="14"/>
  <c r="P19" i="14"/>
  <c r="R19" i="14"/>
  <c r="L43" i="10"/>
  <c r="P20" i="14"/>
  <c r="R20" i="14"/>
  <c r="AB16" i="4"/>
  <c r="T15" i="10"/>
  <c r="Q20" i="14"/>
  <c r="S20" i="14"/>
  <c r="AC16" i="4"/>
  <c r="AF56" i="10"/>
  <c r="M63" i="12"/>
  <c r="W48" i="10"/>
  <c r="Q32" i="14"/>
  <c r="S32" i="14"/>
  <c r="AC27" i="4"/>
  <c r="P32" i="14"/>
  <c r="R32" i="14"/>
  <c r="AB27" i="4"/>
  <c r="T26" i="10"/>
  <c r="Q63" i="14"/>
  <c r="S63" i="14"/>
  <c r="P63" i="14"/>
  <c r="R63" i="14"/>
  <c r="I44" i="4"/>
  <c r="H40" i="10"/>
  <c r="I9" i="4"/>
  <c r="H8" i="10"/>
  <c r="J60" i="4"/>
  <c r="I53" i="10"/>
  <c r="J37" i="4"/>
  <c r="I33" i="10"/>
  <c r="W33" i="10"/>
  <c r="W60" i="10"/>
  <c r="AI74" i="12"/>
  <c r="AJ74" i="12" s="1"/>
  <c r="AG67" i="10"/>
  <c r="AL67" i="10"/>
  <c r="AW67" i="10"/>
  <c r="G30" i="10"/>
  <c r="J34" i="4"/>
  <c r="I30" i="10"/>
  <c r="AQ30" i="10"/>
  <c r="AZ30" i="10" s="1"/>
  <c r="I34" i="4"/>
  <c r="H30" i="10"/>
  <c r="E33" i="8"/>
  <c r="AI34" i="4"/>
  <c r="AF66" i="12"/>
  <c r="AG66" i="12"/>
  <c r="X59" i="10"/>
  <c r="AK59" i="10"/>
  <c r="AU59" i="10"/>
  <c r="AB33" i="4"/>
  <c r="T29" i="10"/>
  <c r="T35" i="14"/>
  <c r="U35" i="14"/>
  <c r="U36" i="14"/>
  <c r="AI62" i="12"/>
  <c r="AJ62" i="12"/>
  <c r="AG55" i="10"/>
  <c r="AL55" i="10"/>
  <c r="AW55" i="10"/>
  <c r="I58" i="4"/>
  <c r="H51" i="10"/>
  <c r="AI30" i="12"/>
  <c r="AJ30" i="12" s="1"/>
  <c r="AG23" i="10"/>
  <c r="AL23" i="10"/>
  <c r="AW23" i="10"/>
  <c r="AB41" i="10"/>
  <c r="AB70" i="4"/>
  <c r="T63" i="10"/>
  <c r="T76" i="14"/>
  <c r="U76" i="14"/>
  <c r="U77" i="14"/>
  <c r="AB57" i="10"/>
  <c r="X29" i="12"/>
  <c r="Y22" i="10"/>
  <c r="AH22" i="10" s="1"/>
  <c r="AO22" i="10" s="1"/>
  <c r="AF68" i="10"/>
  <c r="M75" i="12"/>
  <c r="G16" i="10"/>
  <c r="J17" i="4"/>
  <c r="I16" i="10"/>
  <c r="W16" i="10"/>
  <c r="I17" i="4"/>
  <c r="H16" i="10"/>
  <c r="E16" i="8"/>
  <c r="AI50" i="12"/>
  <c r="AJ50" i="12"/>
  <c r="AF57" i="10"/>
  <c r="M64" i="12"/>
  <c r="R50" i="10"/>
  <c r="AK57" i="4"/>
  <c r="H92" i="4"/>
  <c r="J92" i="4"/>
  <c r="AK48" i="4"/>
  <c r="AF16" i="10"/>
  <c r="M23" i="12"/>
  <c r="AF28" i="10"/>
  <c r="M35" i="12"/>
  <c r="X32" i="4"/>
  <c r="X33" i="4"/>
  <c r="X34" i="4"/>
  <c r="X35" i="4"/>
  <c r="X36" i="4"/>
  <c r="X37" i="4"/>
  <c r="X38" i="4"/>
  <c r="X39" i="4"/>
  <c r="X40" i="4"/>
  <c r="X41" i="4"/>
  <c r="X42" i="4"/>
  <c r="X43" i="4"/>
  <c r="X44" i="4"/>
  <c r="X45" i="4"/>
  <c r="X46" i="4"/>
  <c r="X47" i="4"/>
  <c r="X48" i="4"/>
  <c r="X49" i="4"/>
  <c r="X50" i="4"/>
  <c r="X51" i="4"/>
  <c r="W32" i="4"/>
  <c r="H91" i="4"/>
  <c r="J91" i="4"/>
  <c r="R18" i="10"/>
  <c r="L51" i="10"/>
  <c r="AH58" i="4"/>
  <c r="Q17" i="14"/>
  <c r="S17" i="14"/>
  <c r="AC15" i="4"/>
  <c r="P17" i="14"/>
  <c r="R17" i="14"/>
  <c r="AB15" i="4"/>
  <c r="T14" i="10"/>
  <c r="R34" i="10"/>
  <c r="L35" i="10"/>
  <c r="AH39" i="4"/>
  <c r="I56" i="4"/>
  <c r="H49" i="10"/>
  <c r="Z46" i="12"/>
  <c r="AA46" i="12"/>
  <c r="Q11" i="14"/>
  <c r="S11" i="14"/>
  <c r="AC9" i="4"/>
  <c r="P11" i="14"/>
  <c r="R11" i="14"/>
  <c r="AB9" i="4"/>
  <c r="T8" i="10"/>
  <c r="H90" i="4"/>
  <c r="J90" i="4"/>
  <c r="AF6" i="10"/>
  <c r="M13" i="12"/>
  <c r="W7" i="4"/>
  <c r="W8" i="4"/>
  <c r="W19" i="10"/>
  <c r="P12" i="14"/>
  <c r="R12" i="14"/>
  <c r="AB10" i="4"/>
  <c r="T9" i="10"/>
  <c r="Q12" i="14"/>
  <c r="S12" i="14"/>
  <c r="AC10" i="4"/>
  <c r="AH50" i="4"/>
  <c r="AF69" i="12"/>
  <c r="AG69" i="12"/>
  <c r="X62" i="10"/>
  <c r="AK62" i="10"/>
  <c r="AU62" i="10"/>
  <c r="Q84" i="14"/>
  <c r="S84" i="14"/>
  <c r="P84" i="14"/>
  <c r="R84" i="14"/>
  <c r="Q21" i="14"/>
  <c r="S21" i="14"/>
  <c r="AC17" i="4"/>
  <c r="P21" i="14"/>
  <c r="R21" i="14"/>
  <c r="AB17" i="4"/>
  <c r="T16" i="10"/>
  <c r="Z54" i="12"/>
  <c r="AA54" i="12" s="1"/>
  <c r="L31" i="10"/>
  <c r="Q55" i="14"/>
  <c r="S55" i="14"/>
  <c r="P55" i="14"/>
  <c r="R55" i="14"/>
  <c r="AB30" i="10"/>
  <c r="G19" i="10"/>
  <c r="J20" i="4"/>
  <c r="I19" i="10"/>
  <c r="I20" i="4"/>
  <c r="H19" i="10"/>
  <c r="E19" i="8"/>
  <c r="AF51" i="12"/>
  <c r="AG51" i="12" s="1"/>
  <c r="X44" i="10"/>
  <c r="AK44" i="10"/>
  <c r="AU44" i="10"/>
  <c r="AI46" i="12"/>
  <c r="AJ46" i="12"/>
  <c r="AG39" i="10"/>
  <c r="AL39" i="10"/>
  <c r="AW39" i="10"/>
  <c r="AI25" i="12"/>
  <c r="AJ25" i="12" s="1"/>
  <c r="G26" i="10"/>
  <c r="I27" i="4"/>
  <c r="H26" i="10"/>
  <c r="J27" i="4"/>
  <c r="I26" i="10"/>
  <c r="Z26" i="10"/>
  <c r="AI26" i="10" s="1"/>
  <c r="AQ26" i="10" s="1"/>
  <c r="AZ26" i="10" s="1"/>
  <c r="E26" i="8"/>
  <c r="B17" i="3"/>
  <c r="G15" i="3"/>
  <c r="W30" i="10"/>
  <c r="AF37" i="10"/>
  <c r="M44" i="12"/>
  <c r="AC33" i="4"/>
  <c r="AB55" i="10"/>
  <c r="L6" i="10"/>
  <c r="AH7" i="4"/>
  <c r="AI72" i="12"/>
  <c r="AJ72" i="12" s="1"/>
  <c r="AG65" i="10"/>
  <c r="AL65" i="10"/>
  <c r="AW65" i="10"/>
  <c r="AI54" i="12"/>
  <c r="AJ54" i="12"/>
  <c r="AG47" i="10"/>
  <c r="AL47" i="10"/>
  <c r="AW47" i="10"/>
  <c r="AC70" i="4"/>
  <c r="Z64" i="12"/>
  <c r="AA64" i="12"/>
  <c r="AK36" i="4"/>
  <c r="AF12" i="10"/>
  <c r="M19" i="12"/>
  <c r="AH34" i="10"/>
  <c r="AO34" i="10" s="1"/>
  <c r="AF64" i="12"/>
  <c r="AG64" i="12"/>
  <c r="X57" i="10"/>
  <c r="AK57" i="10"/>
  <c r="AU57" i="10"/>
  <c r="AF36" i="10"/>
  <c r="M43" i="12"/>
  <c r="X34" i="10"/>
  <c r="AK34" i="10"/>
  <c r="AU34" i="10"/>
  <c r="Q82" i="14"/>
  <c r="S82" i="14"/>
  <c r="AC75" i="4"/>
  <c r="P82" i="14"/>
  <c r="R82" i="14"/>
  <c r="AB75" i="4"/>
  <c r="T68" i="10"/>
  <c r="Q10" i="14"/>
  <c r="S10" i="14"/>
  <c r="P10" i="14"/>
  <c r="R10" i="14"/>
  <c r="P83" i="14"/>
  <c r="R83" i="14"/>
  <c r="Q83" i="14"/>
  <c r="S83" i="14"/>
  <c r="P9" i="14"/>
  <c r="R9" i="14"/>
  <c r="Q9" i="14"/>
  <c r="S9" i="14"/>
  <c r="AC8" i="4"/>
  <c r="Q73" i="14"/>
  <c r="S73" i="14"/>
  <c r="AC67" i="4"/>
  <c r="P73" i="14"/>
  <c r="R73" i="14"/>
  <c r="AB67" i="4"/>
  <c r="T60" i="10"/>
  <c r="Q13" i="14"/>
  <c r="S13" i="14"/>
  <c r="AC11" i="4"/>
  <c r="P13" i="14"/>
  <c r="R13" i="14"/>
  <c r="AB11" i="4"/>
  <c r="T10" i="10"/>
  <c r="Q44" i="14"/>
  <c r="S44" i="14"/>
  <c r="AC41" i="4"/>
  <c r="P44" i="14"/>
  <c r="R44" i="14"/>
  <c r="AB41" i="4"/>
  <c r="T37" i="10"/>
  <c r="L37" i="10"/>
  <c r="I7" i="4"/>
  <c r="H6" i="10"/>
  <c r="I35" i="4"/>
  <c r="H31" i="10"/>
  <c r="AI38" i="12"/>
  <c r="AJ38" i="12"/>
  <c r="I63" i="4"/>
  <c r="H56" i="10"/>
  <c r="AB39" i="10"/>
  <c r="AF60" i="12"/>
  <c r="AG60" i="12" s="1"/>
  <c r="X53" i="10"/>
  <c r="AK53" i="10"/>
  <c r="AU53" i="10"/>
  <c r="V18" i="10"/>
  <c r="AI19" i="4"/>
  <c r="G24" i="10"/>
  <c r="J25" i="4"/>
  <c r="I24" i="10"/>
  <c r="I25" i="4"/>
  <c r="H24" i="10"/>
  <c r="E24" i="8"/>
  <c r="W59" i="10"/>
  <c r="AF47" i="12"/>
  <c r="AG47" i="12" s="1"/>
  <c r="X40" i="10"/>
  <c r="AK40" i="10"/>
  <c r="AU40" i="10"/>
  <c r="AB43" i="10"/>
  <c r="G63" i="10"/>
  <c r="J70" i="4"/>
  <c r="I63" i="10"/>
  <c r="I70" i="4"/>
  <c r="H63" i="10"/>
  <c r="E69" i="8"/>
  <c r="G12" i="10"/>
  <c r="J13" i="4"/>
  <c r="I12" i="10"/>
  <c r="W12" i="10"/>
  <c r="I13" i="4"/>
  <c r="H12" i="10"/>
  <c r="E12" i="8"/>
  <c r="AF45" i="12"/>
  <c r="AG45" i="12"/>
  <c r="X38" i="10"/>
  <c r="AK38" i="10"/>
  <c r="AU38" i="10"/>
  <c r="AB65" i="10"/>
  <c r="AB47" i="10"/>
  <c r="AF61" i="10"/>
  <c r="M68" i="12"/>
  <c r="AK32" i="4"/>
  <c r="R28" i="10"/>
  <c r="AA28" i="10" s="1"/>
  <c r="AJ28" i="10" s="1"/>
  <c r="AS28" i="10" s="1"/>
  <c r="AY28" i="10" s="1"/>
  <c r="AF37" i="12"/>
  <c r="AG37" i="12" s="1"/>
  <c r="X30" i="10"/>
  <c r="AK30" i="10"/>
  <c r="AU30" i="10"/>
  <c r="AF55" i="12"/>
  <c r="AG55" i="12"/>
  <c r="R53" i="10"/>
  <c r="AA53" i="10" s="1"/>
  <c r="AJ53" i="10" s="1"/>
  <c r="AS53" i="10" s="1"/>
  <c r="AF18" i="10"/>
  <c r="M25" i="12"/>
  <c r="R65" i="10"/>
  <c r="AF53" i="10"/>
  <c r="M60" i="12"/>
  <c r="Z67" i="12"/>
  <c r="AA67" i="12"/>
  <c r="R15" i="10"/>
  <c r="AK16" i="4"/>
  <c r="R12" i="10"/>
  <c r="AF8" i="10"/>
  <c r="M15" i="12"/>
  <c r="W9" i="4"/>
  <c r="W10" i="4"/>
  <c r="W11" i="4"/>
  <c r="W12" i="4"/>
  <c r="W13" i="4"/>
  <c r="W14" i="4"/>
  <c r="W15" i="4"/>
  <c r="W16" i="4"/>
  <c r="W17" i="4"/>
  <c r="W18" i="4"/>
  <c r="W19" i="4"/>
  <c r="W20" i="4"/>
  <c r="W21" i="4"/>
  <c r="W22" i="4"/>
  <c r="W23" i="4"/>
  <c r="W24" i="4"/>
  <c r="W25" i="4"/>
  <c r="W26" i="4"/>
  <c r="W27" i="4"/>
  <c r="W51" i="10"/>
  <c r="Q69" i="14"/>
  <c r="S69" i="14"/>
  <c r="AC63" i="4"/>
  <c r="P69" i="14"/>
  <c r="R69" i="14"/>
  <c r="AB63" i="4"/>
  <c r="T56" i="10"/>
  <c r="W57" i="10"/>
  <c r="W35" i="10"/>
  <c r="P71" i="14"/>
  <c r="R71" i="14"/>
  <c r="AB65" i="4"/>
  <c r="T58" i="10"/>
  <c r="Q71" i="14"/>
  <c r="S71" i="14"/>
  <c r="AC65" i="4"/>
  <c r="P8" i="14"/>
  <c r="R8" i="14"/>
  <c r="AB7" i="4"/>
  <c r="T6" i="10"/>
  <c r="Q8" i="14"/>
  <c r="S8" i="14"/>
  <c r="AC7" i="4"/>
  <c r="L33" i="10"/>
  <c r="AH37" i="4"/>
  <c r="P72" i="14"/>
  <c r="R72" i="14"/>
  <c r="AB66" i="4"/>
  <c r="T59" i="10"/>
  <c r="Q72" i="14"/>
  <c r="S72" i="14"/>
  <c r="AC66" i="4"/>
  <c r="AF25" i="12"/>
  <c r="AG25" i="12" s="1"/>
  <c r="Q65" i="14"/>
  <c r="S65" i="14"/>
  <c r="AC61" i="4"/>
  <c r="P65" i="14"/>
  <c r="R65" i="14"/>
  <c r="AB61" i="4"/>
  <c r="T54" i="10"/>
  <c r="L45" i="10"/>
  <c r="AH49" i="4"/>
  <c r="AI49" i="4" s="1"/>
  <c r="Q33" i="14"/>
  <c r="S33" i="14"/>
  <c r="AC31" i="4"/>
  <c r="P33" i="14"/>
  <c r="R33" i="14"/>
  <c r="AB31" i="4"/>
  <c r="T27" i="10"/>
  <c r="AF33" i="10"/>
  <c r="M40" i="12"/>
  <c r="J7" i="4"/>
  <c r="I6" i="10"/>
  <c r="AF28" i="12"/>
  <c r="AG28" i="12" s="1"/>
  <c r="X21" i="10"/>
  <c r="AK21" i="10"/>
  <c r="AU21" i="10"/>
  <c r="J35" i="4"/>
  <c r="I31" i="10"/>
  <c r="W31" i="10"/>
  <c r="AI19" i="12"/>
  <c r="AJ19" i="12" s="1"/>
  <c r="AG12" i="10"/>
  <c r="AL12" i="10"/>
  <c r="AW12" i="10"/>
  <c r="J63" i="4"/>
  <c r="I56" i="10"/>
  <c r="AF74" i="12"/>
  <c r="AG74" i="12"/>
  <c r="X67" i="10"/>
  <c r="AK67" i="10"/>
  <c r="AU67" i="10"/>
  <c r="W53" i="10"/>
  <c r="L52" i="10"/>
  <c r="AH59" i="4"/>
  <c r="I21" i="4"/>
  <c r="H20" i="10"/>
  <c r="W23" i="10"/>
  <c r="W33" i="12"/>
  <c r="X33" i="12" s="1"/>
  <c r="Y26" i="10"/>
  <c r="AH26" i="10" s="1"/>
  <c r="AO26" i="10" s="1"/>
  <c r="AI27" i="12"/>
  <c r="AJ27" i="12"/>
  <c r="I41" i="4"/>
  <c r="H37" i="10"/>
  <c r="AI28" i="12"/>
  <c r="AJ28" i="12"/>
  <c r="AG21" i="10"/>
  <c r="AL21" i="10"/>
  <c r="AW21" i="10"/>
  <c r="AK65" i="4"/>
  <c r="Q39" i="14"/>
  <c r="S39" i="14"/>
  <c r="AC36" i="4"/>
  <c r="P39" i="14"/>
  <c r="R39" i="14"/>
  <c r="AB36" i="4"/>
  <c r="T32" i="10"/>
  <c r="P31" i="14"/>
  <c r="R31" i="14"/>
  <c r="AB26" i="4"/>
  <c r="T25" i="10"/>
  <c r="Q31" i="14"/>
  <c r="S31" i="14"/>
  <c r="AC26" i="4"/>
  <c r="G64" i="10"/>
  <c r="J71" i="4"/>
  <c r="I64" i="10"/>
  <c r="I71" i="4"/>
  <c r="H64" i="10"/>
  <c r="AI71" i="12"/>
  <c r="AJ71" i="12" s="1"/>
  <c r="E70" i="8"/>
  <c r="I68" i="4"/>
  <c r="H61" i="10"/>
  <c r="AF68" i="12"/>
  <c r="AG68" i="12"/>
  <c r="AG41" i="10"/>
  <c r="AL41" i="10"/>
  <c r="AW41" i="10"/>
  <c r="AK73" i="4"/>
  <c r="AF51" i="10"/>
  <c r="M58" i="12"/>
  <c r="R14" i="10"/>
  <c r="AF72" i="12"/>
  <c r="AG72" i="12" s="1"/>
  <c r="X65" i="10"/>
  <c r="AK65" i="10"/>
  <c r="AU65" i="10"/>
  <c r="AZ65" i="10"/>
  <c r="L29" i="10"/>
  <c r="Q58" i="14"/>
  <c r="S58" i="14"/>
  <c r="AC55" i="4"/>
  <c r="P58" i="14"/>
  <c r="R58" i="14"/>
  <c r="AB55" i="4"/>
  <c r="T48" i="10"/>
  <c r="AA50" i="12"/>
  <c r="AF57" i="12"/>
  <c r="AG57" i="12"/>
  <c r="X50" i="10"/>
  <c r="AK50" i="10"/>
  <c r="AU50" i="10"/>
  <c r="AZ50" i="10"/>
  <c r="AF18" i="12"/>
  <c r="AG18" i="12"/>
  <c r="X11" i="10"/>
  <c r="AK11" i="10"/>
  <c r="AU11" i="10"/>
  <c r="AZ11" i="10"/>
  <c r="W56" i="10"/>
  <c r="W34" i="10"/>
  <c r="Q60" i="14"/>
  <c r="S60" i="14"/>
  <c r="AC57" i="4"/>
  <c r="P60" i="14"/>
  <c r="R60" i="14"/>
  <c r="AB57" i="4"/>
  <c r="T50" i="10"/>
  <c r="W63" i="10"/>
  <c r="P61" i="14"/>
  <c r="R61" i="14"/>
  <c r="AB58" i="4"/>
  <c r="T51" i="10"/>
  <c r="Q61" i="14"/>
  <c r="S61" i="14"/>
  <c r="AC58" i="4"/>
  <c r="L17" i="10"/>
  <c r="AH18" i="4"/>
  <c r="AF61" i="12"/>
  <c r="AG61" i="12" s="1"/>
  <c r="X54" i="10"/>
  <c r="AK54" i="10"/>
  <c r="AU54" i="10"/>
  <c r="Q64" i="14"/>
  <c r="S64" i="14"/>
  <c r="P64" i="14"/>
  <c r="R64" i="14"/>
  <c r="AF29" i="10"/>
  <c r="M36" i="12"/>
  <c r="W33" i="4"/>
  <c r="W34" i="4"/>
  <c r="W35" i="4"/>
  <c r="W36" i="4"/>
  <c r="W37" i="4"/>
  <c r="W38" i="4"/>
  <c r="W39" i="4"/>
  <c r="W40" i="4"/>
  <c r="W41" i="4"/>
  <c r="W42" i="4"/>
  <c r="W43" i="4"/>
  <c r="W44" i="4"/>
  <c r="W45" i="4"/>
  <c r="W46" i="4"/>
  <c r="W47" i="4"/>
  <c r="W48" i="4"/>
  <c r="W49" i="4"/>
  <c r="W50" i="4"/>
  <c r="W51" i="4"/>
  <c r="Q22" i="14"/>
  <c r="S22" i="14"/>
  <c r="AC18" i="4"/>
  <c r="P22" i="14"/>
  <c r="R22" i="14"/>
  <c r="AB18" i="4"/>
  <c r="T17" i="10"/>
  <c r="AF29" i="12"/>
  <c r="AG29" i="12"/>
  <c r="X22" i="10"/>
  <c r="AK22" i="10"/>
  <c r="AU22" i="10"/>
  <c r="I38" i="4"/>
  <c r="H34" i="10"/>
  <c r="AI45" i="12"/>
  <c r="AJ45" i="12" s="1"/>
  <c r="AG38" i="10"/>
  <c r="AL38" i="10"/>
  <c r="AW38" i="10"/>
  <c r="I32" i="4"/>
  <c r="H28" i="10"/>
  <c r="AB12" i="10"/>
  <c r="G9" i="10"/>
  <c r="J10" i="4"/>
  <c r="I9" i="10"/>
  <c r="W9" i="10"/>
  <c r="E9" i="8"/>
  <c r="I10" i="4"/>
  <c r="H9" i="10"/>
  <c r="AF14" i="12"/>
  <c r="AG14" i="12"/>
  <c r="X7" i="10"/>
  <c r="AK7" i="10"/>
  <c r="AU7" i="10"/>
  <c r="Z18" i="12"/>
  <c r="AA18" i="12" s="1"/>
  <c r="AI53" i="12"/>
  <c r="AJ53" i="12" s="1"/>
  <c r="AG46" i="10"/>
  <c r="AL46" i="10"/>
  <c r="AW46" i="10"/>
  <c r="J21" i="4"/>
  <c r="I20" i="10"/>
  <c r="AF30" i="12"/>
  <c r="AG30" i="12"/>
  <c r="X23" i="10"/>
  <c r="AK23" i="10"/>
  <c r="AU23" i="10"/>
  <c r="AH27" i="4"/>
  <c r="W40" i="10"/>
  <c r="AB20" i="10"/>
  <c r="AF15" i="12"/>
  <c r="AG15" i="12"/>
  <c r="X8" i="10"/>
  <c r="AK8" i="10"/>
  <c r="AU8" i="10"/>
  <c r="G48" i="10"/>
  <c r="E92" i="4"/>
  <c r="J55" i="4"/>
  <c r="I48" i="10"/>
  <c r="I55" i="4"/>
  <c r="H48" i="10"/>
  <c r="E54" i="8"/>
  <c r="E91" i="4"/>
  <c r="I91" i="4"/>
  <c r="AF27" i="12"/>
  <c r="AG27" i="12"/>
  <c r="X20" i="10"/>
  <c r="AK20" i="10"/>
  <c r="AU20" i="10"/>
  <c r="W38" i="10"/>
  <c r="AG49" i="10"/>
  <c r="AL49" i="10"/>
  <c r="AW49" i="10"/>
  <c r="AI40" i="12"/>
  <c r="AJ40" i="12" s="1"/>
  <c r="AB21" i="10"/>
  <c r="R49" i="10"/>
  <c r="AF53" i="12"/>
  <c r="AG53" i="12" s="1"/>
  <c r="X46" i="10"/>
  <c r="AK46" i="10"/>
  <c r="AU46" i="10"/>
  <c r="AF26" i="12"/>
  <c r="AG26" i="12"/>
  <c r="X19" i="10"/>
  <c r="AK19" i="10"/>
  <c r="AU19" i="10"/>
  <c r="Q43" i="14"/>
  <c r="S43" i="14"/>
  <c r="AC40" i="4"/>
  <c r="P43" i="14"/>
  <c r="R43" i="14"/>
  <c r="AB40" i="4"/>
  <c r="T36" i="10"/>
  <c r="Q66" i="14"/>
  <c r="S66" i="14"/>
  <c r="P66" i="14"/>
  <c r="R66" i="14"/>
  <c r="AG64" i="10"/>
  <c r="AL64" i="10"/>
  <c r="AW64" i="10"/>
  <c r="AF49" i="10"/>
  <c r="M56" i="12"/>
  <c r="X56" i="4"/>
  <c r="X57" i="4"/>
  <c r="X58" i="4"/>
  <c r="X59" i="4"/>
  <c r="X60" i="4"/>
  <c r="X61" i="4"/>
  <c r="X62" i="4"/>
  <c r="X63" i="4"/>
  <c r="X64" i="4"/>
  <c r="X65" i="4"/>
  <c r="X66" i="4"/>
  <c r="X67" i="4"/>
  <c r="X68" i="4"/>
  <c r="X69" i="4"/>
  <c r="X70" i="4"/>
  <c r="X71" i="4"/>
  <c r="X72" i="4"/>
  <c r="X73" i="4"/>
  <c r="X74" i="4"/>
  <c r="X75" i="4"/>
  <c r="W56" i="4"/>
  <c r="W57" i="4"/>
  <c r="W58" i="4"/>
  <c r="W59" i="4"/>
  <c r="W60" i="4"/>
  <c r="W61" i="4"/>
  <c r="W62" i="4"/>
  <c r="W63" i="4"/>
  <c r="W64" i="4"/>
  <c r="W65" i="4"/>
  <c r="W66" i="4"/>
  <c r="W67" i="4"/>
  <c r="W68" i="4"/>
  <c r="W69" i="4"/>
  <c r="W70" i="4"/>
  <c r="W71" i="4"/>
  <c r="W72" i="4"/>
  <c r="W73" i="4"/>
  <c r="W74" i="4"/>
  <c r="W75" i="4"/>
  <c r="AF10" i="10"/>
  <c r="M17" i="12"/>
  <c r="AK62" i="4"/>
  <c r="AF39" i="10"/>
  <c r="M46" i="12"/>
  <c r="Q50" i="14"/>
  <c r="S50" i="14"/>
  <c r="AC46" i="4"/>
  <c r="P50" i="14"/>
  <c r="R50" i="14"/>
  <c r="AB46" i="4"/>
  <c r="T42" i="10"/>
  <c r="Z22" i="12"/>
  <c r="AA22" i="12" s="1"/>
  <c r="AF56" i="12"/>
  <c r="AG56" i="12"/>
  <c r="X49" i="10"/>
  <c r="AK49" i="10"/>
  <c r="AU49" i="10"/>
  <c r="L27" i="10"/>
  <c r="AH31" i="4"/>
  <c r="Q52" i="14"/>
  <c r="S52" i="14"/>
  <c r="AC48" i="4"/>
  <c r="P52" i="14"/>
  <c r="R52" i="14"/>
  <c r="AB48" i="4"/>
  <c r="T44" i="10"/>
  <c r="AF62" i="12"/>
  <c r="AG62" i="12"/>
  <c r="X55" i="10"/>
  <c r="AK55" i="10"/>
  <c r="AU55" i="10"/>
  <c r="AF33" i="12"/>
  <c r="AG33" i="12" s="1"/>
  <c r="X26" i="10"/>
  <c r="AK26" i="10"/>
  <c r="AU26" i="10"/>
  <c r="P53" i="14"/>
  <c r="R53" i="14"/>
  <c r="AB49" i="4"/>
  <c r="T45" i="10"/>
  <c r="Q53" i="14"/>
  <c r="S53" i="14"/>
  <c r="AC49" i="4"/>
  <c r="Q62" i="14"/>
  <c r="S62" i="14"/>
  <c r="AC59" i="4"/>
  <c r="P62" i="14"/>
  <c r="R62" i="14"/>
  <c r="AB59" i="4"/>
  <c r="T52" i="10"/>
  <c r="I33" i="4"/>
  <c r="H29" i="10"/>
  <c r="L39" i="10"/>
  <c r="Q85" i="14"/>
  <c r="S85" i="14"/>
  <c r="P85" i="14"/>
  <c r="R85" i="14"/>
  <c r="Q14" i="14"/>
  <c r="S14" i="14"/>
  <c r="AC12" i="4"/>
  <c r="P14" i="14"/>
  <c r="R14" i="14"/>
  <c r="AB12" i="4"/>
  <c r="T11" i="10"/>
  <c r="AF31" i="12"/>
  <c r="AG31" i="12"/>
  <c r="X24" i="10"/>
  <c r="AK24" i="10"/>
  <c r="AU24" i="10"/>
  <c r="AF41" i="10"/>
  <c r="M48" i="12"/>
  <c r="I45" i="4"/>
  <c r="H41" i="10"/>
  <c r="AI48" i="12"/>
  <c r="AJ48" i="12" s="1"/>
  <c r="G14" i="10"/>
  <c r="I15" i="4"/>
  <c r="H14" i="10"/>
  <c r="AF21" i="12"/>
  <c r="AG21" i="12"/>
  <c r="J15" i="4"/>
  <c r="I14" i="10"/>
  <c r="Z14" i="10"/>
  <c r="AI14" i="10" s="1"/>
  <c r="AQ14" i="10" s="1"/>
  <c r="AZ14" i="10" s="1"/>
  <c r="E14" i="8"/>
  <c r="E90" i="4"/>
  <c r="I90" i="4"/>
  <c r="AB38" i="10"/>
  <c r="J32" i="4"/>
  <c r="I28" i="10"/>
  <c r="AB28" i="10"/>
  <c r="R64" i="10"/>
  <c r="AC71" i="12" s="1"/>
  <c r="Y191" i="16"/>
  <c r="AA190" i="16"/>
  <c r="AI32" i="4"/>
  <c r="I40" i="4"/>
  <c r="H36" i="10"/>
  <c r="R56" i="10"/>
  <c r="AK63" i="4"/>
  <c r="AF73" i="12"/>
  <c r="AG73" i="12"/>
  <c r="X66" i="10"/>
  <c r="AK66" i="10"/>
  <c r="AU66" i="10"/>
  <c r="W52" i="10"/>
  <c r="AB46" i="10"/>
  <c r="AF17" i="10"/>
  <c r="M24" i="12"/>
  <c r="AF39" i="12"/>
  <c r="AG39" i="12" s="1"/>
  <c r="X32" i="10"/>
  <c r="AK32" i="10"/>
  <c r="AU32" i="10"/>
  <c r="G68" i="10"/>
  <c r="J75" i="4"/>
  <c r="I68" i="10"/>
  <c r="W68" i="10"/>
  <c r="I75" i="4"/>
  <c r="H68" i="10"/>
  <c r="E74" i="8"/>
  <c r="W8" i="10"/>
  <c r="AI73" i="12"/>
  <c r="AJ73" i="12"/>
  <c r="AG66" i="10"/>
  <c r="AL66" i="10"/>
  <c r="AW66" i="10"/>
  <c r="T24" i="14"/>
  <c r="AB20" i="4"/>
  <c r="T19" i="10"/>
  <c r="U24" i="14"/>
  <c r="U25" i="14"/>
  <c r="AB49" i="10"/>
  <c r="AB33" i="10"/>
  <c r="AF26" i="10"/>
  <c r="M33" i="12"/>
  <c r="AF40" i="10"/>
  <c r="M47" i="12"/>
  <c r="W24" i="10"/>
  <c r="Z6" i="16"/>
  <c r="AB5" i="16"/>
  <c r="AB6" i="16"/>
  <c r="Z59" i="12"/>
  <c r="AA59" i="12" s="1"/>
  <c r="AF34" i="10"/>
  <c r="M41" i="12"/>
  <c r="R67" i="10"/>
  <c r="AK74" i="4"/>
  <c r="AF35" i="10"/>
  <c r="M42" i="12"/>
  <c r="R16" i="10"/>
  <c r="AF45" i="10"/>
  <c r="M52" i="12"/>
  <c r="AK23" i="4"/>
  <c r="AF65" i="12"/>
  <c r="AG65" i="12" s="1"/>
  <c r="X58" i="10"/>
  <c r="AK58" i="10"/>
  <c r="AU58" i="10"/>
  <c r="AZ58" i="10"/>
  <c r="Q47" i="14"/>
  <c r="S47" i="14"/>
  <c r="AC44" i="4"/>
  <c r="P47" i="14"/>
  <c r="R47" i="14"/>
  <c r="Y42" i="10"/>
  <c r="AH42" i="10" s="1"/>
  <c r="AO42" i="10" s="1"/>
  <c r="AF60" i="10"/>
  <c r="M67" i="12"/>
  <c r="W49" i="10"/>
  <c r="P41" i="14"/>
  <c r="R41" i="14"/>
  <c r="AB38" i="4"/>
  <c r="T34" i="10"/>
  <c r="Q41" i="14"/>
  <c r="S41" i="14"/>
  <c r="AC38" i="4"/>
  <c r="L68" i="10"/>
  <c r="AH75" i="4"/>
  <c r="AI62" i="4"/>
  <c r="W26" i="10"/>
  <c r="P42" i="14"/>
  <c r="R42" i="14"/>
  <c r="AB39" i="4"/>
  <c r="T35" i="10"/>
  <c r="Q42" i="14"/>
  <c r="S42" i="14"/>
  <c r="AC39" i="4"/>
  <c r="L13" i="10"/>
  <c r="AH14" i="4"/>
  <c r="Q54" i="14"/>
  <c r="S54" i="14"/>
  <c r="P54" i="14"/>
  <c r="R54" i="14"/>
  <c r="Q74" i="14"/>
  <c r="S74" i="14"/>
  <c r="AC68" i="4"/>
  <c r="P74" i="14"/>
  <c r="R74" i="14"/>
  <c r="AB68" i="4"/>
  <c r="T61" i="10"/>
  <c r="AI69" i="12"/>
  <c r="AJ69" i="12" s="1"/>
  <c r="AG62" i="10"/>
  <c r="AL62" i="10"/>
  <c r="AW62" i="10"/>
  <c r="X64" i="10"/>
  <c r="AK64" i="10"/>
  <c r="AU64" i="10"/>
  <c r="L47" i="10"/>
  <c r="W28" i="10"/>
  <c r="J68" i="4"/>
  <c r="I61" i="10"/>
  <c r="X61" i="10"/>
  <c r="AK61" i="10"/>
  <c r="AU61" i="10"/>
  <c r="J49" i="4"/>
  <c r="I45" i="10"/>
  <c r="AF49" i="12"/>
  <c r="AG49" i="12"/>
  <c r="X42" i="10"/>
  <c r="AK42" i="10"/>
  <c r="AU42" i="10"/>
  <c r="AZ42" i="10"/>
  <c r="L60" i="10"/>
  <c r="AH67" i="4"/>
  <c r="R60" i="10" s="1"/>
  <c r="W7" i="10"/>
  <c r="J40" i="4"/>
  <c r="I36" i="10"/>
  <c r="W36" i="10"/>
  <c r="AF63" i="12"/>
  <c r="AG63" i="12"/>
  <c r="X56" i="10"/>
  <c r="AK56" i="10"/>
  <c r="AU56" i="10"/>
  <c r="R48" i="10"/>
  <c r="AC55" i="12" s="1"/>
  <c r="AD55" i="12" s="1"/>
  <c r="AK55" i="4"/>
  <c r="AI73" i="4"/>
  <c r="L9" i="10"/>
  <c r="AH10" i="4"/>
  <c r="AI10" i="4" s="1"/>
  <c r="J19" i="4"/>
  <c r="I18" i="10"/>
  <c r="J11" i="4"/>
  <c r="I10" i="10"/>
  <c r="Z10" i="10"/>
  <c r="AI10" i="10" s="1"/>
  <c r="AQ10" i="10" s="1"/>
  <c r="AZ10" i="10" s="1"/>
  <c r="AI35" i="12"/>
  <c r="AJ35" i="12" s="1"/>
  <c r="AG28" i="10"/>
  <c r="AL28" i="10"/>
  <c r="AW28" i="10"/>
  <c r="I39" i="4"/>
  <c r="H35" i="10"/>
  <c r="W20" i="10"/>
  <c r="AB66" i="10"/>
  <c r="AC20" i="4"/>
  <c r="AF19" i="12"/>
  <c r="AG19" i="12" s="1"/>
  <c r="X12" i="10"/>
  <c r="AK12" i="10"/>
  <c r="AU12" i="10"/>
  <c r="AF23" i="12"/>
  <c r="AG23" i="12"/>
  <c r="AI20" i="12"/>
  <c r="AJ20" i="12"/>
  <c r="AG13" i="10"/>
  <c r="AL13" i="10"/>
  <c r="AW13" i="10"/>
  <c r="Y86" i="16"/>
  <c r="AA85" i="16"/>
  <c r="AK67" i="4"/>
  <c r="R6" i="10"/>
  <c r="AK7" i="4"/>
  <c r="N56" i="12"/>
  <c r="O56" i="12"/>
  <c r="Z56" i="12"/>
  <c r="AA56" i="12"/>
  <c r="N43" i="12"/>
  <c r="O43" i="12"/>
  <c r="Z43" i="12"/>
  <c r="AA43" i="12" s="1"/>
  <c r="N36" i="12"/>
  <c r="O36" i="12" s="1"/>
  <c r="W36" i="12"/>
  <c r="X36" i="12" s="1"/>
  <c r="Z36" i="12"/>
  <c r="AA36" i="12" s="1"/>
  <c r="AI43" i="12"/>
  <c r="AJ43" i="12" s="1"/>
  <c r="AG36" i="10"/>
  <c r="AL36" i="10"/>
  <c r="AW36" i="10"/>
  <c r="AC73" i="12"/>
  <c r="AD73" i="12" s="1"/>
  <c r="Y64" i="10"/>
  <c r="AH64" i="10"/>
  <c r="AO64" i="10" s="1"/>
  <c r="AC65" i="12"/>
  <c r="AD65" i="12" s="1"/>
  <c r="AA58" i="10"/>
  <c r="AJ58" i="10"/>
  <c r="AS58" i="10" s="1"/>
  <c r="AY58" i="10" s="1"/>
  <c r="AI61" i="12"/>
  <c r="AJ61" i="12"/>
  <c r="AG54" i="10"/>
  <c r="AL54" i="10"/>
  <c r="AW54" i="10"/>
  <c r="V6" i="10"/>
  <c r="AB6" i="10"/>
  <c r="AI7" i="4"/>
  <c r="V56" i="10"/>
  <c r="AB56" i="10"/>
  <c r="AI63" i="4"/>
  <c r="N70" i="12"/>
  <c r="O70" i="12" s="1"/>
  <c r="Z70" i="12"/>
  <c r="AA70" i="12" s="1"/>
  <c r="N31" i="12"/>
  <c r="O31" i="12"/>
  <c r="W31" i="12"/>
  <c r="X31" i="12" s="1"/>
  <c r="Z31" i="12"/>
  <c r="AA31" i="12" s="1"/>
  <c r="AI44" i="12"/>
  <c r="AJ44" i="12"/>
  <c r="AG37" i="10"/>
  <c r="AL37" i="10"/>
  <c r="AW37" i="10"/>
  <c r="AG31" i="10"/>
  <c r="AL31" i="10"/>
  <c r="AW31" i="10"/>
  <c r="AF13" i="12"/>
  <c r="AG13" i="12"/>
  <c r="X6" i="10"/>
  <c r="AK6" i="10"/>
  <c r="AU6" i="10"/>
  <c r="R35" i="10"/>
  <c r="AC42" i="12" s="1"/>
  <c r="AD42" i="12" s="1"/>
  <c r="AF58" i="12"/>
  <c r="AG58" i="12"/>
  <c r="X51" i="10"/>
  <c r="AK51" i="10"/>
  <c r="AU51" i="10"/>
  <c r="AI70" i="12"/>
  <c r="AJ70" i="12" s="1"/>
  <c r="AG63" i="10"/>
  <c r="AL63" i="10"/>
  <c r="AW63" i="10"/>
  <c r="AB64" i="10"/>
  <c r="AC60" i="4"/>
  <c r="X14" i="10"/>
  <c r="AK14" i="10"/>
  <c r="AU14" i="10"/>
  <c r="X10" i="10"/>
  <c r="AK10" i="10"/>
  <c r="AU10" i="10"/>
  <c r="AF46" i="12"/>
  <c r="AG46" i="12"/>
  <c r="X39" i="10"/>
  <c r="AK39" i="10"/>
  <c r="AU39" i="10"/>
  <c r="AZ39" i="10"/>
  <c r="AI63" i="12"/>
  <c r="AJ63" i="12"/>
  <c r="AG56" i="10"/>
  <c r="AL56" i="10"/>
  <c r="AW56" i="10"/>
  <c r="G16" i="3"/>
  <c r="B18" i="3"/>
  <c r="Y33" i="10"/>
  <c r="AH33" i="10"/>
  <c r="AO33" i="10" s="1"/>
  <c r="N42" i="12"/>
  <c r="O42" i="12" s="1"/>
  <c r="W42" i="12"/>
  <c r="X42" i="12" s="1"/>
  <c r="AF71" i="12"/>
  <c r="AG71" i="12"/>
  <c r="AF75" i="12"/>
  <c r="AG75" i="12"/>
  <c r="X68" i="10"/>
  <c r="AK68" i="10"/>
  <c r="AU68" i="10"/>
  <c r="AB44" i="4"/>
  <c r="T40" i="10"/>
  <c r="U47" i="14"/>
  <c r="U48" i="14"/>
  <c r="T47" i="14"/>
  <c r="AI59" i="12"/>
  <c r="AJ59" i="12"/>
  <c r="AG52" i="10"/>
  <c r="AL52" i="10"/>
  <c r="AW52" i="10"/>
  <c r="V36" i="10"/>
  <c r="AB36" i="10"/>
  <c r="AG33" i="10"/>
  <c r="AL33" i="10"/>
  <c r="AW33" i="10"/>
  <c r="W18" i="10"/>
  <c r="AH56" i="10"/>
  <c r="AO56" i="10"/>
  <c r="Y6" i="10"/>
  <c r="AH6" i="10"/>
  <c r="AO6" i="10" s="1"/>
  <c r="Z6" i="10"/>
  <c r="AI6" i="10" s="1"/>
  <c r="AQ6" i="10" s="1"/>
  <c r="AZ6" i="10" s="1"/>
  <c r="V54" i="10"/>
  <c r="AB54" i="10"/>
  <c r="AI13" i="12"/>
  <c r="AJ13" i="12"/>
  <c r="AG6" i="10"/>
  <c r="AL6" i="10"/>
  <c r="AW6" i="10"/>
  <c r="AC22" i="12"/>
  <c r="AD22" i="12" s="1"/>
  <c r="AA15" i="10"/>
  <c r="AJ15" i="10" s="1"/>
  <c r="AS15" i="10" s="1"/>
  <c r="AY15" i="10" s="1"/>
  <c r="AC72" i="12"/>
  <c r="AD72" i="12"/>
  <c r="AA65" i="10"/>
  <c r="AJ65" i="10" s="1"/>
  <c r="AS65" i="10" s="1"/>
  <c r="AY65" i="10" s="1"/>
  <c r="Z63" i="10"/>
  <c r="AI63" i="10" s="1"/>
  <c r="AQ63" i="10" s="1"/>
  <c r="AZ63" i="10" s="1"/>
  <c r="Y24" i="10"/>
  <c r="AH24" i="10" s="1"/>
  <c r="AO24" i="10" s="1"/>
  <c r="AQ24" i="10"/>
  <c r="AZ24" i="10"/>
  <c r="N63" i="12"/>
  <c r="O63" i="12" s="1"/>
  <c r="V37" i="10"/>
  <c r="AB37" i="10"/>
  <c r="V7" i="10"/>
  <c r="AB7" i="10"/>
  <c r="AI75" i="12"/>
  <c r="AJ75" i="12" s="1"/>
  <c r="AG68" i="10"/>
  <c r="AL68" i="10"/>
  <c r="AW68" i="10"/>
  <c r="AF42" i="12"/>
  <c r="AG42" i="12"/>
  <c r="X35" i="10"/>
  <c r="AK35" i="10"/>
  <c r="AU35" i="10"/>
  <c r="AC57" i="12"/>
  <c r="AD57" i="12" s="1"/>
  <c r="AA50" i="10"/>
  <c r="AJ50" i="10" s="1"/>
  <c r="AS50" i="10" s="1"/>
  <c r="AY50" i="10" s="1"/>
  <c r="N37" i="12"/>
  <c r="O37" i="12" s="1"/>
  <c r="Z37" i="12"/>
  <c r="AA37" i="12" s="1"/>
  <c r="AC45" i="12"/>
  <c r="AD45" i="12"/>
  <c r="AA38" i="10"/>
  <c r="AJ38" i="10"/>
  <c r="AS38" i="10" s="1"/>
  <c r="AY38" i="10" s="1"/>
  <c r="AF16" i="12"/>
  <c r="AG16" i="12"/>
  <c r="X9" i="10"/>
  <c r="AK9" i="10"/>
  <c r="AU9" i="10"/>
  <c r="N41" i="12"/>
  <c r="O41" i="12" s="1"/>
  <c r="R68" i="10"/>
  <c r="AC75" i="12" s="1"/>
  <c r="AD75" i="12" s="1"/>
  <c r="AK75" i="4"/>
  <c r="X36" i="10"/>
  <c r="AK36" i="10"/>
  <c r="AU36" i="10"/>
  <c r="R13" i="10"/>
  <c r="V34" i="10"/>
  <c r="AB34" i="10"/>
  <c r="AI38" i="4"/>
  <c r="V40" i="10"/>
  <c r="AB40" i="10"/>
  <c r="N75" i="12"/>
  <c r="O75" i="12"/>
  <c r="Z75" i="12"/>
  <c r="AA75" i="12"/>
  <c r="AI18" i="12"/>
  <c r="AJ18" i="12"/>
  <c r="AG11" i="10"/>
  <c r="AL11" i="10"/>
  <c r="AW11" i="10"/>
  <c r="V52" i="10"/>
  <c r="AB52" i="10"/>
  <c r="AI59" i="4"/>
  <c r="AI51" i="12"/>
  <c r="AJ51" i="12"/>
  <c r="AG44" i="10"/>
  <c r="AL44" i="10"/>
  <c r="AW44" i="10"/>
  <c r="N55" i="12"/>
  <c r="O55" i="12" s="1"/>
  <c r="Z55" i="12"/>
  <c r="AA55" i="12" s="1"/>
  <c r="W55" i="12"/>
  <c r="X55" i="12" s="1"/>
  <c r="R26" i="10"/>
  <c r="AK27" i="4"/>
  <c r="AI24" i="12"/>
  <c r="AJ24" i="12" s="1"/>
  <c r="AG17" i="10"/>
  <c r="AL17" i="10"/>
  <c r="AW17" i="10"/>
  <c r="AI57" i="12"/>
  <c r="AJ57" i="12"/>
  <c r="AG50" i="10"/>
  <c r="AL50" i="10"/>
  <c r="AW50" i="10"/>
  <c r="AC21" i="12"/>
  <c r="AD21" i="12" s="1"/>
  <c r="AA14" i="10"/>
  <c r="AJ14" i="10" s="1"/>
  <c r="AS14" i="10" s="1"/>
  <c r="AY14" i="10" s="1"/>
  <c r="N27" i="12"/>
  <c r="O27" i="12" s="1"/>
  <c r="Z27" i="12"/>
  <c r="AA27" i="12" s="1"/>
  <c r="X18" i="10"/>
  <c r="AK18" i="10"/>
  <c r="AU18" i="10"/>
  <c r="V58" i="10"/>
  <c r="AB58" i="10"/>
  <c r="AI65" i="4"/>
  <c r="N38" i="12"/>
  <c r="O38" i="12" s="1"/>
  <c r="Z38" i="12"/>
  <c r="AA38" i="12" s="1"/>
  <c r="AI17" i="12"/>
  <c r="AJ17" i="12" s="1"/>
  <c r="AG10" i="10"/>
  <c r="AL10" i="10"/>
  <c r="AW10" i="10"/>
  <c r="U9" i="14"/>
  <c r="U10" i="14"/>
  <c r="T9" i="14"/>
  <c r="AB8" i="4"/>
  <c r="T7" i="10"/>
  <c r="V68" i="10"/>
  <c r="AB68" i="10"/>
  <c r="AI75" i="4"/>
  <c r="W41" i="12"/>
  <c r="X41" i="12"/>
  <c r="V63" i="10"/>
  <c r="AB63" i="10"/>
  <c r="AI70" i="4"/>
  <c r="V29" i="10"/>
  <c r="AB29" i="10"/>
  <c r="AI33" i="4"/>
  <c r="N33" i="12"/>
  <c r="O33" i="12"/>
  <c r="Z33" i="12"/>
  <c r="AA33" i="12" s="1"/>
  <c r="W64" i="10"/>
  <c r="AC25" i="12"/>
  <c r="AD25" i="12"/>
  <c r="AA18" i="10"/>
  <c r="AJ18" i="10"/>
  <c r="AS18" i="10" s="1"/>
  <c r="V15" i="10"/>
  <c r="AB15" i="10"/>
  <c r="AI16" i="4"/>
  <c r="AF52" i="12"/>
  <c r="AG52" i="12" s="1"/>
  <c r="X45" i="10"/>
  <c r="AK45" i="10"/>
  <c r="AU45" i="10"/>
  <c r="Y16" i="10"/>
  <c r="AH16" i="10" s="1"/>
  <c r="AO16" i="10" s="1"/>
  <c r="R19" i="10"/>
  <c r="AC26" i="12" s="1"/>
  <c r="AD26" i="12" s="1"/>
  <c r="AA48" i="10"/>
  <c r="AJ48" i="10"/>
  <c r="AS48" i="10" s="1"/>
  <c r="Y45" i="10"/>
  <c r="AH45" i="10"/>
  <c r="AO45" i="10" s="1"/>
  <c r="AF43" i="12"/>
  <c r="AG43" i="12" s="1"/>
  <c r="AF20" i="12"/>
  <c r="AG20" i="12" s="1"/>
  <c r="X13" i="10"/>
  <c r="AK13" i="10"/>
  <c r="AU13" i="10"/>
  <c r="AI41" i="12"/>
  <c r="AJ41" i="12"/>
  <c r="AG34" i="10"/>
  <c r="AL34" i="10"/>
  <c r="AW34" i="10"/>
  <c r="AI26" i="12"/>
  <c r="AJ26" i="12" s="1"/>
  <c r="AG19" i="10"/>
  <c r="AL19" i="10"/>
  <c r="AW19" i="10"/>
  <c r="Z68" i="10"/>
  <c r="AI68" i="10" s="1"/>
  <c r="AQ68" i="10" s="1"/>
  <c r="AZ68" i="10" s="1"/>
  <c r="N21" i="12"/>
  <c r="O21" i="12" s="1"/>
  <c r="Z21" i="12"/>
  <c r="AA21" i="12" s="1"/>
  <c r="V11" i="10"/>
  <c r="AB11" i="10"/>
  <c r="AI12" i="4"/>
  <c r="V44" i="10"/>
  <c r="AB44" i="10"/>
  <c r="AI48" i="4"/>
  <c r="AI49" i="12"/>
  <c r="AJ49" i="12"/>
  <c r="AG42" i="10"/>
  <c r="AL42" i="10"/>
  <c r="AW42" i="10"/>
  <c r="Z48" i="10"/>
  <c r="AI48" i="10" s="1"/>
  <c r="AQ48" i="10" s="1"/>
  <c r="AZ48" i="10" s="1"/>
  <c r="Y48" i="10"/>
  <c r="AH48" i="10"/>
  <c r="AO48" i="10" s="1"/>
  <c r="V17" i="10"/>
  <c r="AB17" i="10"/>
  <c r="AI18" i="4"/>
  <c r="V50" i="10"/>
  <c r="AB50" i="10"/>
  <c r="AI57" i="4"/>
  <c r="AI55" i="12"/>
  <c r="AJ55" i="12"/>
  <c r="AG48" i="10"/>
  <c r="AL48" i="10"/>
  <c r="AW48" i="10"/>
  <c r="V25" i="10"/>
  <c r="AB25" i="10"/>
  <c r="N44" i="12"/>
  <c r="O44" i="12" s="1"/>
  <c r="Z44" i="12"/>
  <c r="AA44" i="12" s="1"/>
  <c r="R52" i="10"/>
  <c r="AC59" i="12" s="1"/>
  <c r="AD59" i="12" s="1"/>
  <c r="AK59" i="4"/>
  <c r="AI65" i="12"/>
  <c r="AJ65" i="12"/>
  <c r="AG58" i="10"/>
  <c r="AL58" i="10"/>
  <c r="AW58" i="10"/>
  <c r="V10" i="10"/>
  <c r="AB10" i="10"/>
  <c r="N26" i="12"/>
  <c r="O26" i="12" s="1"/>
  <c r="W26" i="12"/>
  <c r="X26" i="12" s="1"/>
  <c r="AF38" i="12"/>
  <c r="AG38" i="12"/>
  <c r="X31" i="10"/>
  <c r="AK31" i="10"/>
  <c r="AU31" i="10"/>
  <c r="AI15" i="12"/>
  <c r="AJ15" i="12" s="1"/>
  <c r="AG8" i="10"/>
  <c r="AL8" i="10"/>
  <c r="AW8" i="10"/>
  <c r="W6" i="10"/>
  <c r="AI36" i="12"/>
  <c r="AJ36" i="12" s="1"/>
  <c r="AG29" i="10"/>
  <c r="AL29" i="10"/>
  <c r="AW29" i="10"/>
  <c r="N15" i="12"/>
  <c r="O15" i="12"/>
  <c r="Z15" i="12"/>
  <c r="AA15" i="12" s="1"/>
  <c r="AI22" i="12"/>
  <c r="AJ22" i="12" s="1"/>
  <c r="AG15" i="10"/>
  <c r="AL15" i="10"/>
  <c r="AW15" i="10"/>
  <c r="Y18" i="10"/>
  <c r="AH18" i="10"/>
  <c r="AO18" i="10" s="1"/>
  <c r="AF32" i="12"/>
  <c r="AG32" i="12"/>
  <c r="X25" i="10"/>
  <c r="AK25" i="10"/>
  <c r="AU25" i="10"/>
  <c r="AC63" i="12"/>
  <c r="AD63" i="12"/>
  <c r="AA56" i="10"/>
  <c r="AJ56" i="10"/>
  <c r="AS56" i="10"/>
  <c r="AI58" i="12"/>
  <c r="AJ58" i="12"/>
  <c r="AG51" i="10"/>
  <c r="AL51" i="10"/>
  <c r="AW51" i="10"/>
  <c r="AF44" i="12"/>
  <c r="AG44" i="12" s="1"/>
  <c r="X37" i="10"/>
  <c r="AK37" i="10"/>
  <c r="AU37" i="10"/>
  <c r="V16" i="10"/>
  <c r="AB16" i="10"/>
  <c r="AI17" i="4"/>
  <c r="AF48" i="12"/>
  <c r="AG48" i="12" s="1"/>
  <c r="X41" i="10"/>
  <c r="AK41" i="10"/>
  <c r="AU41" i="10"/>
  <c r="AF67" i="12"/>
  <c r="AG67" i="12"/>
  <c r="X60" i="10"/>
  <c r="AK60" i="10"/>
  <c r="AU60" i="10"/>
  <c r="X16" i="10"/>
  <c r="AK16" i="10"/>
  <c r="AU16" i="10"/>
  <c r="V35" i="10"/>
  <c r="AB35" i="10"/>
  <c r="AI39" i="4"/>
  <c r="V45" i="10"/>
  <c r="AB45" i="10"/>
  <c r="AK31" i="4"/>
  <c r="R27" i="10"/>
  <c r="V42" i="10"/>
  <c r="AB42" i="10"/>
  <c r="AI46" i="4"/>
  <c r="AC62" i="12"/>
  <c r="AD62" i="12" s="1"/>
  <c r="AA55" i="10"/>
  <c r="AJ55" i="10"/>
  <c r="AS55" i="10" s="1"/>
  <c r="AI56" i="12"/>
  <c r="AJ56" i="12" s="1"/>
  <c r="I92" i="4"/>
  <c r="N35" i="12"/>
  <c r="O35" i="12"/>
  <c r="AF35" i="12"/>
  <c r="AG35" i="12"/>
  <c r="Z35" i="12"/>
  <c r="AA35" i="12"/>
  <c r="W35" i="12"/>
  <c r="X35" i="12" s="1"/>
  <c r="W45" i="10"/>
  <c r="R17" i="10"/>
  <c r="V48" i="10"/>
  <c r="AB48" i="10"/>
  <c r="AI55" i="4"/>
  <c r="AI32" i="12"/>
  <c r="AJ32" i="12"/>
  <c r="AG25" i="10"/>
  <c r="AL25" i="10"/>
  <c r="AW25" i="10"/>
  <c r="AF59" i="12"/>
  <c r="AG59" i="12"/>
  <c r="X52" i="10"/>
  <c r="AK52" i="10"/>
  <c r="AU52" i="10"/>
  <c r="AZ52" i="10"/>
  <c r="AI34" i="12"/>
  <c r="AJ34" i="12" s="1"/>
  <c r="AG27" i="10"/>
  <c r="AL27" i="10"/>
  <c r="AW27" i="10"/>
  <c r="V59" i="10"/>
  <c r="AB59" i="10"/>
  <c r="AI66" i="4"/>
  <c r="N19" i="12"/>
  <c r="O19" i="12" s="1"/>
  <c r="W19" i="12"/>
  <c r="X19" i="12"/>
  <c r="AB18" i="10"/>
  <c r="AI67" i="12"/>
  <c r="AJ67" i="12"/>
  <c r="AG60" i="10"/>
  <c r="AL60" i="10"/>
  <c r="AW60" i="10"/>
  <c r="AF41" i="12"/>
  <c r="AG41" i="12"/>
  <c r="AG18" i="10"/>
  <c r="AL18" i="10"/>
  <c r="AW18" i="10"/>
  <c r="Y19" i="10"/>
  <c r="AH19" i="10"/>
  <c r="AO19" i="10" s="1"/>
  <c r="W61" i="10"/>
  <c r="AI50" i="4"/>
  <c r="V8" i="10"/>
  <c r="AB8" i="10"/>
  <c r="AC41" i="12"/>
  <c r="AD41" i="12" s="1"/>
  <c r="AA34" i="10"/>
  <c r="AJ34" i="10"/>
  <c r="AS34" i="10"/>
  <c r="N47" i="12"/>
  <c r="O47" i="12"/>
  <c r="Z47" i="12"/>
  <c r="AA47" i="12" s="1"/>
  <c r="AI33" i="12"/>
  <c r="AJ33" i="12" s="1"/>
  <c r="AG26" i="10"/>
  <c r="AL26" i="10"/>
  <c r="AW26" i="10"/>
  <c r="AI31" i="12"/>
  <c r="AJ31" i="12"/>
  <c r="AG24" i="10"/>
  <c r="AL24" i="10"/>
  <c r="AW24" i="10"/>
  <c r="AF54" i="12"/>
  <c r="AG54" i="12" s="1"/>
  <c r="X47" i="10"/>
  <c r="AK47" i="10"/>
  <c r="AU47" i="10"/>
  <c r="AZ47" i="10"/>
  <c r="R51" i="10"/>
  <c r="AK58" i="4"/>
  <c r="AB60" i="4"/>
  <c r="T53" i="10"/>
  <c r="U63" i="14"/>
  <c r="U64" i="14"/>
  <c r="T63" i="14"/>
  <c r="Z36" i="10"/>
  <c r="AI36" i="10" s="1"/>
  <c r="AQ36" i="10" s="1"/>
  <c r="AZ36" i="10" s="1"/>
  <c r="Y36" i="10"/>
  <c r="AH36" i="10" s="1"/>
  <c r="AO36" i="10" s="1"/>
  <c r="AI42" i="12"/>
  <c r="AJ42" i="12"/>
  <c r="AG35" i="10"/>
  <c r="AL35" i="10"/>
  <c r="AW35" i="10"/>
  <c r="AD71" i="12"/>
  <c r="AA64" i="10"/>
  <c r="AJ64" i="10"/>
  <c r="AS64" i="10" s="1"/>
  <c r="N48" i="12"/>
  <c r="O48" i="12"/>
  <c r="W48" i="12"/>
  <c r="X48" i="12"/>
  <c r="Z48" i="12"/>
  <c r="AA48" i="12"/>
  <c r="AI52" i="12"/>
  <c r="AJ52" i="12"/>
  <c r="AG45" i="10"/>
  <c r="AL45" i="10"/>
  <c r="AW45" i="10"/>
  <c r="AF34" i="12"/>
  <c r="AG34" i="12" s="1"/>
  <c r="X27" i="10"/>
  <c r="AK27" i="10"/>
  <c r="AU27" i="10"/>
  <c r="Y14" i="10"/>
  <c r="AH14" i="10"/>
  <c r="AO14" i="10"/>
  <c r="Y20" i="10"/>
  <c r="AH20" i="10" s="1"/>
  <c r="AO20" i="10" s="1"/>
  <c r="Z20" i="10"/>
  <c r="AI20" i="10" s="1"/>
  <c r="AQ20" i="10" s="1"/>
  <c r="AZ20" i="10" s="1"/>
  <c r="N16" i="12"/>
  <c r="O16" i="12"/>
  <c r="W16" i="12"/>
  <c r="AF24" i="12"/>
  <c r="AG24" i="12"/>
  <c r="X17" i="10"/>
  <c r="AK17" i="10"/>
  <c r="AU17" i="10"/>
  <c r="AZ17" i="10"/>
  <c r="R29" i="10"/>
  <c r="AK33" i="4"/>
  <c r="N68" i="12"/>
  <c r="O68" i="12"/>
  <c r="AI39" i="12"/>
  <c r="AJ39" i="12"/>
  <c r="AG32" i="10"/>
  <c r="AL32" i="10"/>
  <c r="AW32" i="10"/>
  <c r="AG20" i="10"/>
  <c r="AL20" i="10"/>
  <c r="AW20" i="10"/>
  <c r="V27" i="10"/>
  <c r="AB27" i="10"/>
  <c r="AI31" i="4"/>
  <c r="AI66" i="12"/>
  <c r="AJ66" i="12"/>
  <c r="AG59" i="10"/>
  <c r="AL59" i="10"/>
  <c r="AW59" i="10"/>
  <c r="AC19" i="12"/>
  <c r="AD19" i="12" s="1"/>
  <c r="AA12" i="10"/>
  <c r="AJ12" i="10"/>
  <c r="AS12" i="10"/>
  <c r="Y12" i="10"/>
  <c r="AH12" i="10" s="1"/>
  <c r="AO12" i="10" s="1"/>
  <c r="N13" i="12"/>
  <c r="O13" i="12" s="1"/>
  <c r="W13" i="12"/>
  <c r="X13" i="12" s="1"/>
  <c r="Z13" i="12"/>
  <c r="AA13" i="12" s="1"/>
  <c r="V60" i="10"/>
  <c r="AB60" i="10"/>
  <c r="AI67" i="4"/>
  <c r="X63" i="10"/>
  <c r="AK63" i="10"/>
  <c r="AU63" i="10"/>
  <c r="V9" i="10"/>
  <c r="AB9" i="10"/>
  <c r="W14" i="10"/>
  <c r="AI21" i="12"/>
  <c r="AJ21" i="12"/>
  <c r="AG14" i="10"/>
  <c r="AL14" i="10"/>
  <c r="AW14" i="10"/>
  <c r="AC51" i="12"/>
  <c r="AD51" i="12"/>
  <c r="AA44" i="10"/>
  <c r="AJ44" i="10"/>
  <c r="AS44" i="10" s="1"/>
  <c r="AY44" i="10" s="1"/>
  <c r="AG30" i="10"/>
  <c r="AL30" i="10"/>
  <c r="AW30" i="10"/>
  <c r="V26" i="10"/>
  <c r="AB26" i="10"/>
  <c r="AI27" i="4"/>
  <c r="AF50" i="12"/>
  <c r="AG50" i="12"/>
  <c r="X43" i="10"/>
  <c r="AK43" i="10"/>
  <c r="AU43" i="10"/>
  <c r="AI29" i="12"/>
  <c r="AJ29" i="12" s="1"/>
  <c r="AG22" i="10"/>
  <c r="AL22" i="10"/>
  <c r="AW22" i="10"/>
  <c r="Y30" i="10"/>
  <c r="AH30" i="10" s="1"/>
  <c r="AO30" i="10" s="1"/>
  <c r="AC18" i="12"/>
  <c r="AD18" i="12" s="1"/>
  <c r="AA11" i="10"/>
  <c r="AJ11" i="10" s="1"/>
  <c r="AS11" i="10" s="1"/>
  <c r="AY11" i="10" s="1"/>
  <c r="V24" i="10"/>
  <c r="AB24" i="10"/>
  <c r="AI25" i="4"/>
  <c r="V61" i="10"/>
  <c r="AB61" i="10"/>
  <c r="Y9" i="10"/>
  <c r="AH9" i="10" s="1"/>
  <c r="AO9" i="10" s="1"/>
  <c r="Z9" i="10"/>
  <c r="AI9" i="10" s="1"/>
  <c r="AQ9" i="10" s="1"/>
  <c r="AZ9" i="10" s="1"/>
  <c r="N71" i="12"/>
  <c r="O71" i="12" s="1"/>
  <c r="W71" i="12"/>
  <c r="X71" i="12" s="1"/>
  <c r="AF40" i="12"/>
  <c r="AG40" i="12"/>
  <c r="X33" i="10"/>
  <c r="AK33" i="10"/>
  <c r="AU33" i="10"/>
  <c r="V19" i="10"/>
  <c r="AB19" i="10"/>
  <c r="AI20" i="4"/>
  <c r="R9" i="10"/>
  <c r="AK10" i="4"/>
  <c r="AI68" i="12"/>
  <c r="AJ68" i="12" s="1"/>
  <c r="AG61" i="10"/>
  <c r="AL61" i="10"/>
  <c r="AW61" i="10"/>
  <c r="AC23" i="12"/>
  <c r="AD23" i="12" s="1"/>
  <c r="AA16" i="10"/>
  <c r="AJ16" i="10"/>
  <c r="AS16" i="10"/>
  <c r="X28" i="10"/>
  <c r="AK28" i="10"/>
  <c r="AU28" i="10"/>
  <c r="Z28" i="10"/>
  <c r="AI28" i="10"/>
  <c r="AQ28" i="10"/>
  <c r="AZ28" i="10" s="1"/>
  <c r="Y28" i="10"/>
  <c r="AH28" i="10"/>
  <c r="AO28" i="10" s="1"/>
  <c r="W21" i="12"/>
  <c r="X21" i="12"/>
  <c r="V51" i="10"/>
  <c r="AB51" i="10"/>
  <c r="AI58" i="4"/>
  <c r="AF36" i="12"/>
  <c r="AG36" i="12"/>
  <c r="X29" i="10"/>
  <c r="AK29" i="10"/>
  <c r="AU29" i="10"/>
  <c r="AZ29" i="10"/>
  <c r="V32" i="10"/>
  <c r="AB32" i="10"/>
  <c r="AI36" i="4"/>
  <c r="Z31" i="10"/>
  <c r="AI31" i="10"/>
  <c r="AQ31" i="10"/>
  <c r="AZ31" i="10" s="1"/>
  <c r="R33" i="10"/>
  <c r="AC40" i="12" s="1"/>
  <c r="AK37" i="4"/>
  <c r="AI37" i="4"/>
  <c r="X48" i="10"/>
  <c r="AK48" i="10"/>
  <c r="AU48" i="10"/>
  <c r="AB31" i="10"/>
  <c r="AF70" i="12"/>
  <c r="AG70" i="12"/>
  <c r="AC39" i="12"/>
  <c r="AD39" i="12" s="1"/>
  <c r="AA32" i="10"/>
  <c r="AJ32" i="10" s="1"/>
  <c r="AS32" i="10" s="1"/>
  <c r="AY32" i="10" s="1"/>
  <c r="AI23" i="12"/>
  <c r="AJ23" i="12"/>
  <c r="AG16" i="10"/>
  <c r="AL16" i="10"/>
  <c r="AW16" i="10"/>
  <c r="AI16" i="12"/>
  <c r="AJ16" i="12" s="1"/>
  <c r="AG9" i="10"/>
  <c r="AL9" i="10"/>
  <c r="AW9" i="10"/>
  <c r="V14" i="10"/>
  <c r="AB14" i="10"/>
  <c r="AI15" i="4"/>
  <c r="N23" i="12"/>
  <c r="O23" i="12" s="1"/>
  <c r="W23" i="12"/>
  <c r="X23" i="12" s="1"/>
  <c r="N58" i="12"/>
  <c r="O58" i="12"/>
  <c r="Z58" i="12"/>
  <c r="AA58" i="12" s="1"/>
  <c r="W58" i="12"/>
  <c r="X58" i="12" s="1"/>
  <c r="AI37" i="12"/>
  <c r="AJ37" i="12" s="1"/>
  <c r="W10" i="10"/>
  <c r="V22" i="10"/>
  <c r="AB22" i="10"/>
  <c r="AI23" i="4"/>
  <c r="W37" i="12"/>
  <c r="X37" i="12" s="1"/>
  <c r="AK45" i="4"/>
  <c r="AY41" i="10"/>
  <c r="AC16" i="12"/>
  <c r="AD16" i="12" s="1"/>
  <c r="AA9" i="10"/>
  <c r="AJ9" i="10" s="1"/>
  <c r="AS9" i="10" s="1"/>
  <c r="AY9" i="10" s="1"/>
  <c r="AI14" i="12"/>
  <c r="AJ14" i="12"/>
  <c r="AG7" i="10"/>
  <c r="AL7" i="10"/>
  <c r="AW7" i="10"/>
  <c r="AC36" i="12"/>
  <c r="AD36" i="12" s="1"/>
  <c r="AA29" i="10"/>
  <c r="AJ29" i="10" s="1"/>
  <c r="AS29" i="10" s="1"/>
  <c r="AY29" i="10"/>
  <c r="AA68" i="10"/>
  <c r="AJ68" i="10"/>
  <c r="AS68" i="10" s="1"/>
  <c r="AY68" i="10" s="1"/>
  <c r="AI47" i="12"/>
  <c r="AJ47" i="12"/>
  <c r="AG40" i="10"/>
  <c r="AL40" i="10"/>
  <c r="AW40" i="10"/>
  <c r="AI60" i="12"/>
  <c r="AJ60" i="12" s="1"/>
  <c r="AG53" i="10"/>
  <c r="AL53" i="10"/>
  <c r="AW53" i="10"/>
  <c r="AC34" i="12"/>
  <c r="AD34" i="12" s="1"/>
  <c r="AA27" i="10"/>
  <c r="AJ27" i="10"/>
  <c r="AS27" i="10" s="1"/>
  <c r="AY27" i="10" s="1"/>
  <c r="AC33" i="12"/>
  <c r="AD33" i="12" s="1"/>
  <c r="AA26" i="10"/>
  <c r="AJ26" i="10" s="1"/>
  <c r="AS26" i="10" s="1"/>
  <c r="AY26" i="10" s="1"/>
  <c r="AD40" i="12"/>
  <c r="AA33" i="10"/>
  <c r="AJ33" i="10"/>
  <c r="AS33" i="10" s="1"/>
  <c r="G17" i="3"/>
  <c r="B19" i="3"/>
  <c r="AA35" i="10"/>
  <c r="AJ35" i="10"/>
  <c r="AS35" i="10" s="1"/>
  <c r="AC13" i="12"/>
  <c r="AD13" i="12" s="1"/>
  <c r="AA6" i="10"/>
  <c r="AJ6" i="10"/>
  <c r="AS6" i="10" s="1"/>
  <c r="AY6" i="10" s="1"/>
  <c r="AC58" i="12"/>
  <c r="AD58" i="12" s="1"/>
  <c r="AA51" i="10"/>
  <c r="AJ51" i="10" s="1"/>
  <c r="AS51" i="10" s="1"/>
  <c r="AY51" i="10" s="1"/>
  <c r="V53" i="10"/>
  <c r="AB53" i="10"/>
  <c r="AI60" i="4"/>
  <c r="AC67" i="12"/>
  <c r="AD67" i="12"/>
  <c r="AA60" i="10"/>
  <c r="AJ60" i="10"/>
  <c r="AS60" i="10" s="1"/>
  <c r="AY60" i="10" s="1"/>
  <c r="AC24" i="12"/>
  <c r="AD24" i="12"/>
  <c r="AA17" i="10"/>
  <c r="AJ17" i="10"/>
  <c r="AS17" i="10" s="1"/>
  <c r="AY17" i="10" s="1"/>
  <c r="AA52" i="10"/>
  <c r="AJ52" i="10" s="1"/>
  <c r="AS52" i="10" s="1"/>
  <c r="AY52" i="10" s="1"/>
  <c r="AC20" i="12"/>
  <c r="AD20" i="12" s="1"/>
  <c r="AA13" i="10"/>
  <c r="AJ13" i="10" s="1"/>
  <c r="AS13" i="10" s="1"/>
  <c r="B20" i="3"/>
  <c r="G18" i="3"/>
  <c r="G19" i="3"/>
  <c r="B21" i="3"/>
  <c r="B22" i="3"/>
  <c r="G20" i="3"/>
  <c r="G21" i="3"/>
  <c r="B23" i="3"/>
  <c r="G22" i="3"/>
  <c r="B24" i="3"/>
  <c r="B25" i="3"/>
  <c r="G23" i="3"/>
  <c r="G24" i="3"/>
  <c r="B26" i="3"/>
  <c r="G25" i="3"/>
  <c r="B27" i="3"/>
  <c r="B28" i="3"/>
  <c r="G26" i="3"/>
  <c r="G27" i="3"/>
  <c r="B29" i="3"/>
  <c r="B30" i="3"/>
  <c r="G28" i="3"/>
  <c r="G29" i="3"/>
  <c r="B31" i="3"/>
  <c r="G30" i="3"/>
  <c r="B32" i="3"/>
  <c r="B33" i="3"/>
  <c r="G31" i="3"/>
  <c r="G32" i="3"/>
  <c r="B34" i="3"/>
  <c r="G33" i="3"/>
  <c r="B35" i="3"/>
  <c r="B36" i="3"/>
  <c r="C37" i="3"/>
  <c r="G34" i="3"/>
  <c r="G35" i="3"/>
  <c r="AY13" i="10" l="1"/>
  <c r="Z18" i="10"/>
  <c r="AI18" i="10" s="1"/>
  <c r="AQ18" i="10" s="1"/>
  <c r="AZ18" i="10" s="1"/>
  <c r="Z25" i="12"/>
  <c r="AA25" i="12" s="1"/>
  <c r="Z19" i="12"/>
  <c r="AA19" i="12" s="1"/>
  <c r="Z12" i="10"/>
  <c r="AI12" i="10" s="1"/>
  <c r="AQ12" i="10" s="1"/>
  <c r="AZ12" i="10" s="1"/>
  <c r="AY12" i="10"/>
  <c r="AY48" i="10"/>
  <c r="R25" i="10"/>
  <c r="AK26" i="4"/>
  <c r="AI26" i="4"/>
  <c r="AK21" i="4"/>
  <c r="R20" i="10"/>
  <c r="AI21" i="4"/>
  <c r="R36" i="10"/>
  <c r="AK40" i="4"/>
  <c r="N7" i="10"/>
  <c r="AH8" i="4"/>
  <c r="AK9" i="4"/>
  <c r="R8" i="10"/>
  <c r="W28" i="12"/>
  <c r="X28" i="12" s="1"/>
  <c r="Y21" i="10"/>
  <c r="AH21" i="10" s="1"/>
  <c r="AO21" i="10" s="1"/>
  <c r="N43" i="10"/>
  <c r="AH47" i="4"/>
  <c r="AH68" i="4"/>
  <c r="N61" i="10"/>
  <c r="Z73" i="12"/>
  <c r="AA73" i="12" s="1"/>
  <c r="Z66" i="10"/>
  <c r="AI66" i="10" s="1"/>
  <c r="AQ66" i="10" s="1"/>
  <c r="AZ66" i="10" s="1"/>
  <c r="AC56" i="12"/>
  <c r="AD56" i="12" s="1"/>
  <c r="AA49" i="10"/>
  <c r="AJ49" i="10" s="1"/>
  <c r="AS49" i="10" s="1"/>
  <c r="AY49" i="10" s="1"/>
  <c r="W53" i="12"/>
  <c r="X53" i="12" s="1"/>
  <c r="Y46" i="10"/>
  <c r="AH46" i="10" s="1"/>
  <c r="AO46" i="10" s="1"/>
  <c r="N8" i="10"/>
  <c r="Y11" i="10"/>
  <c r="AH11" i="10" s="1"/>
  <c r="AO11" i="10" s="1"/>
  <c r="W18" i="12"/>
  <c r="X18" i="12" s="1"/>
  <c r="Z19" i="10"/>
  <c r="AI19" i="10" s="1"/>
  <c r="AQ19" i="10" s="1"/>
  <c r="AZ19" i="10" s="1"/>
  <c r="Z26" i="12"/>
  <c r="AA26" i="12" s="1"/>
  <c r="AI22" i="4"/>
  <c r="R21" i="10"/>
  <c r="AK22" i="4"/>
  <c r="Z40" i="12"/>
  <c r="AA40" i="12" s="1"/>
  <c r="Z33" i="10"/>
  <c r="AI33" i="10" s="1"/>
  <c r="AQ33" i="10" s="1"/>
  <c r="AZ33" i="10" s="1"/>
  <c r="N37" i="10"/>
  <c r="AH41" i="4"/>
  <c r="Z55" i="10"/>
  <c r="AI55" i="10" s="1"/>
  <c r="AQ55" i="10" s="1"/>
  <c r="AZ55" i="10" s="1"/>
  <c r="Z62" i="12"/>
  <c r="AA62" i="12" s="1"/>
  <c r="Z64" i="10"/>
  <c r="AI64" i="10" s="1"/>
  <c r="AQ64" i="10" s="1"/>
  <c r="AZ64" i="10" s="1"/>
  <c r="Z71" i="12"/>
  <c r="AA71" i="12" s="1"/>
  <c r="Z67" i="10"/>
  <c r="AI67" i="10" s="1"/>
  <c r="AQ67" i="10" s="1"/>
  <c r="AZ67" i="10" s="1"/>
  <c r="Z74" i="12"/>
  <c r="AA74" i="12" s="1"/>
  <c r="Y68" i="10"/>
  <c r="AH68" i="10" s="1"/>
  <c r="AO68" i="10" s="1"/>
  <c r="W75" i="12"/>
  <c r="X75" i="12" s="1"/>
  <c r="AY56" i="10"/>
  <c r="AY18" i="10"/>
  <c r="AA59" i="10"/>
  <c r="AJ59" i="10" s="1"/>
  <c r="AS59" i="10" s="1"/>
  <c r="AY59" i="10" s="1"/>
  <c r="AC66" i="12"/>
  <c r="AD66" i="12" s="1"/>
  <c r="AK19" i="4"/>
  <c r="Z54" i="10"/>
  <c r="AI54" i="10" s="1"/>
  <c r="AQ54" i="10" s="1"/>
  <c r="AZ54" i="10" s="1"/>
  <c r="N47" i="10"/>
  <c r="AH51" i="4"/>
  <c r="Y57" i="10"/>
  <c r="AH57" i="10" s="1"/>
  <c r="AO57" i="10" s="1"/>
  <c r="W64" i="12"/>
  <c r="X64" i="12" s="1"/>
  <c r="AC60" i="12"/>
  <c r="AD60" i="12" s="1"/>
  <c r="AA24" i="10"/>
  <c r="AJ24" i="10" s="1"/>
  <c r="AS24" i="10" s="1"/>
  <c r="AY24" i="10" s="1"/>
  <c r="W63" i="12"/>
  <c r="X63" i="12" s="1"/>
  <c r="Y63" i="10"/>
  <c r="AH63" i="10" s="1"/>
  <c r="AO63" i="10" s="1"/>
  <c r="W17" i="12"/>
  <c r="X17" i="12" s="1"/>
  <c r="AA67" i="10"/>
  <c r="AJ67" i="10" s="1"/>
  <c r="AS67" i="10" s="1"/>
  <c r="AC74" i="12"/>
  <c r="AD74" i="12" s="1"/>
  <c r="AK34" i="4"/>
  <c r="R30" i="10"/>
  <c r="AH35" i="4"/>
  <c r="N31" i="10"/>
  <c r="AC48" i="12"/>
  <c r="AD48" i="12" s="1"/>
  <c r="AC35" i="12"/>
  <c r="AD35" i="12" s="1"/>
  <c r="R46" i="10"/>
  <c r="AK50" i="4"/>
  <c r="Z30" i="12"/>
  <c r="AA30" i="12" s="1"/>
  <c r="Z23" i="10"/>
  <c r="AI23" i="10" s="1"/>
  <c r="AQ23" i="10" s="1"/>
  <c r="AZ23" i="10" s="1"/>
  <c r="AK49" i="4"/>
  <c r="AY64" i="10"/>
  <c r="Z53" i="10"/>
  <c r="AI53" i="10" s="1"/>
  <c r="AQ53" i="10" s="1"/>
  <c r="AZ53" i="10" s="1"/>
  <c r="AI40" i="4"/>
  <c r="AK13" i="4"/>
  <c r="W22" i="12"/>
  <c r="X22" i="12" s="1"/>
  <c r="AY66" i="10"/>
  <c r="AH11" i="4"/>
  <c r="Z62" i="10"/>
  <c r="AI62" i="10" s="1"/>
  <c r="AQ62" i="10" s="1"/>
  <c r="AZ62" i="10" s="1"/>
  <c r="Z69" i="12"/>
  <c r="AA69" i="12" s="1"/>
  <c r="AA19" i="10"/>
  <c r="AJ19" i="10" s="1"/>
  <c r="AS19" i="10" s="1"/>
  <c r="AY19" i="10" s="1"/>
  <c r="AI45" i="4"/>
  <c r="R45" i="10"/>
  <c r="Z68" i="12"/>
  <c r="AA68" i="12" s="1"/>
  <c r="AI9" i="4"/>
  <c r="AK14" i="4"/>
  <c r="AI14" i="4"/>
  <c r="Z52" i="12"/>
  <c r="AA52" i="12" s="1"/>
  <c r="AI69" i="4"/>
  <c r="R62" i="10"/>
  <c r="AK69" i="4"/>
  <c r="P16" i="10"/>
  <c r="AK20" i="4"/>
  <c r="Z56" i="10"/>
  <c r="AI56" i="10" s="1"/>
  <c r="AQ56" i="10" s="1"/>
  <c r="AZ56" i="10" s="1"/>
  <c r="Z63" i="12"/>
  <c r="AA63" i="12" s="1"/>
  <c r="R57" i="10"/>
  <c r="AK64" i="4"/>
  <c r="AA22" i="10"/>
  <c r="AJ22" i="10" s="1"/>
  <c r="AS22" i="10" s="1"/>
  <c r="AY22" i="10" s="1"/>
  <c r="AC29" i="12"/>
  <c r="AD29" i="12" s="1"/>
  <c r="AI71" i="4"/>
  <c r="AK71" i="4"/>
  <c r="AH24" i="4"/>
  <c r="N23" i="10"/>
  <c r="P35" i="10"/>
  <c r="W57" i="12"/>
  <c r="X57" i="12" s="1"/>
  <c r="Y50" i="10"/>
  <c r="AH50" i="10" s="1"/>
  <c r="AO50" i="10" s="1"/>
  <c r="Z41" i="12"/>
  <c r="AA41" i="12" s="1"/>
  <c r="Z34" i="10"/>
  <c r="AI34" i="10" s="1"/>
  <c r="AQ34" i="10" s="1"/>
  <c r="AZ34" i="10" s="1"/>
  <c r="N39" i="10"/>
  <c r="AH43" i="4"/>
  <c r="Z66" i="12"/>
  <c r="AA66" i="12" s="1"/>
  <c r="Z59" i="10"/>
  <c r="AI59" i="10" s="1"/>
  <c r="AQ59" i="10" s="1"/>
  <c r="AZ59" i="10" s="1"/>
  <c r="AK70" i="4"/>
  <c r="R63" i="10"/>
  <c r="R42" i="10"/>
  <c r="AK46" i="4"/>
  <c r="Y53" i="10"/>
  <c r="AH53" i="10" s="1"/>
  <c r="AO53" i="10" s="1"/>
  <c r="W60" i="12"/>
  <c r="X60" i="12" s="1"/>
  <c r="AK60" i="4"/>
  <c r="AK42" i="4"/>
  <c r="AI42" i="4"/>
  <c r="Y32" i="10"/>
  <c r="AH32" i="10" s="1"/>
  <c r="AO32" i="10" s="1"/>
  <c r="W39" i="12"/>
  <c r="X39" i="12" s="1"/>
  <c r="AH44" i="4"/>
  <c r="N40" i="10"/>
  <c r="AK15" i="4"/>
  <c r="N54" i="10"/>
  <c r="AH61" i="4"/>
  <c r="Z16" i="10" l="1"/>
  <c r="AI16" i="10" s="1"/>
  <c r="AQ16" i="10" s="1"/>
  <c r="Z23" i="12"/>
  <c r="AA23" i="12" s="1"/>
  <c r="R43" i="10"/>
  <c r="AK47" i="4"/>
  <c r="AI47" i="4"/>
  <c r="AC49" i="12"/>
  <c r="AD49" i="12" s="1"/>
  <c r="AA42" i="10"/>
  <c r="AJ42" i="10" s="1"/>
  <c r="AS42" i="10" s="1"/>
  <c r="AY42" i="10" s="1"/>
  <c r="AC52" i="12"/>
  <c r="AD52" i="12" s="1"/>
  <c r="AA45" i="10"/>
  <c r="AJ45" i="10" s="1"/>
  <c r="AS45" i="10" s="1"/>
  <c r="AY45" i="10" s="1"/>
  <c r="AC53" i="12"/>
  <c r="AD53" i="12" s="1"/>
  <c r="AA46" i="10"/>
  <c r="AJ46" i="10" s="1"/>
  <c r="AS46" i="10" s="1"/>
  <c r="AY46" i="10" s="1"/>
  <c r="AY67" i="10"/>
  <c r="AY53" i="10"/>
  <c r="AA21" i="10"/>
  <c r="AJ21" i="10" s="1"/>
  <c r="AS21" i="10" s="1"/>
  <c r="AY21" i="10" s="1"/>
  <c r="AC28" i="12"/>
  <c r="AD28" i="12" s="1"/>
  <c r="W50" i="12"/>
  <c r="X50" i="12" s="1"/>
  <c r="Y43" i="10"/>
  <c r="AH43" i="10" s="1"/>
  <c r="AO43" i="10" s="1"/>
  <c r="AC43" i="12"/>
  <c r="AD43" i="12" s="1"/>
  <c r="AA36" i="10"/>
  <c r="AJ36" i="10" s="1"/>
  <c r="AS36" i="10" s="1"/>
  <c r="AY36" i="10" s="1"/>
  <c r="AA63" i="10"/>
  <c r="AJ63" i="10" s="1"/>
  <c r="AS63" i="10" s="1"/>
  <c r="AY63" i="10" s="1"/>
  <c r="AC70" i="12"/>
  <c r="AD70" i="12" s="1"/>
  <c r="AA62" i="10"/>
  <c r="AJ62" i="10" s="1"/>
  <c r="AS62" i="10" s="1"/>
  <c r="AY62" i="10" s="1"/>
  <c r="AC69" i="12"/>
  <c r="AD69" i="12" s="1"/>
  <c r="AK61" i="4"/>
  <c r="R54" i="10"/>
  <c r="AI61" i="4"/>
  <c r="Z35" i="10"/>
  <c r="AI35" i="10" s="1"/>
  <c r="AQ35" i="10" s="1"/>
  <c r="Z42" i="12"/>
  <c r="AA42" i="12" s="1"/>
  <c r="AC64" i="12"/>
  <c r="AD64" i="12" s="1"/>
  <c r="AA57" i="10"/>
  <c r="AJ57" i="10" s="1"/>
  <c r="AS57" i="10" s="1"/>
  <c r="AY57" i="10" s="1"/>
  <c r="W38" i="12"/>
  <c r="X38" i="12" s="1"/>
  <c r="Y31" i="10"/>
  <c r="AH31" i="10" s="1"/>
  <c r="AO31" i="10" s="1"/>
  <c r="AK41" i="4"/>
  <c r="AI41" i="4"/>
  <c r="R37" i="10"/>
  <c r="AC15" i="12"/>
  <c r="AD15" i="12" s="1"/>
  <c r="AA8" i="10"/>
  <c r="AJ8" i="10" s="1"/>
  <c r="AS8" i="10" s="1"/>
  <c r="AY8" i="10" s="1"/>
  <c r="R47" i="10"/>
  <c r="AK51" i="4"/>
  <c r="AI51" i="4"/>
  <c r="Y47" i="10"/>
  <c r="AH47" i="10" s="1"/>
  <c r="AO47" i="10" s="1"/>
  <c r="W54" i="12"/>
  <c r="X54" i="12" s="1"/>
  <c r="AC27" i="12"/>
  <c r="AD27" i="12" s="1"/>
  <c r="AA20" i="10"/>
  <c r="AJ20" i="10" s="1"/>
  <c r="AS20" i="10" s="1"/>
  <c r="AY20" i="10" s="1"/>
  <c r="Y54" i="10"/>
  <c r="AH54" i="10" s="1"/>
  <c r="AO54" i="10" s="1"/>
  <c r="W61" i="12"/>
  <c r="X61" i="12" s="1"/>
  <c r="W30" i="12"/>
  <c r="X30" i="12" s="1"/>
  <c r="Y23" i="10"/>
  <c r="AH23" i="10" s="1"/>
  <c r="AO23" i="10" s="1"/>
  <c r="AK35" i="4"/>
  <c r="AI35" i="4"/>
  <c r="R31" i="10"/>
  <c r="Y37" i="10"/>
  <c r="AH37" i="10" s="1"/>
  <c r="AO37" i="10" s="1"/>
  <c r="W44" i="12"/>
  <c r="X44" i="12" s="1"/>
  <c r="AY33" i="10"/>
  <c r="AC37" i="12"/>
  <c r="AD37" i="12" s="1"/>
  <c r="AA30" i="10"/>
  <c r="AJ30" i="10" s="1"/>
  <c r="AS30" i="10" s="1"/>
  <c r="AY30" i="10" s="1"/>
  <c r="AY55" i="10"/>
  <c r="AY34" i="10"/>
  <c r="Y61" i="10"/>
  <c r="AH61" i="10" s="1"/>
  <c r="AO61" i="10" s="1"/>
  <c r="W68" i="12"/>
  <c r="X68" i="12" s="1"/>
  <c r="AI8" i="4"/>
  <c r="R7" i="10"/>
  <c r="AK8" i="4"/>
  <c r="R40" i="10"/>
  <c r="AK44" i="4"/>
  <c r="AI44" i="4"/>
  <c r="R39" i="10"/>
  <c r="AK43" i="4"/>
  <c r="AI43" i="4"/>
  <c r="AK24" i="4"/>
  <c r="AI24" i="4"/>
  <c r="R23" i="10"/>
  <c r="R10" i="10"/>
  <c r="AK11" i="4"/>
  <c r="AI11" i="4"/>
  <c r="Y40" i="10"/>
  <c r="AH40" i="10" s="1"/>
  <c r="AO40" i="10" s="1"/>
  <c r="W47" i="12"/>
  <c r="X47" i="12" s="1"/>
  <c r="Y39" i="10"/>
  <c r="AH39" i="10" s="1"/>
  <c r="AO39" i="10" s="1"/>
  <c r="W46" i="12"/>
  <c r="X46" i="12" s="1"/>
  <c r="Y8" i="10"/>
  <c r="AH8" i="10" s="1"/>
  <c r="AO8" i="10" s="1"/>
  <c r="W15" i="12"/>
  <c r="X15" i="12" s="1"/>
  <c r="R61" i="10"/>
  <c r="AK68" i="4"/>
  <c r="AI68" i="4"/>
  <c r="W14" i="12"/>
  <c r="X14" i="12" s="1"/>
  <c r="Y7" i="10"/>
  <c r="AH7" i="10" s="1"/>
  <c r="AO7" i="10" s="1"/>
  <c r="AA25" i="10"/>
  <c r="AJ25" i="10" s="1"/>
  <c r="AS25" i="10" s="1"/>
  <c r="AY25" i="10" s="1"/>
  <c r="AC32" i="12"/>
  <c r="AD32" i="12" s="1"/>
  <c r="AC14" i="12" l="1"/>
  <c r="AD14" i="12" s="1"/>
  <c r="AA7" i="10"/>
  <c r="AJ7" i="10" s="1"/>
  <c r="AS7" i="10" s="1"/>
  <c r="AY7" i="10" s="1"/>
  <c r="AA47" i="10"/>
  <c r="AJ47" i="10" s="1"/>
  <c r="AS47" i="10" s="1"/>
  <c r="AY47" i="10" s="1"/>
  <c r="AC54" i="12"/>
  <c r="AD54" i="12" s="1"/>
  <c r="AA23" i="10"/>
  <c r="AJ23" i="10" s="1"/>
  <c r="AS23" i="10" s="1"/>
  <c r="AY23" i="10" s="1"/>
  <c r="AC30" i="12"/>
  <c r="AD30" i="12" s="1"/>
  <c r="AA39" i="10"/>
  <c r="AJ39" i="10" s="1"/>
  <c r="AS39" i="10" s="1"/>
  <c r="AY39" i="10" s="1"/>
  <c r="AC46" i="12"/>
  <c r="AD46" i="12" s="1"/>
  <c r="AA31" i="10"/>
  <c r="AJ31" i="10" s="1"/>
  <c r="AS31" i="10" s="1"/>
  <c r="AY31" i="10" s="1"/>
  <c r="AC38" i="12"/>
  <c r="AD38" i="12" s="1"/>
  <c r="AC44" i="12"/>
  <c r="AD44" i="12" s="1"/>
  <c r="AA37" i="10"/>
  <c r="AJ37" i="10" s="1"/>
  <c r="AS37" i="10" s="1"/>
  <c r="AY37" i="10" s="1"/>
  <c r="AZ35" i="10"/>
  <c r="AY35" i="10"/>
  <c r="AA43" i="10"/>
  <c r="AJ43" i="10" s="1"/>
  <c r="AS43" i="10" s="1"/>
  <c r="AY43" i="10" s="1"/>
  <c r="AC50" i="12"/>
  <c r="AD50" i="12" s="1"/>
  <c r="AA40" i="10"/>
  <c r="AJ40" i="10" s="1"/>
  <c r="AS40" i="10" s="1"/>
  <c r="AY40" i="10" s="1"/>
  <c r="AC47" i="12"/>
  <c r="AD47" i="12" s="1"/>
  <c r="AA61" i="10"/>
  <c r="AJ61" i="10" s="1"/>
  <c r="AS61" i="10" s="1"/>
  <c r="AY61" i="10" s="1"/>
  <c r="AC68" i="12"/>
  <c r="AD68" i="12" s="1"/>
  <c r="AA10" i="10"/>
  <c r="AJ10" i="10" s="1"/>
  <c r="AS10" i="10" s="1"/>
  <c r="AY10" i="10" s="1"/>
  <c r="AC17" i="12"/>
  <c r="AD17" i="12" s="1"/>
  <c r="AA54" i="10"/>
  <c r="AJ54" i="10" s="1"/>
  <c r="AS54" i="10" s="1"/>
  <c r="AY54" i="10" s="1"/>
  <c r="AC61" i="12"/>
  <c r="AD61" i="12" s="1"/>
  <c r="AZ16" i="10"/>
  <c r="AY1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Davies, Di (CMAR, Hobart)</author>
    <author>tc={31A4C68F-040F-49BB-B313-8DB2325F4276}</author>
  </authors>
  <commentList>
    <comment ref="D3" authorId="0" shapeId="0" xr:uid="{00000000-0006-0000-0B00-000001000000}">
      <text>
        <r>
          <rPr>
            <b/>
            <sz val="8"/>
            <color indexed="81"/>
            <rFont val="Tahoma"/>
            <family val="2"/>
          </rPr>
          <t>Davies, Di (CMAR, Hobart):</t>
        </r>
        <r>
          <rPr>
            <sz val="8"/>
            <color indexed="81"/>
            <rFont val="Tahoma"/>
            <family val="2"/>
          </rPr>
          <t xml:space="preserve">
Measured on Mettler balance only accurate to 0.01 mg. Formatted as ug to make consistent with rest of data</t>
        </r>
      </text>
    </comment>
    <comment ref="AE52" authorId="1" shapeId="0" xr:uid="{00000000-0006-0000-0B00-000002000000}">
      <text>
        <t>[Threaded comment]
Your version of Excel allows you to read this threaded comment; however, any edits to it will get removed if the file is opened in a newer version of Excel. Learn more: https://go.microsoft.com/fwlink/?linkid=870924
Comment:
    cups L3 and L13 had their labels changed from green to blue. Talking to Tom, who took the cups off at sea, he didn't do that and the cups were in the bucket in sequence. I surmise that I put them on the traps wrong and noticed before deployment, at which point I changed the numbers to the correct ones in sequence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tc={8DF8BB19-32CF-4190-A65C-DCC8663B8894}</author>
    <author>tc={F5273A4B-B657-404A-8EF0-7EA96A3642D6}</author>
    <author>tc={305270CE-3D7C-4DB4-8282-15A442D2972F}</author>
    <author>tc={703E9F98-C7B7-45A7-81DA-6296838340A0}</author>
    <author>tc={6B28CC58-67A6-4911-8A29-E520A8C694CE}</author>
    <author>tc={41496F80-1C44-452D-A86D-5808A3970D90}</author>
    <author>tc={1A0C090B-0960-4AE8-822D-24C1B20EFD41}</author>
    <author>tc={05BF75A0-4754-480B-8D92-5A95154A08CB}</author>
    <author>tc={3D825EEB-8BD9-498F-904E-A8EEC8BDDECC}</author>
    <author>tc={A06512E2-A0D7-4ECD-8CC7-9178D75CA175}</author>
    <author>tc={A42BAB95-3D65-488B-A6F2-3BCC7F1CCDD9}</author>
    <author>tc={0A0CAD17-8EE0-4506-9C44-EC8F2DDC9199}</author>
  </authors>
  <commentList>
    <comment ref="R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R18"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22"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from first set of measurements, flag 2, since calibration wasn't as good</t>
      </text>
    </comment>
    <comment ref="R33" authorId="3" shapeId="0" xr:uid="{00000000-0006-0000-0C00-000004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33" authorId="4" shapeId="0" xr:uid="{00000000-0006-0000-0C00-000005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R42" authorId="5" shapeId="0" xr:uid="{00000000-0006-0000-0C00-000006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42" authorId="6" shapeId="0" xr:uid="{00000000-0006-0000-0C00-000007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C57" authorId="7" shapeId="0" xr:uid="{00000000-0006-0000-0C00-000008000000}">
      <text>
        <t>[Threaded comment]
Your version of Excel allows you to read this threaded comment; however, any edits to it will get removed if the file is opened in a newer version of Excel. Learn more: https://go.microsoft.com/fwlink/?linkid=870924
Comment:
    cups L3 and L13 had their labels changed from green to blue. Talking to Tom, who took the cups off at sea, he didn't do that and the cups were in the bucket in sequence. I surmise that I put them on the traps wrong and noticed before deployment, at which point I changed the numbers to the correct ones in sequence</t>
      </text>
    </comment>
    <comment ref="R57" authorId="8" shapeId="0" xr:uid="{00000000-0006-0000-0C00-000009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57" authorId="9" shapeId="0" xr:uid="{00000000-0006-0000-0C00-00000A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R66" authorId="10" shapeId="0" xr:uid="{00000000-0006-0000-0C00-00000B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 ref="S66" authorId="11" shapeId="0" xr:uid="{00000000-0006-0000-0C00-00000C000000}">
      <text>
        <t>[Threaded comment]
Your version of Excel allows you to read this threaded comment; however, any edits to it will get removed if the file is opened in a newer version of Excel. Learn more: https://go.microsoft.com/fwlink/?linkid=870924
Comment:
    average of duplicates</t>
      </text>
    </comment>
  </commentList>
</comments>
</file>

<file path=xl/sharedStrings.xml><?xml version="1.0" encoding="utf-8"?>
<sst xmlns="http://schemas.openxmlformats.org/spreadsheetml/2006/main" count="5195" uniqueCount="1959">
  <si>
    <t>brine pH before loading the cups</t>
  </si>
  <si>
    <t>Conductivity meter (Mettler Toledo Seven Compact),</t>
  </si>
  <si>
    <t>The volume of the McLane Parflux mark78 21 cup is 250mL but I need to check when filled to shoulder=</t>
  </si>
  <si>
    <t>from 24L carboy</t>
  </si>
  <si>
    <t>sodium chloride, NaCl</t>
  </si>
  <si>
    <t>sodium tetraborate,Na2B4O7.10H2O in addition to sw</t>
  </si>
  <si>
    <t>increased as per later notes</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</si>
  <si>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</si>
  <si>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</si>
  <si>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</si>
  <si>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</si>
  <si>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</si>
  <si>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</si>
  <si>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saturated mercuric chloride volume (mL) required=</t>
  </si>
  <si>
    <t>g</t>
  </si>
  <si>
    <t>Brine volume (L) required for 3 traps for SAZ19=</t>
  </si>
  <si>
    <t>company, PN</t>
  </si>
  <si>
    <t>Sigma Aldrich Lot. No. 03216TR</t>
  </si>
  <si>
    <t>2019 McLane sediment trap brine mercuric chloride concentration brine adjustment</t>
  </si>
  <si>
    <t>Di's additions:  there is a general preference to fill the cups with brine, remove 10mL by pipette and replace with 10mL of saturated mercuric chloride. This was trialed during SAZ18 prep and worked well.</t>
  </si>
  <si>
    <t>Sample ID</t>
  </si>
  <si>
    <t>NOx (uM)</t>
  </si>
  <si>
    <t>Phosphate (uM)</t>
  </si>
  <si>
    <t>Silicate (uM)</t>
  </si>
  <si>
    <t>Ammonia (uM)</t>
  </si>
  <si>
    <t>Nitrite (uM)</t>
  </si>
  <si>
    <t>DD 4 - Carboy 4</t>
  </si>
  <si>
    <t>Approximately 20L of deep water remains from processing saz19 for saz21 brine prep</t>
  </si>
  <si>
    <t>Collected IN2018_V02</t>
  </si>
  <si>
    <t>depth</t>
  </si>
  <si>
    <t>trap</t>
  </si>
  <si>
    <t>no tilt</t>
  </si>
  <si>
    <t>deployment</t>
  </si>
  <si>
    <t>event</t>
  </si>
  <si>
    <t>date, UTC</t>
  </si>
  <si>
    <t>interval</t>
  </si>
  <si>
    <t>47S</t>
  </si>
  <si>
    <t>McLane 21 cup</t>
  </si>
  <si>
    <t>McLane/US date format</t>
  </si>
  <si>
    <t>deploy</t>
  </si>
  <si>
    <t>cup 1 opens</t>
  </si>
  <si>
    <t>22 (mt)</t>
  </si>
  <si>
    <t>cup 21 closes</t>
  </si>
  <si>
    <t>pickup</t>
  </si>
  <si>
    <t>days spare (need +ve)</t>
  </si>
  <si>
    <t>total</t>
  </si>
  <si>
    <t>pickup-deploy</t>
  </si>
  <si>
    <t xml:space="preserve"> </t>
  </si>
  <si>
    <t>This carboy is being used for preparing SAZ21 brine</t>
  </si>
  <si>
    <t>decanted into 3 nutrient tubes</t>
  </si>
  <si>
    <t>CWE</t>
  </si>
  <si>
    <t>IN2018_V02 Sed trap prep brine for SAZ21 NO POISON</t>
  </si>
  <si>
    <r>
      <t xml:space="preserve">Salts are added to filtered seawater= INV 2018-02 FSW </t>
    </r>
    <r>
      <rPr>
        <b/>
        <sz val="12"/>
        <rFont val="Calibri"/>
        <family val="2"/>
        <scheme val="minor"/>
      </rPr>
      <t>carboy 4,</t>
    </r>
    <r>
      <rPr>
        <sz val="12"/>
        <rFont val="Calibri"/>
        <family val="2"/>
        <scheme val="minor"/>
      </rPr>
      <t xml:space="preserve"> 24L + </t>
    </r>
    <r>
      <rPr>
        <b/>
        <sz val="12"/>
        <rFont val="Calibri"/>
        <family val="2"/>
        <scheme val="minor"/>
      </rPr>
      <t>48g</t>
    </r>
    <r>
      <rPr>
        <sz val="12"/>
        <rFont val="Calibri"/>
        <family val="2"/>
        <scheme val="minor"/>
      </rPr>
      <t xml:space="preserve"> Borate (5/12/18 CWE) stored 4C.</t>
    </r>
  </si>
  <si>
    <t xml:space="preserve"> calibrated with 1413uS/cm, read 53.0mS/cm as 52.2 mS/cm @ 26.7C</t>
  </si>
  <si>
    <t>27.6C</t>
  </si>
  <si>
    <t>27.8C</t>
  </si>
  <si>
    <t>27.7C</t>
  </si>
  <si>
    <t>Hanna pH meter, buffers 7.01, 9.18, 12.45, probe condition 100%, slope 99.8%</t>
  </si>
  <si>
    <t>#3</t>
  </si>
  <si>
    <t>#2</t>
  </si>
  <si>
    <t>#1</t>
  </si>
  <si>
    <t>same 3 nutrient tubes as for salinity measurement</t>
  </si>
  <si>
    <t>27.2C</t>
  </si>
  <si>
    <t>Filtered seawater salinity and pH before adding brine salts</t>
  </si>
  <si>
    <t>final concentration g/L that we're aiming for</t>
  </si>
  <si>
    <t>Therefore 24L carboy needs addition of</t>
  </si>
  <si>
    <t>Concentration aimed for</t>
  </si>
  <si>
    <t>INV 2018-02 FSW carboy 4, 24L + 48g Borate (5/12/18 CWE) stored 4C.</t>
  </si>
  <si>
    <t>g/24L</t>
  </si>
  <si>
    <t>split into two 12L lowboys after addition of salts to 24L carboy</t>
  </si>
  <si>
    <t>g wt (NaCl taken into account psu measured already)</t>
  </si>
  <si>
    <t>g/L to be added</t>
  </si>
  <si>
    <t>hence prepare 24L as 2 12L aliquots for easy handling</t>
  </si>
  <si>
    <r>
      <t>sodium chloride, NaCl;</t>
    </r>
    <r>
      <rPr>
        <b/>
        <sz val="12"/>
        <rFont val="Calibri"/>
        <family val="2"/>
        <scheme val="minor"/>
      </rPr>
      <t xml:space="preserve"> Brine concentration needs to be increased to allow for 10mL removal from 250mL and replacement with mercuric chloride</t>
    </r>
    <r>
      <rPr>
        <sz val="12"/>
        <rFont val="Calibri"/>
        <family val="2"/>
        <scheme val="minor"/>
      </rPr>
      <t xml:space="preserve"> (4% dilution), hence aim for 41.6 prior to dilution</t>
    </r>
  </si>
  <si>
    <t>CHECK 1L post 4% dilution</t>
  </si>
  <si>
    <t>concentration per cup, take out 10mL and add 10mL sat HgCl2 to 250mL cup g/L ie 4% salts</t>
  </si>
  <si>
    <t>Merck 1.06404.5000 5kg, Lot. K36021104 618</t>
  </si>
  <si>
    <t>Sigma Aldrich B3545-500G, Batch# 096K00021</t>
  </si>
  <si>
    <r>
      <rPr>
        <sz val="11"/>
        <rFont val="Calibri"/>
        <family val="2"/>
        <scheme val="minor"/>
      </rPr>
      <t>tilt 2</t>
    </r>
    <r>
      <rPr>
        <sz val="11"/>
        <rFont val="Calibri"/>
        <family val="2"/>
      </rPr>
      <t>°,</t>
    </r>
    <r>
      <rPr>
        <sz val="11"/>
        <color theme="1"/>
        <rFont val="Calibri"/>
        <family val="2"/>
      </rPr>
      <t xml:space="preserve"> tilt set to </t>
    </r>
    <r>
      <rPr>
        <sz val="11"/>
        <color theme="1"/>
        <rFont val="Calibri"/>
        <family val="2"/>
        <scheme val="minor"/>
      </rPr>
      <t>1440</t>
    </r>
  </si>
  <si>
    <t>McLane 250x21 frame# 2241, controller# ML11640-01 and Motor # ML-11649-01 Cup set D</t>
  </si>
  <si>
    <t>McLane 250x21 frame # 14182-01, controller # ML-11741-01 and motor # ML-14182-01 Cup set E, frame # 14182-01</t>
  </si>
  <si>
    <t>McLane 250x21 frame # 10705-01, controller # ML 11649-01 and motor # ML-11640-01 Cup set L, frame # 10705-01, funnel says 10583</t>
  </si>
  <si>
    <r>
      <rPr>
        <sz val="11"/>
        <rFont val="Calibri"/>
        <family val="2"/>
        <scheme val="minor"/>
      </rPr>
      <t>tilt 1</t>
    </r>
    <r>
      <rPr>
        <sz val="11"/>
        <rFont val="Calibri"/>
        <family val="2"/>
      </rPr>
      <t>°,</t>
    </r>
    <r>
      <rPr>
        <sz val="11"/>
        <color theme="1"/>
        <rFont val="Calibri"/>
        <family val="2"/>
      </rPr>
      <t xml:space="preserve"> tilt set to </t>
    </r>
    <r>
      <rPr>
        <sz val="11"/>
        <color theme="1"/>
        <rFont val="Calibri"/>
        <family val="2"/>
        <scheme val="minor"/>
      </rPr>
      <t>1440</t>
    </r>
  </si>
  <si>
    <t>saz21</t>
  </si>
  <si>
    <t>year 2019-20</t>
  </si>
  <si>
    <t>Hanna pH meter, buffers 7.01, 9.18, 12.45, probe condition 100%, slope 100.1%</t>
  </si>
  <si>
    <t>pH reading after measurements</t>
  </si>
  <si>
    <t>23.4C</t>
  </si>
  <si>
    <t>brine Salinity before loading the cups</t>
  </si>
  <si>
    <t>Conductivity meter (Mettler Toledo Seven Compact), ref temp. 25C</t>
  </si>
  <si>
    <t>calibrated with 1413uS/cm, read 53.0mS/cm as 52.8 mS/cm @ 23.2C and 1418uS/cm calibration standard as 1414uS/com @ 23.2C</t>
  </si>
  <si>
    <t>23.0C</t>
  </si>
  <si>
    <t>23.3C</t>
  </si>
  <si>
    <t>need to check these</t>
  </si>
  <si>
    <t>SAZ21-2019 picked up on RV Investigator, delayed due to COVID-19 suspension of ship movement.</t>
  </si>
  <si>
    <t>Pick up 04/09/2020</t>
  </si>
  <si>
    <t>IN2020_V09</t>
  </si>
  <si>
    <t>Buckets with samples moved to walk-in fridge, 3rd floor at IMAS on 14/09/2020 ~ 9:00am</t>
  </si>
  <si>
    <t>47_1000</t>
  </si>
  <si>
    <t>1_start</t>
  </si>
  <si>
    <t>McLane</t>
  </si>
  <si>
    <t>47_2000</t>
  </si>
  <si>
    <t>47_3800</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</si>
  <si>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</si>
  <si>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</si>
  <si>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</si>
  <si>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</si>
  <si>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</si>
  <si>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</si>
  <si>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</si>
  <si>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</si>
  <si>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</si>
  <si>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</si>
  <si>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</si>
  <si>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</si>
  <si>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</si>
  <si>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</si>
  <si>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</si>
  <si>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</si>
  <si>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</si>
  <si>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</si>
  <si>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</si>
  <si>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</si>
  <si>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</si>
  <si>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</si>
  <si>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</si>
  <si>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</si>
  <si>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</si>
  <si>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</si>
  <si>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</si>
  <si>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</si>
  <si>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</si>
  <si>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</si>
  <si>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</si>
  <si>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</si>
  <si>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</si>
  <si>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</si>
  <si>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</si>
  <si>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</si>
  <si>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</si>
  <si>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</si>
  <si>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</si>
  <si>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</si>
  <si>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</si>
  <si>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saz21, 2019</t>
  </si>
  <si>
    <t>Year</t>
  </si>
  <si>
    <t>Position</t>
  </si>
  <si>
    <t>Cup</t>
  </si>
  <si>
    <t>Height</t>
  </si>
  <si>
    <t>sed mass</t>
  </si>
  <si>
    <t>area</t>
  </si>
  <si>
    <t>comments</t>
  </si>
  <si>
    <t>Time</t>
  </si>
  <si>
    <t>Mass flux</t>
  </si>
  <si>
    <t>Mass QC</t>
  </si>
  <si>
    <t>jar of</t>
  </si>
  <si>
    <t>C%</t>
  </si>
  <si>
    <t>H%</t>
  </si>
  <si>
    <t>N%</t>
  </si>
  <si>
    <t>CHN qc</t>
  </si>
  <si>
    <t>comments2</t>
  </si>
  <si>
    <t>Sal</t>
  </si>
  <si>
    <t>pH</t>
  </si>
  <si>
    <t>Dates</t>
  </si>
  <si>
    <t>Comments</t>
  </si>
  <si>
    <t>proportion</t>
  </si>
  <si>
    <t>PN/PSiO2</t>
  </si>
  <si>
    <t>TPC/PSiO2</t>
  </si>
  <si>
    <t>CaCO3</t>
  </si>
  <si>
    <t>PIC</t>
  </si>
  <si>
    <t>POC</t>
  </si>
  <si>
    <t>sum</t>
  </si>
  <si>
    <t>QC</t>
  </si>
  <si>
    <t>POC/PN</t>
  </si>
  <si>
    <t>Cup exist</t>
  </si>
  <si>
    <t>cup</t>
  </si>
  <si>
    <t>eg FSW batch</t>
  </si>
  <si>
    <t>open</t>
  </si>
  <si>
    <t>= cup_mass/area/time_open</t>
  </si>
  <si>
    <t>powder</t>
  </si>
  <si>
    <t>PC</t>
  </si>
  <si>
    <t>PN</t>
  </si>
  <si>
    <t>netcdf flag</t>
  </si>
  <si>
    <t>UTC</t>
  </si>
  <si>
    <t>normalised</t>
  </si>
  <si>
    <t>BSi</t>
  </si>
  <si>
    <t>BSiO2</t>
  </si>
  <si>
    <t>mass ratio</t>
  </si>
  <si>
    <t>CaCO3+opal + (POM=2.2*POC) + litho 3.7%</t>
  </si>
  <si>
    <t>Mol/mol</t>
  </si>
  <si>
    <t>good</t>
  </si>
  <si>
    <t>10/10</t>
  </si>
  <si>
    <t>&lt;1mm</t>
  </si>
  <si>
    <t/>
  </si>
  <si>
    <t>Cup open</t>
  </si>
  <si>
    <t>Cup close</t>
  </si>
  <si>
    <t>midpoint</t>
  </si>
  <si>
    <t>cumulative</t>
  </si>
  <si>
    <t>=height / 0.5m2 / open_time</t>
  </si>
  <si>
    <t>Redfield 2.79 POM opal is BSiO2*1.11</t>
  </si>
  <si>
    <t>mm</t>
  </si>
  <si>
    <t>mg/cup</t>
  </si>
  <si>
    <t>m2</t>
  </si>
  <si>
    <t>days</t>
  </si>
  <si>
    <t>mg/m2/day</t>
  </si>
  <si>
    <t>g/m2/yr</t>
  </si>
  <si>
    <t>% w/w</t>
  </si>
  <si>
    <t>psu</t>
  </si>
  <si>
    <t>mm/m2/day</t>
  </si>
  <si>
    <t>w/w</t>
  </si>
  <si>
    <t>%</t>
  </si>
  <si>
    <t>at END event</t>
  </si>
  <si>
    <t>at open event</t>
  </si>
  <si>
    <t>Deployment 08/03/2018 IN2018_V02</t>
  </si>
  <si>
    <t>QC threshold 10%</t>
  </si>
  <si>
    <t>recovery IN2020_V09</t>
  </si>
  <si>
    <t>delayed due to COVID-19</t>
  </si>
  <si>
    <t>McLane-PARFLUX-Mark78H-21 ; controller sn ML11640-01, frame sn 2241, motor sn 11649-01, cup set D250x21</t>
  </si>
  <si>
    <t xml:space="preserve">depth actual </t>
  </si>
  <si>
    <t>D 1</t>
  </si>
  <si>
    <t>all 21 cups collected (250ml cups)</t>
  </si>
  <si>
    <t>Pick up 04/09/2020 IN2020_V09</t>
  </si>
  <si>
    <t>McLane-PARFLUX-Mark78H-21 ; controller sn ML11741-01, frame sn 14182-01, motor sn 14182-01, cup set E250x21</t>
  </si>
  <si>
    <t xml:space="preserve">[2020-09-04 07:03:08.755] </t>
  </si>
  <si>
    <t>[2020-09-04 07:03:08.771]  &lt;09/04/2020 06:26:01&gt; Sleeping . . .</t>
  </si>
  <si>
    <t xml:space="preserve"> Enter &lt;CTRL-C&gt; now to wake up????</t>
  </si>
  <si>
    <t>_______________________________________________________</t>
  </si>
  <si>
    <t xml:space="preserve">              </t>
  </si>
  <si>
    <t xml:space="preserve">  </t>
  </si>
  <si>
    <t xml:space="preserve">  McLane Research Laboratories, USA              </t>
  </si>
  <si>
    <t xml:space="preserve">    </t>
  </si>
  <si>
    <t xml:space="preserve">    ParFlux 21-Cup Sediment Trap              </t>
  </si>
  <si>
    <t xml:space="preserve">       </t>
  </si>
  <si>
    <t xml:space="preserve">        with Compass and Tilt              </t>
  </si>
  <si>
    <t xml:space="preserve">Version: pst-21c4.c   S/N: ML11640-01            </t>
  </si>
  <si>
    <t xml:space="preserve">   </t>
  </si>
  <si>
    <t xml:space="preserve"> ÉÍÍÍÍÍÍÍÍÍÍÍÍÍÍÍÍÍÍÍÍÍÍÍÍÍÍÍÍÍÍÍÍÍ»              </t>
  </si>
  <si>
    <t xml:space="preserve"> º            Main Menu            º              </t>
  </si>
  <si>
    <t xml:space="preserve"> ÈÍÍÍÍÍÍÍÍÍÍÍÍÍÍÍÍÍÍÍÍÍÍÍÍÍÍÍÍÍÍÍÍÍ¼              </t>
  </si>
  <si>
    <t xml:space="preserve">      Fri Sep  4 06:26:57 2020</t>
  </si>
  <si>
    <t xml:space="preserve">      </t>
  </si>
  <si>
    <t xml:space="preserve">&lt;1&gt; Set Time             &lt;5&gt; Create Schedule          </t>
  </si>
  <si>
    <t xml:space="preserve">&lt;2&gt; Diagnostics          &lt;6&gt; Deploy System          </t>
  </si>
  <si>
    <t xml:space="preserve">&lt;3&gt; Fill Containers      &lt;7&gt; Offload Data          </t>
  </si>
  <si>
    <t>&lt;4&gt; Sleep                &lt;8&gt; Contacting McLane</t>
  </si>
  <si>
    <t xml:space="preserve">  Selection  ? 7</t>
  </si>
  <si>
    <t>ÉÍÍÍÍÍÍÍÍÍÍÍÍÍÍÍÍÍÍÍÍÍÍÍÍÍÍÍÍÍÍÍÍÍ»</t>
  </si>
  <si>
    <t>º    Offload/Display Data File    º</t>
  </si>
  <si>
    <t>ÈÍÍÍÍÍÍÍÍÍÍÍÍÍÍÍÍÍÍÍÍÍÍÍÍÍÍÍÍÍÍÍÍÍ¼</t>
  </si>
  <si>
    <t xml:space="preserve">     Fri Sep  4 06:27:30 2020</t>
  </si>
  <si>
    <t xml:space="preserve">&lt;1&gt; Display all data        </t>
  </si>
  <si>
    <t xml:space="preserve">&lt;2&gt; Display event summary        </t>
  </si>
  <si>
    <t xml:space="preserve">&lt;3&gt; Display tilt data        </t>
  </si>
  <si>
    <t xml:space="preserve">&lt;4&gt; Display backup EEPROM        </t>
  </si>
  <si>
    <t>&lt;M&gt; Main Menu</t>
  </si>
  <si>
    <t xml:space="preserve">  Selection  ? 1</t>
  </si>
  <si>
    <t xml:space="preserve"> To copy the instrument data file to a disk file, initiate          </t>
  </si>
  <si>
    <t xml:space="preserve"> your communication program's file logging command now and          </t>
  </si>
  <si>
    <t xml:space="preserve"> then press any key to start the transfer.  The instrument          </t>
  </si>
  <si>
    <t xml:space="preserve"> data file will remain resident and is not erased by this          </t>
  </si>
  <si>
    <t xml:space="preserve"> offload procedure.</t>
  </si>
  <si>
    <t xml:space="preserve"> Software version:  pst-21c4.c          </t>
  </si>
  <si>
    <t xml:space="preserve"> Compiled:          Jan 15 2003 18:20:44  </t>
  </si>
  <si>
    <t xml:space="preserve"> Electronics S/N:   ML11640-01</t>
  </si>
  <si>
    <t xml:space="preserve"> Data recording start time = 03/05/2019 23:45:09</t>
  </si>
  <si>
    <t xml:space="preserve"> Data recording stop time  = 04/28/2020 00:00:30</t>
  </si>
  <si>
    <t xml:space="preserve"> HEADER</t>
  </si>
  <si>
    <t xml:space="preserve"> ______</t>
  </si>
  <si>
    <t xml:space="preserve"> saz21_2019_1000m_11640-01_tilt_SBE37-4906</t>
  </si>
  <si>
    <t xml:space="preserve"> SCHEDULE</t>
  </si>
  <si>
    <t xml:space="preserve"> ________</t>
  </si>
  <si>
    <t xml:space="preserve"> Event 01 of 22 @ 03/26/2019 00:00:00</t>
  </si>
  <si>
    <t xml:space="preserve"> Event 02 of 22 @ 04/14/2019 00:00:00</t>
  </si>
  <si>
    <t xml:space="preserve"> Event 03 of 22 @ 05/03/2019 00:00:00</t>
  </si>
  <si>
    <t xml:space="preserve"> Event 04 of 22 @ 05/22/2019 00:00:00</t>
  </si>
  <si>
    <t xml:space="preserve"> Event 05 of 22 @ 06/10/2019 00:00:00</t>
  </si>
  <si>
    <t xml:space="preserve"> Event 06 of 22 @ 06/29/2019 00:00:00</t>
  </si>
  <si>
    <t xml:space="preserve"> Event 07 of 22 @ 07/18/2019 00:00:00</t>
  </si>
  <si>
    <t xml:space="preserve"> Event 08 of 22 @ 08/06/2019 00:00:00</t>
  </si>
  <si>
    <t xml:space="preserve"> Event 09 of 22 @ 08/25/2019 00:00:00</t>
  </si>
  <si>
    <t xml:space="preserve"> Event 10 of 22 @ 09/13/2019 00:00:00</t>
  </si>
  <si>
    <t xml:space="preserve"> Event 11 of 22 @ 10/02/2019 00:00:00</t>
  </si>
  <si>
    <t xml:space="preserve"> Event 12 of 22 @ 10/21/2019 00:00:00</t>
  </si>
  <si>
    <t xml:space="preserve"> Event 13 of 22 @ 11/09/2019 00:00:00</t>
  </si>
  <si>
    <t xml:space="preserve"> Event 14 of 22 @ 11/28/2019 00:00:00</t>
  </si>
  <si>
    <t xml:space="preserve"> Event 15 of 22 @ 12/17/2019 00:00:00</t>
  </si>
  <si>
    <t xml:space="preserve"> Event 16 of 22 @ 01/05/2020 00:00:00</t>
  </si>
  <si>
    <t xml:space="preserve"> Event 17 of 22 @ 01/24/2020 00:00:00</t>
  </si>
  <si>
    <t xml:space="preserve"> Event 18 of 22 @ 02/12/2020 00:00:00</t>
  </si>
  <si>
    <t xml:space="preserve"> Event 19 of 22 @ 03/02/2020 00:00:00</t>
  </si>
  <si>
    <t xml:space="preserve"> Event 20 of 22 @ 03/21/2020 00:00:00</t>
  </si>
  <si>
    <t xml:space="preserve"> Event 21 of 22 @ 04/09/2020 00:00:00</t>
  </si>
  <si>
    <t xml:space="preserve"> Event 22 of 22 @ 04/28/2020 00:00:00</t>
  </si>
  <si>
    <t xml:space="preserve"> DEPLOYMENT DATA</t>
  </si>
  <si>
    <t xml:space="preserve"> _______________</t>
  </si>
  <si>
    <t xml:space="preserve"> Event 01</t>
  </si>
  <si>
    <t xml:space="preserve"> Scheduled start time:  03/26/2019 00:00:00</t>
  </si>
  <si>
    <t xml:space="preserve"> Event start time:      03/26/2019 00:00:00</t>
  </si>
  <si>
    <t xml:space="preserve"> Event stop time:       03/26/2019 00:00:27</t>
  </si>
  <si>
    <t xml:space="preserve">         Aligned  Battery  Temperature  Tilt  Heading</t>
  </si>
  <si>
    <t xml:space="preserve"> Start:     Y       20.2        7øC       2ø    259ø</t>
  </si>
  <si>
    <t xml:space="preserve"> Stop:      Y       20.0        7øC       2ø    249ø</t>
  </si>
  <si>
    <t xml:space="preserve"> Event 02</t>
  </si>
  <si>
    <t xml:space="preserve"> Scheduled start time:  04/14/2019 00:00:00</t>
  </si>
  <si>
    <t xml:space="preserve"> Event start time:      04/14/2019 00:00:00</t>
  </si>
  <si>
    <t xml:space="preserve"> Event stop time:       04/14/2019 00:00:27</t>
  </si>
  <si>
    <t xml:space="preserve"> Start:     Y       19.7        7øC       2ø    116ø</t>
  </si>
  <si>
    <t xml:space="preserve"> Stop:      Y       19.4        7øC       2ø    120ø</t>
  </si>
  <si>
    <t xml:space="preserve"> Event 03</t>
  </si>
  <si>
    <t xml:space="preserve"> Scheduled start time:  05/03/2019 00:00:00</t>
  </si>
  <si>
    <t xml:space="preserve"> Event start time:      05/03/2019 00:00:00</t>
  </si>
  <si>
    <t xml:space="preserve"> Event stop time:       05/03/2019 00:00:27</t>
  </si>
  <si>
    <t xml:space="preserve"> Start:     Y       19.2        7øC       2ø     17ø</t>
  </si>
  <si>
    <t xml:space="preserve"> Stop:      Y       18.9        7øC       2ø     30ø</t>
  </si>
  <si>
    <t xml:space="preserve"> Event 04</t>
  </si>
  <si>
    <t xml:space="preserve"> Scheduled start time:  05/22/2019 00:00:00</t>
  </si>
  <si>
    <t xml:space="preserve"> Event start time:      05/22/2019 00:00:00</t>
  </si>
  <si>
    <t xml:space="preserve"> Event stop time:       05/22/2019 00:00:27</t>
  </si>
  <si>
    <t xml:space="preserve"> Start:     Y       18.8        7øC      11ø    221ø</t>
  </si>
  <si>
    <t xml:space="preserve"> Stop:      Y       18.6        7øC      12ø    226ø</t>
  </si>
  <si>
    <t xml:space="preserve"> Event 05</t>
  </si>
  <si>
    <t xml:space="preserve"> Scheduled start time:  06/10/2019 00:00:00</t>
  </si>
  <si>
    <t xml:space="preserve"> Event start time:      06/10/2019 00:00:00</t>
  </si>
  <si>
    <t xml:space="preserve"> Event stop time:       06/10/2019 00:00:27</t>
  </si>
  <si>
    <t xml:space="preserve"> Start:     Y       18.5        7øC       2ø     12ø</t>
  </si>
  <si>
    <t xml:space="preserve"> Stop:      Y       18.2        7øC       2ø      5ø</t>
  </si>
  <si>
    <t xml:space="preserve"> Event 06</t>
  </si>
  <si>
    <t xml:space="preserve"> Scheduled start time:  06/29/2019 00:00:00</t>
  </si>
  <si>
    <t xml:space="preserve"> Event start time:      06/29/2019 00:00:00</t>
  </si>
  <si>
    <t xml:space="preserve"> Event stop time:       06/29/2019 00:00:27</t>
  </si>
  <si>
    <t xml:space="preserve"> Start:     Y       18.3        6øC       2ø    344ø</t>
  </si>
  <si>
    <t xml:space="preserve"> Stop:      Y       18.0        6øC       2ø    343ø</t>
  </si>
  <si>
    <t xml:space="preserve"> Event 07</t>
  </si>
  <si>
    <t xml:space="preserve"> Scheduled start time:  07/18/2019 00:00:00</t>
  </si>
  <si>
    <t xml:space="preserve"> Event start time:      07/18/2019 00:00:00</t>
  </si>
  <si>
    <t xml:space="preserve"> Event stop time:       07/18/2019 00:00:27</t>
  </si>
  <si>
    <t xml:space="preserve"> Start:     Y       18.3        7øC       3ø    159ø</t>
  </si>
  <si>
    <t xml:space="preserve"> Stop:      Y       18.0        7øC       3ø    163ø</t>
  </si>
  <si>
    <t xml:space="preserve"> Event 08</t>
  </si>
  <si>
    <t xml:space="preserve"> Scheduled start time:  08/06/2019 00:00:00</t>
  </si>
  <si>
    <t xml:space="preserve"> Event start time:      08/06/2019 00:00:00</t>
  </si>
  <si>
    <t xml:space="preserve"> Event stop time:       08/06/2019 00:00:27</t>
  </si>
  <si>
    <t xml:space="preserve"> Start:     Y       18.1        6øC       6ø    169ø</t>
  </si>
  <si>
    <t xml:space="preserve"> Stop:      Y       17.8        6øC       6ø    189ø</t>
  </si>
  <si>
    <t xml:space="preserve"> Event 09</t>
  </si>
  <si>
    <t xml:space="preserve"> Scheduled start time:  08/25/2019 00:00:00</t>
  </si>
  <si>
    <t xml:space="preserve"> Event start time:      08/25/2019 00:00:00</t>
  </si>
  <si>
    <t xml:space="preserve"> Event stop time:       08/25/2019 00:00:27</t>
  </si>
  <si>
    <t xml:space="preserve"> Start:     Y       17.9        6øC       4ø     70ø</t>
  </si>
  <si>
    <t xml:space="preserve"> Stop:      Y       17.6        6øC       4ø     73ø</t>
  </si>
  <si>
    <t xml:space="preserve"> Event 10</t>
  </si>
  <si>
    <t xml:space="preserve"> Scheduled start time:  09/13/2019 00:00:00</t>
  </si>
  <si>
    <t xml:space="preserve"> Event start time:      09/13/2019 00:00:00</t>
  </si>
  <si>
    <t xml:space="preserve"> Event stop time:       09/13/2019 00:00:27</t>
  </si>
  <si>
    <t xml:space="preserve"> Start:     Y       17.8        6øC       2ø    187ø</t>
  </si>
  <si>
    <t xml:space="preserve"> Stop:      Y       17.5        6øC       2ø    184ø</t>
  </si>
  <si>
    <t xml:space="preserve"> Event 11</t>
  </si>
  <si>
    <t xml:space="preserve"> Scheduled start time:  10/02/2019 00:00:00</t>
  </si>
  <si>
    <t xml:space="preserve"> Event start time:      10/02/2019 00:00:00</t>
  </si>
  <si>
    <t xml:space="preserve"> Event stop time:       10/02/2019 00:00:27</t>
  </si>
  <si>
    <t xml:space="preserve"> Start:     Y       17.7        7øC       2ø     82ø</t>
  </si>
  <si>
    <t xml:space="preserve"> Stop:      Y       17.4        7øC       2ø     78ø</t>
  </si>
  <si>
    <t xml:space="preserve"> Event 12</t>
  </si>
  <si>
    <t xml:space="preserve"> Scheduled start time:  10/21/2019 00:00:00</t>
  </si>
  <si>
    <t xml:space="preserve"> Event start time:      10/21/2019 00:00:00</t>
  </si>
  <si>
    <t xml:space="preserve"> Event stop time:       10/21/2019 00:00:27</t>
  </si>
  <si>
    <t xml:space="preserve"> Start:     Y       17.6        7øC       3ø    197ø</t>
  </si>
  <si>
    <t xml:space="preserve"> Stop:      Y       17.2        7øC       4ø    195ø</t>
  </si>
  <si>
    <t xml:space="preserve"> Event 13</t>
  </si>
  <si>
    <t xml:space="preserve"> Scheduled start time:  11/09/2019 00:00:00</t>
  </si>
  <si>
    <t xml:space="preserve"> Event start time:      11/09/2019 00:00:00</t>
  </si>
  <si>
    <t xml:space="preserve"> Event stop time:       11/09/2019 00:00:27</t>
  </si>
  <si>
    <t xml:space="preserve"> Start:     Y       17.4        7øC       3ø    286ø</t>
  </si>
  <si>
    <t xml:space="preserve"> Stop:      Y       17.1        7øC       4ø    280ø</t>
  </si>
  <si>
    <t xml:space="preserve"> Event 14</t>
  </si>
  <si>
    <t xml:space="preserve"> Scheduled start time:  11/28/2019 00:00:00</t>
  </si>
  <si>
    <t xml:space="preserve"> Event start time:      11/28/2019 00:00:00</t>
  </si>
  <si>
    <t xml:space="preserve"> Event stop time:       11/28/2019 00:00:27</t>
  </si>
  <si>
    <t xml:space="preserve"> Start:     Y       17.2        7øC       2ø    213ø</t>
  </si>
  <si>
    <t xml:space="preserve"> Stop:      Y       16.8        7øC       2ø    209ø</t>
  </si>
  <si>
    <t xml:space="preserve"> Event 15</t>
  </si>
  <si>
    <t xml:space="preserve"> Scheduled start time:  12/17/2019 00:00:00</t>
  </si>
  <si>
    <t xml:space="preserve"> Event start time:      12/17/2019 00:00:00</t>
  </si>
  <si>
    <t xml:space="preserve"> Event stop time:       12/17/2019 00:00:27</t>
  </si>
  <si>
    <t xml:space="preserve"> Start:     Y       17.1        7øC       2ø    209ø</t>
  </si>
  <si>
    <t xml:space="preserve"> Stop:      Y       16.7        7øC       2ø    202ø</t>
  </si>
  <si>
    <t xml:space="preserve"> Event 16</t>
  </si>
  <si>
    <t xml:space="preserve"> Scheduled start time:  01/05/2020 00:00:00</t>
  </si>
  <si>
    <t xml:space="preserve"> Event start time:      01/05/2020 00:00:00</t>
  </si>
  <si>
    <t xml:space="preserve"> Event stop time:       01/05/2020 00:00:27</t>
  </si>
  <si>
    <t xml:space="preserve"> Start:     Y       16.8        6øC       3ø    320ø</t>
  </si>
  <si>
    <t xml:space="preserve"> Stop:      Y       16.4        6øC       2ø    324ø</t>
  </si>
  <si>
    <t xml:space="preserve"> Event 17</t>
  </si>
  <si>
    <t xml:space="preserve"> Scheduled start time:  01/24/2020 00:00:00</t>
  </si>
  <si>
    <t xml:space="preserve"> Event start time:      01/24/2020 00:00:00</t>
  </si>
  <si>
    <t xml:space="preserve"> Event stop time:       01/24/2020 00:00:27</t>
  </si>
  <si>
    <t xml:space="preserve"> Start:     Y       16.7        6øC       4ø    290ø</t>
  </si>
  <si>
    <t xml:space="preserve"> Stop:      Y       16.3        7øC       3ø    280ø</t>
  </si>
  <si>
    <t xml:space="preserve"> Event 18</t>
  </si>
  <si>
    <t xml:space="preserve"> Scheduled start time:  02/12/2020 00:00:00</t>
  </si>
  <si>
    <t xml:space="preserve"> Event start time:      02/12/2020 00:00:00</t>
  </si>
  <si>
    <t xml:space="preserve"> Event stop time:       02/12/2020 00:00:27</t>
  </si>
  <si>
    <t xml:space="preserve"> Start:     Y       16.5        6øC       4ø    243ø</t>
  </si>
  <si>
    <t xml:space="preserve"> Stop:      Y       16.0        6øC       4ø    245ø</t>
  </si>
  <si>
    <t xml:space="preserve"> Event 19</t>
  </si>
  <si>
    <t xml:space="preserve"> Scheduled start time:  03/02/2020 00:00:00</t>
  </si>
  <si>
    <t xml:space="preserve"> Event start time:      03/02/2020 00:00:00</t>
  </si>
  <si>
    <t xml:space="preserve"> Event stop time:       03/02/2020 00:00:27</t>
  </si>
  <si>
    <t xml:space="preserve"> Start:     Y       16.3        6øC       4ø    250ø</t>
  </si>
  <si>
    <t xml:space="preserve"> Stop:      Y       15.8        6øC       3ø    245ø</t>
  </si>
  <si>
    <t xml:space="preserve"> Event 20</t>
  </si>
  <si>
    <t xml:space="preserve"> Scheduled start time:  03/21/2020 00:00:00</t>
  </si>
  <si>
    <t xml:space="preserve"> Event start time:      03/21/2020 00:00:00</t>
  </si>
  <si>
    <t xml:space="preserve"> Event stop time:       03/21/2020 00:00:27</t>
  </si>
  <si>
    <t xml:space="preserve"> Start:     Y       16.0        6øC       6ø    256ø</t>
  </si>
  <si>
    <t xml:space="preserve"> Stop:      Y       15.6        6øC       5ø    256ø</t>
  </si>
  <si>
    <t xml:space="preserve"> Event 21</t>
  </si>
  <si>
    <t xml:space="preserve"> Scheduled start time:  04/09/2020 00:00:00</t>
  </si>
  <si>
    <t xml:space="preserve"> Event start time:      04/09/2020 00:00:00</t>
  </si>
  <si>
    <t xml:space="preserve"> Event stop time:       04/09/2020 00:00:27</t>
  </si>
  <si>
    <t xml:space="preserve"> Start:     Y       15.8        6øC       5ø    175ø</t>
  </si>
  <si>
    <t xml:space="preserve"> Stop:      Y       15.3        6øC       4ø    172ø</t>
  </si>
  <si>
    <t xml:space="preserve"> Event 22</t>
  </si>
  <si>
    <t xml:space="preserve"> Scheduled start time:  04/28/2020 00:00:00</t>
  </si>
  <si>
    <t xml:space="preserve"> Event start time:      04/28/2020 00:00:00</t>
  </si>
  <si>
    <t xml:space="preserve"> Event stop time:       04/28/2020 00:00:27</t>
  </si>
  <si>
    <t xml:space="preserve"> Start:     Y       15.6        6øC       3ø    165ø</t>
  </si>
  <si>
    <t xml:space="preserve"> Stop:      Y       15.1        6øC       3ø    160ø</t>
  </si>
  <si>
    <t xml:space="preserve"> TILT DATA</t>
  </si>
  <si>
    <t xml:space="preserve"> _________</t>
  </si>
  <si>
    <t xml:space="preserve"> Tilt sample interval:  1440 minutes            </t>
  </si>
  <si>
    <t xml:space="preserve"> Event  Tilt  Heading</t>
  </si>
  <si>
    <t xml:space="preserve">   01    2øT   225øH</t>
  </si>
  <si>
    <t xml:space="preserve">   01    2øT   261øH</t>
  </si>
  <si>
    <t xml:space="preserve">   01    2øT   200øH</t>
  </si>
  <si>
    <t xml:space="preserve">   01    2øT   278øH</t>
  </si>
  <si>
    <t xml:space="preserve">   01    2øT   217øH</t>
  </si>
  <si>
    <t xml:space="preserve">   01    2øT   312øH</t>
  </si>
  <si>
    <t xml:space="preserve">   01    2øT   206øH</t>
  </si>
  <si>
    <t xml:space="preserve">   01    2øT   352øH</t>
  </si>
  <si>
    <t xml:space="preserve">   01    5øT   232øH</t>
  </si>
  <si>
    <t xml:space="preserve">   01    2øT   351øH</t>
  </si>
  <si>
    <t xml:space="preserve">   01    4øT   253øH</t>
  </si>
  <si>
    <t xml:space="preserve">   01    2øT    12øH</t>
  </si>
  <si>
    <t xml:space="preserve">   01    3øT   274øH</t>
  </si>
  <si>
    <t xml:space="preserve">   01    2øT    49øH</t>
  </si>
  <si>
    <t xml:space="preserve">   01    3øT   330øH</t>
  </si>
  <si>
    <t xml:space="preserve">   01    2øT    61øH</t>
  </si>
  <si>
    <t xml:space="preserve">   01    2øT   306øH</t>
  </si>
  <si>
    <t xml:space="preserve">   01    2øT   179øH</t>
  </si>
  <si>
    <t xml:space="preserve">   02    2øT   137øH</t>
  </si>
  <si>
    <t xml:space="preserve">   02    2øT   178øH</t>
  </si>
  <si>
    <t xml:space="preserve">   02    3øT    88øH</t>
  </si>
  <si>
    <t xml:space="preserve">   02    3øT    80øH</t>
  </si>
  <si>
    <t xml:space="preserve">   02    2øT   135øH</t>
  </si>
  <si>
    <t xml:space="preserve">   02    2øT    34øH</t>
  </si>
  <si>
    <t xml:space="preserve">   02    2øT   131øH</t>
  </si>
  <si>
    <t xml:space="preserve">   02    2øT   105øH</t>
  </si>
  <si>
    <t xml:space="preserve">   02    2øT   245øH</t>
  </si>
  <si>
    <t xml:space="preserve">   02    3øT   105øH</t>
  </si>
  <si>
    <t xml:space="preserve">   02    3øT   279øH</t>
  </si>
  <si>
    <t xml:space="preserve">   02    2øT   233øH</t>
  </si>
  <si>
    <t xml:space="preserve">   02    2øT   267øH</t>
  </si>
  <si>
    <t xml:space="preserve">   02    2øT    90øH</t>
  </si>
  <si>
    <t xml:space="preserve">   02    2øT    47øH</t>
  </si>
  <si>
    <t xml:space="preserve">   02    2øT    52øH</t>
  </si>
  <si>
    <t xml:space="preserve">   02    3øT    66øH</t>
  </si>
  <si>
    <t xml:space="preserve">   03    3øT    96øH</t>
  </si>
  <si>
    <t xml:space="preserve">   03    2øT   314øH</t>
  </si>
  <si>
    <t xml:space="preserve">   03    3øT    50øH</t>
  </si>
  <si>
    <t xml:space="preserve">   03    2øT    71øH</t>
  </si>
  <si>
    <t xml:space="preserve">   03    2øT   323øH</t>
  </si>
  <si>
    <t xml:space="preserve">   03    2øT   230øH</t>
  </si>
  <si>
    <t xml:space="preserve">   03    2øT   316øH</t>
  </si>
  <si>
    <t xml:space="preserve">   03    2øT   301øH</t>
  </si>
  <si>
    <t xml:space="preserve">   03    2øT   261øH</t>
  </si>
  <si>
    <t xml:space="preserve">   03    4øT   250øH</t>
  </si>
  <si>
    <t xml:space="preserve">   03    4øT   243øH</t>
  </si>
  <si>
    <t xml:space="preserve">   03    5øT   218øH</t>
  </si>
  <si>
    <t xml:space="preserve">   03    6øT   224øH</t>
  </si>
  <si>
    <t xml:space="preserve">   03    6øT   208øH</t>
  </si>
  <si>
    <t xml:space="preserve">   03    8øT   209øH</t>
  </si>
  <si>
    <t xml:space="preserve">   03    9øT   203øH</t>
  </si>
  <si>
    <t xml:space="preserve">   03    9øT   200øH</t>
  </si>
  <si>
    <t xml:space="preserve">   03   11øT   215øH</t>
  </si>
  <si>
    <t xml:space="preserve">   04    5øT   243øH</t>
  </si>
  <si>
    <t xml:space="preserve">   04    6øT   272øH</t>
  </si>
  <si>
    <t xml:space="preserve">   04    3øT   243øH</t>
  </si>
  <si>
    <t xml:space="preserve">   04    3øT   242øH</t>
  </si>
  <si>
    <t xml:space="preserve">   04    2øT   194øH</t>
  </si>
  <si>
    <t xml:space="preserve">   04    3øT   196øH</t>
  </si>
  <si>
    <t xml:space="preserve">   04    3øT   181øH</t>
  </si>
  <si>
    <t xml:space="preserve">   04    2øT   199øH</t>
  </si>
  <si>
    <t xml:space="preserve">   04    2øT   223øH</t>
  </si>
  <si>
    <t xml:space="preserve">   04    2øT   279øH</t>
  </si>
  <si>
    <t xml:space="preserve">   04    2øT   201øH</t>
  </si>
  <si>
    <t xml:space="preserve">   04    2øT   237øH</t>
  </si>
  <si>
    <t xml:space="preserve">   04    2øT   224øH</t>
  </si>
  <si>
    <t xml:space="preserve">   04    2øT   347øH</t>
  </si>
  <si>
    <t xml:space="preserve">   04    2øT   286øH</t>
  </si>
  <si>
    <t xml:space="preserve">   04    2øT   177øH</t>
  </si>
  <si>
    <t xml:space="preserve">   04    2øT   128øH</t>
  </si>
  <si>
    <t xml:space="preserve">   05    2øT    13øH</t>
  </si>
  <si>
    <t xml:space="preserve">   05    2øT   354øH</t>
  </si>
  <si>
    <t xml:space="preserve">   05    2øT   353øH</t>
  </si>
  <si>
    <t xml:space="preserve">   05    2øT     3øH</t>
  </si>
  <si>
    <t xml:space="preserve">   05    3øT     0øH</t>
  </si>
  <si>
    <t xml:space="preserve">   05    2øT    15øH</t>
  </si>
  <si>
    <t xml:space="preserve">   05    3øT     2øH</t>
  </si>
  <si>
    <t xml:space="preserve">   05    3øT   336øH</t>
  </si>
  <si>
    <t xml:space="preserve">   05    3øT   339øH</t>
  </si>
  <si>
    <t xml:space="preserve">   05    3øT   350øH</t>
  </si>
  <si>
    <t xml:space="preserve">   05    3øT     4øH</t>
  </si>
  <si>
    <t xml:space="preserve">   05    2øT   348øH</t>
  </si>
  <si>
    <t xml:space="preserve">   05    3øT   354øH</t>
  </si>
  <si>
    <t xml:space="preserve">   05    2øT   352øH</t>
  </si>
  <si>
    <t xml:space="preserve">   05    2øT     4øH</t>
  </si>
  <si>
    <t xml:space="preserve">   06    2øT     3øH</t>
  </si>
  <si>
    <t xml:space="preserve">   06    2øT   329øH</t>
  </si>
  <si>
    <t xml:space="preserve">   06    2øT   288øH</t>
  </si>
  <si>
    <t xml:space="preserve">   06    2øT   213øH</t>
  </si>
  <si>
    <t xml:space="preserve">   06    2øT   248øH</t>
  </si>
  <si>
    <t xml:space="preserve">   06    2øT   210øH</t>
  </si>
  <si>
    <t xml:space="preserve">   06    2øT   202øH</t>
  </si>
  <si>
    <t xml:space="preserve">   06    2øT   164øH</t>
  </si>
  <si>
    <t xml:space="preserve">   06    2øT   193øH</t>
  </si>
  <si>
    <t xml:space="preserve">   06    3øT   180øH</t>
  </si>
  <si>
    <t xml:space="preserve">   06    2øT   200øH</t>
  </si>
  <si>
    <t xml:space="preserve">   06    2øT   194øH</t>
  </si>
  <si>
    <t xml:space="preserve">   06    2øT   150øH</t>
  </si>
  <si>
    <t xml:space="preserve">   06    2øT   201øH</t>
  </si>
  <si>
    <t xml:space="preserve">   06    3øT   161øH</t>
  </si>
  <si>
    <t xml:space="preserve">   06    2øT   170øH</t>
  </si>
  <si>
    <t xml:space="preserve">   06    2øT   172øH</t>
  </si>
  <si>
    <t xml:space="preserve">   06    3øT   175øH</t>
  </si>
  <si>
    <t xml:space="preserve">   07    3øT   161øH</t>
  </si>
  <si>
    <t xml:space="preserve">   07    2øT   156øH</t>
  </si>
  <si>
    <t xml:space="preserve">   07    2øT   135øH</t>
  </si>
  <si>
    <t xml:space="preserve">   07    2øT   108øH</t>
  </si>
  <si>
    <t xml:space="preserve">   07    3øT    92øH</t>
  </si>
  <si>
    <t xml:space="preserve">   07    2øT    84øH</t>
  </si>
  <si>
    <t xml:space="preserve">   07    2øT    81øH</t>
  </si>
  <si>
    <t xml:space="preserve">   07    2øT    89øH</t>
  </si>
  <si>
    <t xml:space="preserve">   07    2øT    52øH</t>
  </si>
  <si>
    <t xml:space="preserve">   07    2øT   112øH</t>
  </si>
  <si>
    <t xml:space="preserve">   07    2øT    98øH</t>
  </si>
  <si>
    <t xml:space="preserve">   07    2øT   154øH</t>
  </si>
  <si>
    <t xml:space="preserve">   07    3øT   151øH</t>
  </si>
  <si>
    <t xml:space="preserve">   07    3øT   173øH</t>
  </si>
  <si>
    <t xml:space="preserve">   07    4øT   164øH</t>
  </si>
  <si>
    <t xml:space="preserve">   07    4øT   180øH</t>
  </si>
  <si>
    <t xml:space="preserve">   07    6øT   168øH</t>
  </si>
  <si>
    <t xml:space="preserve">   07    5øT   172øH</t>
  </si>
  <si>
    <t xml:space="preserve">   08    7øT   167øH</t>
  </si>
  <si>
    <t xml:space="preserve">   08   10øT   189øH</t>
  </si>
  <si>
    <t xml:space="preserve">   08    7øT   176øH</t>
  </si>
  <si>
    <t xml:space="preserve">   08    5øT   167øH</t>
  </si>
  <si>
    <t xml:space="preserve">   08    6øT   143øH</t>
  </si>
  <si>
    <t xml:space="preserve">   08    5øT   165øH</t>
  </si>
  <si>
    <t xml:space="preserve">   08    4øT   160øH</t>
  </si>
  <si>
    <t xml:space="preserve">   08    4øT   155øH</t>
  </si>
  <si>
    <t xml:space="preserve">   08    2øT   135øH</t>
  </si>
  <si>
    <t xml:space="preserve">   08    2øT   117øH</t>
  </si>
  <si>
    <t xml:space="preserve">   08    3øT    56øH</t>
  </si>
  <si>
    <t xml:space="preserve">   08    4øT    60øH</t>
  </si>
  <si>
    <t xml:space="preserve">   08    7øT    50øH</t>
  </si>
  <si>
    <t xml:space="preserve">   08    7øT    70øH</t>
  </si>
  <si>
    <t xml:space="preserve">   08   11øT    78øH</t>
  </si>
  <si>
    <t xml:space="preserve">   08    7øT    76øH</t>
  </si>
  <si>
    <t xml:space="preserve">   08    7øT    68øH</t>
  </si>
  <si>
    <t xml:space="preserve">   08    5øT    64øH</t>
  </si>
  <si>
    <t xml:space="preserve">   09    4øT    67øH</t>
  </si>
  <si>
    <t xml:space="preserve">   09    3øT    73øH</t>
  </si>
  <si>
    <t xml:space="preserve">   09    3øT    62øH</t>
  </si>
  <si>
    <t xml:space="preserve">   09    2øT    18øH</t>
  </si>
  <si>
    <t xml:space="preserve">   09    3øT    69øH</t>
  </si>
  <si>
    <t xml:space="preserve">   09    2øT    52øH</t>
  </si>
  <si>
    <t xml:space="preserve">   09    3øT    86øH</t>
  </si>
  <si>
    <t xml:space="preserve">   09    2øT   105øH</t>
  </si>
  <si>
    <t xml:space="preserve">   09    2øT   104øH</t>
  </si>
  <si>
    <t xml:space="preserve">   09    2øT   129øH</t>
  </si>
  <si>
    <t xml:space="preserve">   09    2øT   154øH</t>
  </si>
  <si>
    <t xml:space="preserve">   09    2øT   200øH</t>
  </si>
  <si>
    <t xml:space="preserve">   09    2øT   193øH</t>
  </si>
  <si>
    <t xml:space="preserve">   09    2øT   309øH</t>
  </si>
  <si>
    <t xml:space="preserve">   09    2øT   233øH</t>
  </si>
  <si>
    <t xml:space="preserve">   09    2øT   272øH</t>
  </si>
  <si>
    <t xml:space="preserve">   09    2øT   236øH</t>
  </si>
  <si>
    <t xml:space="preserve">   09    2øT   274øH</t>
  </si>
  <si>
    <t xml:space="preserve">   10    2øT   298øH</t>
  </si>
  <si>
    <t xml:space="preserve">   10    2øT   319øH</t>
  </si>
  <si>
    <t xml:space="preserve">   10    2øT   300øH</t>
  </si>
  <si>
    <t xml:space="preserve">   10    2øT   247øH</t>
  </si>
  <si>
    <t xml:space="preserve">   10    2øT   228øH</t>
  </si>
  <si>
    <t xml:space="preserve">   10    3øT   287øH</t>
  </si>
  <si>
    <t xml:space="preserve">   10    2øT   238øH</t>
  </si>
  <si>
    <t xml:space="preserve">   10    2øT   306øH</t>
  </si>
  <si>
    <t xml:space="preserve">   10    2øT   215øH</t>
  </si>
  <si>
    <t xml:space="preserve">   10    2øT   226øH</t>
  </si>
  <si>
    <t xml:space="preserve">   10    2øT   205øH</t>
  </si>
  <si>
    <t xml:space="preserve">   10    2øT    77øH</t>
  </si>
  <si>
    <t xml:space="preserve">   10    2øT   190øH</t>
  </si>
  <si>
    <t xml:space="preserve">   10    2øT   161øH</t>
  </si>
  <si>
    <t xml:space="preserve">   10    2øT   183øH</t>
  </si>
  <si>
    <t xml:space="preserve">   10    2øT    96øH</t>
  </si>
  <si>
    <t xml:space="preserve">   10    2øT   108øH</t>
  </si>
  <si>
    <t xml:space="preserve">   11    2øT   130øH</t>
  </si>
  <si>
    <t xml:space="preserve">   11    2øT    33øH</t>
  </si>
  <si>
    <t xml:space="preserve">   11    2øT    76øH</t>
  </si>
  <si>
    <t xml:space="preserve">   11    2øT    81øH</t>
  </si>
  <si>
    <t xml:space="preserve">   11    2øT    46øH</t>
  </si>
  <si>
    <t xml:space="preserve">   11    2øT    84øH</t>
  </si>
  <si>
    <t xml:space="preserve">   11    2øT    14øH</t>
  </si>
  <si>
    <t xml:space="preserve">   11    2øT   328øH</t>
  </si>
  <si>
    <t xml:space="preserve">   11    2øT    12øH</t>
  </si>
  <si>
    <t xml:space="preserve">   11    2øT   267øH</t>
  </si>
  <si>
    <t xml:space="preserve">   11    2øT   252øH</t>
  </si>
  <si>
    <t xml:space="preserve">   11    2øT   280øH</t>
  </si>
  <si>
    <t xml:space="preserve">   11    2øT   262øH</t>
  </si>
  <si>
    <t xml:space="preserve">   11    2øT   244øH</t>
  </si>
  <si>
    <t xml:space="preserve">   11    2øT   200øH</t>
  </si>
  <si>
    <t xml:space="preserve">   11    2øT   166øH</t>
  </si>
  <si>
    <t xml:space="preserve">   11    3øT   180øH</t>
  </si>
  <si>
    <t xml:space="preserve">   12    3øT   204øH</t>
  </si>
  <si>
    <t xml:space="preserve">   12    3øT   208øH</t>
  </si>
  <si>
    <t xml:space="preserve">   12    4øT   218øH</t>
  </si>
  <si>
    <t xml:space="preserve">   12    3øT   225øH</t>
  </si>
  <si>
    <t xml:space="preserve">   12    3øT   211øH</t>
  </si>
  <si>
    <t xml:space="preserve">   12    3øT   218øH</t>
  </si>
  <si>
    <t xml:space="preserve">   12    3øT   217øH</t>
  </si>
  <si>
    <t xml:space="preserve">   12    3øT   219øH</t>
  </si>
  <si>
    <t xml:space="preserve">   12    3øT   233øH</t>
  </si>
  <si>
    <t xml:space="preserve">   12    2øT   201øH</t>
  </si>
  <si>
    <t xml:space="preserve">   12    3øT   212øH</t>
  </si>
  <si>
    <t xml:space="preserve">   12    3øT   207øH</t>
  </si>
  <si>
    <t xml:space="preserve">   12    4øT   205øH</t>
  </si>
  <si>
    <t xml:space="preserve">   12    3øT   231øH</t>
  </si>
  <si>
    <t xml:space="preserve">   12    5øT   222øH</t>
  </si>
  <si>
    <t xml:space="preserve">   12    2øT   284øH</t>
  </si>
  <si>
    <t xml:space="preserve">   13    2øT   322øH</t>
  </si>
  <si>
    <t xml:space="preserve">   13    3øT   304øH</t>
  </si>
  <si>
    <t xml:space="preserve">   13    3øT   340øH</t>
  </si>
  <si>
    <t xml:space="preserve">   13    3øT   345øH</t>
  </si>
  <si>
    <t xml:space="preserve">   13    2øT   308øH</t>
  </si>
  <si>
    <t xml:space="preserve">   13    2øT     9øH</t>
  </si>
  <si>
    <t xml:space="preserve">   13    2øT   335øH</t>
  </si>
  <si>
    <t xml:space="preserve">   13    2øT   355øH</t>
  </si>
  <si>
    <t xml:space="preserve">   13    2øT   344øH</t>
  </si>
  <si>
    <t xml:space="preserve">   13    2øT     2øH</t>
  </si>
  <si>
    <t xml:space="preserve">   13    2øT   209øH</t>
  </si>
  <si>
    <t xml:space="preserve">   13    2øT    61øH</t>
  </si>
  <si>
    <t xml:space="preserve">   13    2øT   152øH</t>
  </si>
  <si>
    <t xml:space="preserve">   13    2øT   202øH</t>
  </si>
  <si>
    <t xml:space="preserve">   13    2øT   336øH</t>
  </si>
  <si>
    <t xml:space="preserve">   13    2øT   144øH</t>
  </si>
  <si>
    <t xml:space="preserve">   13    2øT   296øH</t>
  </si>
  <si>
    <t xml:space="preserve">   13    2øT   124øH</t>
  </si>
  <si>
    <t xml:space="preserve">   14    2øT   160øH</t>
  </si>
  <si>
    <t xml:space="preserve">   14    2øT   175øH</t>
  </si>
  <si>
    <t xml:space="preserve">   14    2øT   345øH</t>
  </si>
  <si>
    <t xml:space="preserve">   14    2øT    48øH</t>
  </si>
  <si>
    <t xml:space="preserve">   14    2øT   344øH</t>
  </si>
  <si>
    <t xml:space="preserve">   14    2øT     8øH</t>
  </si>
  <si>
    <t xml:space="preserve">   14    2øT   284øH</t>
  </si>
  <si>
    <t xml:space="preserve">   14    2øT   314øH</t>
  </si>
  <si>
    <t xml:space="preserve">   14    3øT   293øH</t>
  </si>
  <si>
    <t xml:space="preserve">   14    3øT   290øH</t>
  </si>
  <si>
    <t xml:space="preserve">   14    3øT   286øH</t>
  </si>
  <si>
    <t xml:space="preserve">   14    2øT   286øH</t>
  </si>
  <si>
    <t xml:space="preserve">   14    3øT   259øH</t>
  </si>
  <si>
    <t xml:space="preserve">   14    2øT   253øH</t>
  </si>
  <si>
    <t xml:space="preserve">   14    2øT   232øH</t>
  </si>
  <si>
    <t xml:space="preserve">   14    3øT   209øH</t>
  </si>
  <si>
    <t xml:space="preserve">   14    3øT   191øH</t>
  </si>
  <si>
    <t xml:space="preserve">   14    2øT   215øH</t>
  </si>
  <si>
    <t xml:space="preserve">   15    2øT   179øH</t>
  </si>
  <si>
    <t xml:space="preserve">   15    2øT   263øH</t>
  </si>
  <si>
    <t xml:space="preserve">   15    2øT   140øH</t>
  </si>
  <si>
    <t xml:space="preserve">   15    2øT   341øH</t>
  </si>
  <si>
    <t xml:space="preserve">   15    2øT    23øH</t>
  </si>
  <si>
    <t xml:space="preserve">   15    3øT   317øH</t>
  </si>
  <si>
    <t xml:space="preserve">   15    2øT   336øH</t>
  </si>
  <si>
    <t xml:space="preserve">   15    3øT   339øH</t>
  </si>
  <si>
    <t xml:space="preserve">   15    2øT   306øH</t>
  </si>
  <si>
    <t xml:space="preserve">   15    2øT   359øH</t>
  </si>
  <si>
    <t xml:space="preserve">   15    2øT   309øH</t>
  </si>
  <si>
    <t xml:space="preserve">   15    2øT   350øH</t>
  </si>
  <si>
    <t xml:space="preserve">   15    2øT   342øH</t>
  </si>
  <si>
    <t xml:space="preserve">   15    2øT   334øH</t>
  </si>
  <si>
    <t xml:space="preserve">   15    2øT   245øH</t>
  </si>
  <si>
    <t xml:space="preserve">   16    2øT   301øH</t>
  </si>
  <si>
    <t xml:space="preserve">   16    2øT   318øH</t>
  </si>
  <si>
    <t xml:space="preserve">   16    2øT   268øH</t>
  </si>
  <si>
    <t xml:space="preserve">   16    2øT   300øH</t>
  </si>
  <si>
    <t xml:space="preserve">   16    3øT   260øH</t>
  </si>
  <si>
    <t xml:space="preserve">   16    2øT   299øH</t>
  </si>
  <si>
    <t xml:space="preserve">   16    3øT   252øH</t>
  </si>
  <si>
    <t xml:space="preserve">   16    3øT   256øH</t>
  </si>
  <si>
    <t xml:space="preserve">   16    3øT   315øH</t>
  </si>
  <si>
    <t xml:space="preserve">   16    3øT   280øH</t>
  </si>
  <si>
    <t xml:space="preserve">   16    2øT   293øH</t>
  </si>
  <si>
    <t xml:space="preserve">   16    4øT   287øH</t>
  </si>
  <si>
    <t xml:space="preserve">   16    3øT   272øH</t>
  </si>
  <si>
    <t xml:space="preserve">   16    4øT   248øH</t>
  </si>
  <si>
    <t xml:space="preserve">   16    3øT   230øH</t>
  </si>
  <si>
    <t xml:space="preserve">   16    4øT   291øH</t>
  </si>
  <si>
    <t xml:space="preserve">   16    3øT   224øH</t>
  </si>
  <si>
    <t xml:space="preserve">   16    3øT   305øH</t>
  </si>
  <si>
    <t xml:space="preserve">   17    4øT   312øH</t>
  </si>
  <si>
    <t xml:space="preserve">   17    4øT   282øH</t>
  </si>
  <si>
    <t xml:space="preserve">   17    4øT   306øH</t>
  </si>
  <si>
    <t xml:space="preserve">   17    3øT   311øH</t>
  </si>
  <si>
    <t xml:space="preserve">   17    2øT   284øH</t>
  </si>
  <si>
    <t xml:space="preserve">   17    3øT   309øH</t>
  </si>
  <si>
    <t xml:space="preserve">   17    2øT   187øH</t>
  </si>
  <si>
    <t xml:space="preserve">   17    2øT   222øH</t>
  </si>
  <si>
    <t xml:space="preserve">   17    2øT   181øH</t>
  </si>
  <si>
    <t xml:space="preserve">   17    2øT   262øH</t>
  </si>
  <si>
    <t xml:space="preserve">   17    3øT   226øH</t>
  </si>
  <si>
    <t xml:space="preserve">   17    3øT   254øH</t>
  </si>
  <si>
    <t xml:space="preserve">   17    4øT   255øH</t>
  </si>
  <si>
    <t xml:space="preserve">   17    4øT   259øH</t>
  </si>
  <si>
    <t xml:space="preserve">   17    4øT   273øH</t>
  </si>
  <si>
    <t xml:space="preserve">   17    3øT   233øH</t>
  </si>
  <si>
    <t xml:space="preserve">   17    4øT   254øH</t>
  </si>
  <si>
    <t xml:space="preserve">   17    4øT   235øH</t>
  </si>
  <si>
    <t xml:space="preserve">   18    5øT   239øH</t>
  </si>
  <si>
    <t xml:space="preserve">   18    5øT   241øH</t>
  </si>
  <si>
    <t xml:space="preserve">   18    4øT   234øH</t>
  </si>
  <si>
    <t xml:space="preserve">   18    5øT   249øH</t>
  </si>
  <si>
    <t xml:space="preserve">   18    6øT   235øH</t>
  </si>
  <si>
    <t xml:space="preserve">   18    5øT   251øH</t>
  </si>
  <si>
    <t xml:space="preserve">   18    6øT   252øH</t>
  </si>
  <si>
    <t xml:space="preserve">   18    5øT   221øH</t>
  </si>
  <si>
    <t xml:space="preserve">   18    4øT   251øH</t>
  </si>
  <si>
    <t xml:space="preserve">   18    6øT   271øH</t>
  </si>
  <si>
    <t xml:space="preserve">   18    4øT   248øH</t>
  </si>
  <si>
    <t xml:space="preserve">   18    4øT   267øH</t>
  </si>
  <si>
    <t xml:space="preserve">   18    4øT   268øH</t>
  </si>
  <si>
    <t xml:space="preserve">   18    4øT   242øH</t>
  </si>
  <si>
    <t xml:space="preserve">   18    3øT   269øH</t>
  </si>
  <si>
    <t xml:space="preserve">   18    3øT   254øH</t>
  </si>
  <si>
    <t xml:space="preserve">   19    3øT   280øH</t>
  </si>
  <si>
    <t xml:space="preserve">   19    4øT   275øH</t>
  </si>
  <si>
    <t xml:space="preserve">   19    4øT   271øH</t>
  </si>
  <si>
    <t xml:space="preserve">   19    3øT   281øH</t>
  </si>
  <si>
    <t xml:space="preserve">   19    4øT   246øH</t>
  </si>
  <si>
    <t xml:space="preserve">   19    4øT   239øH</t>
  </si>
  <si>
    <t xml:space="preserve">   19    4øT   259øH</t>
  </si>
  <si>
    <t xml:space="preserve">   19    5øT   260øH</t>
  </si>
  <si>
    <t xml:space="preserve">   19    5øT   256øH</t>
  </si>
  <si>
    <t xml:space="preserve">   19    4øT   265øH</t>
  </si>
  <si>
    <t xml:space="preserve">   19    5øT   261øH</t>
  </si>
  <si>
    <t xml:space="preserve">   19    5øT   281øH</t>
  </si>
  <si>
    <t xml:space="preserve">   19    6øT   276øH</t>
  </si>
  <si>
    <t xml:space="preserve">   19    5øT   267øH</t>
  </si>
  <si>
    <t xml:space="preserve">   19    5øT   264øH</t>
  </si>
  <si>
    <t xml:space="preserve">   19    4øT   251øH</t>
  </si>
  <si>
    <t xml:space="preserve">   19    5øT   247øH</t>
  </si>
  <si>
    <t xml:space="preserve">   19    5øT   266øH</t>
  </si>
  <si>
    <t xml:space="preserve">   20    7øT   285øH</t>
  </si>
  <si>
    <t xml:space="preserve">   20    8øT   265øH</t>
  </si>
  <si>
    <t xml:space="preserve">   20    8øT   282øH</t>
  </si>
  <si>
    <t xml:space="preserve">   20    7øT   280øH</t>
  </si>
  <si>
    <t xml:space="preserve">   20    5øT   262øH</t>
  </si>
  <si>
    <t xml:space="preserve">   20    7øT   259øH</t>
  </si>
  <si>
    <t xml:space="preserve">   20    5øT   235øH</t>
  </si>
  <si>
    <t xml:space="preserve">   20    5øT   243øH</t>
  </si>
  <si>
    <t xml:space="preserve">   20    5øT   204øH</t>
  </si>
  <si>
    <t xml:space="preserve">   20    5øT   205øH</t>
  </si>
  <si>
    <t xml:space="preserve">   20    5øT   213øH</t>
  </si>
  <si>
    <t xml:space="preserve">   20    6øT   208øH</t>
  </si>
  <si>
    <t xml:space="preserve">   20    6øT   189øH</t>
  </si>
  <si>
    <t xml:space="preserve">   20    6øT   192øH</t>
  </si>
  <si>
    <t xml:space="preserve">   20    6øT   181øH</t>
  </si>
  <si>
    <t xml:space="preserve">   20    6øT   201øH</t>
  </si>
  <si>
    <t xml:space="preserve">   20    4øT   187øH</t>
  </si>
  <si>
    <t xml:space="preserve">   20    3øT   177øH</t>
  </si>
  <si>
    <t xml:space="preserve">   21    4øT   172øH</t>
  </si>
  <si>
    <t xml:space="preserve">   21    5øT   174øH</t>
  </si>
  <si>
    <t xml:space="preserve">   21    5øT   162øH</t>
  </si>
  <si>
    <t xml:space="preserve">   21    5øT   168øH</t>
  </si>
  <si>
    <t xml:space="preserve">   21    6øT   150øH</t>
  </si>
  <si>
    <t xml:space="preserve">   21    5øT   151øH</t>
  </si>
  <si>
    <t xml:space="preserve">   21    6øT   163øH</t>
  </si>
  <si>
    <t xml:space="preserve">   21    6øT   151øH</t>
  </si>
  <si>
    <t xml:space="preserve">   21    5øT   172øH</t>
  </si>
  <si>
    <t xml:space="preserve">   21    4øT   155øH</t>
  </si>
  <si>
    <t xml:space="preserve">   21    4øT   161øH</t>
  </si>
  <si>
    <t xml:space="preserve">   21    4øT   151øH</t>
  </si>
  <si>
    <t xml:space="preserve">   21    2øT   178øH</t>
  </si>
  <si>
    <t xml:space="preserve">   21    3øT   179øH</t>
  </si>
  <si>
    <t xml:space="preserve">   21    3øT   187øH</t>
  </si>
  <si>
    <t xml:space="preserve">   21    4øT   180øH</t>
  </si>
  <si>
    <t xml:space="preserve">   21    3øT   170øH</t>
  </si>
  <si>
    <t xml:space="preserve">   21    3øT   161øH</t>
  </si>
  <si>
    <t xml:space="preserve"> Normal shutdown.</t>
  </si>
  <si>
    <t xml:space="preserve"> End of instrument data file.        </t>
  </si>
  <si>
    <t xml:space="preserve"> Terminate file logging operation now          </t>
  </si>
  <si>
    <t xml:space="preserve"> and press any key to continue.</t>
  </si>
  <si>
    <t>SBE37SM model# 37SM, serial# 37SM4906</t>
  </si>
  <si>
    <t>SBE37SM model# 37SM, serial# 37SM4907</t>
  </si>
  <si>
    <t>RBR-TDR_2050_16371</t>
  </si>
  <si>
    <t>4500m SBE47 SM 8985</t>
  </si>
  <si>
    <t>1210m Aquadopp A6L-4908 AQD-9897</t>
  </si>
  <si>
    <t>E 1</t>
  </si>
  <si>
    <t>L 1</t>
  </si>
  <si>
    <t>McLane-PARFLUX-Mark78H-21 ; controller sn ML11649-01, frame sn 10705-01, funnel says 10583, motor sn 11640-01, cup set L250x21</t>
  </si>
  <si>
    <t>[2020-09-04 07:13:55.205] yëÿôÿ~€</t>
  </si>
  <si>
    <t>[2020-09-04 07:15:00.471]  Enter &lt;CTRL-C&gt; now to wake up??????</t>
  </si>
  <si>
    <t xml:space="preserve">[2020-09-04 07:15:03.683] </t>
  </si>
  <si>
    <t>[2020-09-04 07:15:03.698]  &lt;09/04/2020 07:05:16&gt; Sleeping . . .</t>
  </si>
  <si>
    <t xml:space="preserve">[2020-09-04 07:15:05.670] </t>
  </si>
  <si>
    <t>[2020-09-04 07:15:05.685]  &lt;09/04/2020 07:05:18&gt; Sleeping . . .</t>
  </si>
  <si>
    <t xml:space="preserve">[2020-09-04 07:15:11.037] </t>
  </si>
  <si>
    <t>[2020-09-04 07:15:11.053]  Enter &lt;CTRL-C&gt; now to wake up????</t>
  </si>
  <si>
    <t xml:space="preserve">[2020-09-04 07:15:13.271] </t>
  </si>
  <si>
    <t>[2020-09-04 07:15:13.317] _______________________________________________________</t>
  </si>
  <si>
    <t xml:space="preserve">[2020-09-04 07:15:13.381] </t>
  </si>
  <si>
    <t xml:space="preserve">[2020-09-04 07:15:13.381]               </t>
  </si>
  <si>
    <t xml:space="preserve">[2020-09-04 07:15:13.436]   </t>
  </si>
  <si>
    <t xml:space="preserve">[2020-09-04 07:15:13.530]     </t>
  </si>
  <si>
    <t xml:space="preserve">[2020-09-04 07:15:13.625]        </t>
  </si>
  <si>
    <t xml:space="preserve">[2020-09-04 07:15:13.734]   </t>
  </si>
  <si>
    <t xml:space="preserve">Version: pst-21c4.c   S/N: ML11741-01            </t>
  </si>
  <si>
    <t xml:space="preserve">[2020-09-04 07:15:13.781] </t>
  </si>
  <si>
    <t xml:space="preserve">[2020-09-04 07:15:13.828]    </t>
  </si>
  <si>
    <t xml:space="preserve">[2020-09-04 07:15:13.922]    </t>
  </si>
  <si>
    <t xml:space="preserve">[2020-09-04 07:15:14.033]    </t>
  </si>
  <si>
    <t xml:space="preserve">[2020-09-04 07:15:14.127]    </t>
  </si>
  <si>
    <t xml:space="preserve">      Fri Sep  4 07:05:25 2020</t>
  </si>
  <si>
    <t xml:space="preserve">[2020-09-04 07:15:14.175] </t>
  </si>
  <si>
    <t xml:space="preserve">[2020-09-04 07:15:14.206]       </t>
  </si>
  <si>
    <t xml:space="preserve">[2020-09-04 07:15:14.300]        </t>
  </si>
  <si>
    <t xml:space="preserve">[2020-09-04 07:15:14.394]  </t>
  </si>
  <si>
    <t xml:space="preserve">[2020-09-04 07:15:14.472]   </t>
  </si>
  <si>
    <t xml:space="preserve">[2020-09-04 07:15:14.534] </t>
  </si>
  <si>
    <t xml:space="preserve">[2020-09-04 07:15:14.566]       </t>
  </si>
  <si>
    <t>election  ? 7</t>
  </si>
  <si>
    <t xml:space="preserve">     Fri Sep  4 07:07:24 2020</t>
  </si>
  <si>
    <t xml:space="preserve"> Electronics S/N:   ML11741-01</t>
  </si>
  <si>
    <t xml:space="preserve"> Data recording start time = 03/05/2019 23:55:01</t>
  </si>
  <si>
    <t xml:space="preserve"> saz21_2019_2000m_11741-01_tilt_SBE37-4907</t>
  </si>
  <si>
    <t xml:space="preserve"> Start:     Y       20.3        3øC       1ø    283ø</t>
  </si>
  <si>
    <t xml:space="preserve"> Stop:      Y       20.1        3øC       1ø    292ø</t>
  </si>
  <si>
    <t xml:space="preserve"> Start:     Y       19.8        3øC       1ø    292ø</t>
  </si>
  <si>
    <t xml:space="preserve"> Stop:      Y       19.5        3øC       0ø    314ø</t>
  </si>
  <si>
    <t xml:space="preserve"> Start:     Y       19.4        3øC       1ø    319ø</t>
  </si>
  <si>
    <t xml:space="preserve"> Stop:      Y       19.1        3øC       1ø    323ø</t>
  </si>
  <si>
    <t xml:space="preserve"> Start:     Y       18.9        3øC      10ø    238ø</t>
  </si>
  <si>
    <t xml:space="preserve"> Stop:      Y       18.7        3øC      10ø    237ø</t>
  </si>
  <si>
    <t xml:space="preserve"> Start:     Y       18.6        3øC       1ø     47ø</t>
  </si>
  <si>
    <t xml:space="preserve"> Stop:      Y       18.3        3øC       0ø     41ø</t>
  </si>
  <si>
    <t xml:space="preserve"> Start:     Y       18.3        3øC       1ø    311ø</t>
  </si>
  <si>
    <t xml:space="preserve"> Stop:      Y       18.0        3øC       0ø    324ø</t>
  </si>
  <si>
    <t xml:space="preserve"> Start:     Y       18.2        3øC       1ø    174ø</t>
  </si>
  <si>
    <t xml:space="preserve"> Stop:      Y       17.8        3øC       1ø    164ø</t>
  </si>
  <si>
    <t xml:space="preserve"> Start:     Y       18.1        3øC       5ø    189ø</t>
  </si>
  <si>
    <t xml:space="preserve"> Stop:      Y       17.7        3øC       5ø    184ø</t>
  </si>
  <si>
    <t xml:space="preserve"> Start:     Y       17.9        3øC       3ø     89ø</t>
  </si>
  <si>
    <t xml:space="preserve"> Stop:      Y       17.6        3øC       3ø     89ø</t>
  </si>
  <si>
    <t xml:space="preserve"> Start:     Y       17.8        3øC       1ø    298ø</t>
  </si>
  <si>
    <t xml:space="preserve"> Stop:      Y       17.5        3øC       1ø    282ø</t>
  </si>
  <si>
    <t xml:space="preserve"> Start:     Y       17.7        3øC       0ø     69ø</t>
  </si>
  <si>
    <t xml:space="preserve"> Stop:      Y       17.4        3øC       0ø     83ø</t>
  </si>
  <si>
    <t xml:space="preserve"> Start:     Y       17.6        3øC       2ø    218ø</t>
  </si>
  <si>
    <t xml:space="preserve"> Stop:      Y       17.3        3øC       2ø    221ø</t>
  </si>
  <si>
    <t xml:space="preserve"> Start:     Y       17.5        3øC       2ø    282ø</t>
  </si>
  <si>
    <t xml:space="preserve"> Stop:      Y       17.1        3øC       2ø    278ø</t>
  </si>
  <si>
    <t xml:space="preserve"> Start:     Y       17.4        3øC       1ø    253ø</t>
  </si>
  <si>
    <t xml:space="preserve"> Stop:      Y       17.0        3øC       0ø    274ø</t>
  </si>
  <si>
    <t xml:space="preserve"> Start:     Y       17.3        3øC       1ø    215ø</t>
  </si>
  <si>
    <t xml:space="preserve"> Stop:      Y       16.8        3øC       1ø    223ø</t>
  </si>
  <si>
    <t xml:space="preserve"> Start:     Y       17.1        3øC       1ø    316ø</t>
  </si>
  <si>
    <t xml:space="preserve"> Stop:      Y       16.8        3øC       1ø    333ø</t>
  </si>
  <si>
    <t xml:space="preserve"> Start:     Y       17.0        3øC       2ø    285ø</t>
  </si>
  <si>
    <t xml:space="preserve"> Stop:      Y       16.6        3øC       2ø    276ø</t>
  </si>
  <si>
    <t xml:space="preserve"> Start:     Y       16.8        3øC       3ø    251ø</t>
  </si>
  <si>
    <t xml:space="preserve"> Stop:      Y       16.4        3øC       3ø    247ø</t>
  </si>
  <si>
    <t xml:space="preserve"> Start:     Y       16.7        3øC       2ø    253ø</t>
  </si>
  <si>
    <t xml:space="preserve"> Stop:      Y       16.2        3øC       2ø    254ø</t>
  </si>
  <si>
    <t xml:space="preserve"> Start:     Y       16.5        3øC       6ø    256ø</t>
  </si>
  <si>
    <t xml:space="preserve"> Stop:      Y       16.0        3øC       6ø    259ø</t>
  </si>
  <si>
    <t xml:space="preserve"> Start:     Y       16.4        3øC       3ø    199ø</t>
  </si>
  <si>
    <t xml:space="preserve"> Stop:      Y       15.9        3øC       2ø    202ø</t>
  </si>
  <si>
    <t xml:space="preserve"> Start:     Y       16.2        3øC       1ø    192ø</t>
  </si>
  <si>
    <t xml:space="preserve"> Stop:      Y       15.7        3øC       1ø    193ø</t>
  </si>
  <si>
    <t xml:space="preserve">   01    1øT   283øH</t>
  </si>
  <si>
    <t xml:space="preserve">   01    1øT   280øH</t>
  </si>
  <si>
    <t xml:space="preserve">   01    1øT   231øH</t>
  </si>
  <si>
    <t xml:space="preserve">   01    1øT   288øH</t>
  </si>
  <si>
    <t xml:space="preserve">   01    1øT   246øH</t>
  </si>
  <si>
    <t xml:space="preserve">   01    1øT   286øH</t>
  </si>
  <si>
    <t xml:space="preserve">   01    1øT   254øH</t>
  </si>
  <si>
    <t xml:space="preserve">   01    2øT   256øH</t>
  </si>
  <si>
    <t xml:space="preserve">   01    1øT   312øH</t>
  </si>
  <si>
    <t xml:space="preserve">   01    2øT   270øH</t>
  </si>
  <si>
    <t xml:space="preserve">   01    0øT   273øH</t>
  </si>
  <si>
    <t xml:space="preserve">   01    0øT   207øH</t>
  </si>
  <si>
    <t xml:space="preserve">   01    1øT   320øH</t>
  </si>
  <si>
    <t xml:space="preserve">   01    1øT   276øH</t>
  </si>
  <si>
    <t xml:space="preserve">   01    1øT   300øH</t>
  </si>
  <si>
    <t xml:space="preserve">   01    1øT   263øH</t>
  </si>
  <si>
    <t xml:space="preserve">   02    1øT   271øH</t>
  </si>
  <si>
    <t xml:space="preserve">   02    1øT   288øH</t>
  </si>
  <si>
    <t xml:space="preserve">   02    1øT   298øH</t>
  </si>
  <si>
    <t xml:space="preserve">   02    1øT   297øH</t>
  </si>
  <si>
    <t xml:space="preserve">   02    1øT   305øH</t>
  </si>
  <si>
    <t xml:space="preserve">   02    1øT   301øH</t>
  </si>
  <si>
    <t xml:space="preserve">   02    1øT   293øH</t>
  </si>
  <si>
    <t xml:space="preserve">   02    1øT   272øH</t>
  </si>
  <si>
    <t xml:space="preserve">   02    1øT   270øH</t>
  </si>
  <si>
    <t xml:space="preserve">   02    1øT   269øH</t>
  </si>
  <si>
    <t xml:space="preserve">   02    1øT   264øH</t>
  </si>
  <si>
    <t xml:space="preserve">   02    1øT   260øH</t>
  </si>
  <si>
    <t xml:space="preserve">   02    1øT   291øH</t>
  </si>
  <si>
    <t xml:space="preserve">   02    1øT   275øH</t>
  </si>
  <si>
    <t xml:space="preserve">   02    1øT   307øH</t>
  </si>
  <si>
    <t xml:space="preserve">   02    1øT   299øH</t>
  </si>
  <si>
    <t xml:space="preserve">   03    1øT   302øH</t>
  </si>
  <si>
    <t xml:space="preserve">   03    1øT   315øH</t>
  </si>
  <si>
    <t xml:space="preserve">   03    1øT   321øH</t>
  </si>
  <si>
    <t xml:space="preserve">   03    1øT   297øH</t>
  </si>
  <si>
    <t xml:space="preserve">   03    1øT   309øH</t>
  </si>
  <si>
    <t xml:space="preserve">   03    1øT   278øH</t>
  </si>
  <si>
    <t xml:space="preserve">   03    2øT   277øH</t>
  </si>
  <si>
    <t xml:space="preserve">   03    3øT   259øH</t>
  </si>
  <si>
    <t xml:space="preserve">   03    4øT   249øH</t>
  </si>
  <si>
    <t xml:space="preserve">   03    4øT   237øH</t>
  </si>
  <si>
    <t xml:space="preserve">   03    7øT   219øH</t>
  </si>
  <si>
    <t xml:space="preserve">   03    8øT   220øH</t>
  </si>
  <si>
    <t xml:space="preserve">   03   10øT   231øH</t>
  </si>
  <si>
    <t xml:space="preserve">   03   11øT   231øH</t>
  </si>
  <si>
    <t xml:space="preserve">   03   11øT   229øH</t>
  </si>
  <si>
    <t xml:space="preserve">   04    5øT   248øH</t>
  </si>
  <si>
    <t xml:space="preserve">   04    4øT   264øH</t>
  </si>
  <si>
    <t xml:space="preserve">   04    2øT   250øH</t>
  </si>
  <si>
    <t xml:space="preserve">   04    2øT   241øH</t>
  </si>
  <si>
    <t xml:space="preserve">   04    1øT   224øH</t>
  </si>
  <si>
    <t xml:space="preserve">   04    1øT   211øH</t>
  </si>
  <si>
    <t xml:space="preserve">   04    1øT   202øH</t>
  </si>
  <si>
    <t xml:space="preserve">   04    1øT   264øH</t>
  </si>
  <si>
    <t xml:space="preserve">   04    0øT   284øH</t>
  </si>
  <si>
    <t xml:space="preserve">   04    1øT   247øH</t>
  </si>
  <si>
    <t xml:space="preserve">   04    0øT   291øH</t>
  </si>
  <si>
    <t xml:space="preserve">   04    0øT   229øH</t>
  </si>
  <si>
    <t xml:space="preserve">   04    0øT    44øH</t>
  </si>
  <si>
    <t xml:space="preserve">   04    0øT   126øH</t>
  </si>
  <si>
    <t xml:space="preserve">   04    0øT    69øH</t>
  </si>
  <si>
    <t xml:space="preserve">   04    1øT    16øH</t>
  </si>
  <si>
    <t xml:space="preserve">   05    1øT    30øH</t>
  </si>
  <si>
    <t xml:space="preserve">   05    1øT     8øH</t>
  </si>
  <si>
    <t xml:space="preserve">   05    1øT    18øH</t>
  </si>
  <si>
    <t xml:space="preserve">   05    1øT    29øH</t>
  </si>
  <si>
    <t xml:space="preserve">   05    1øT    11øH</t>
  </si>
  <si>
    <t xml:space="preserve">   05    1øT   351øH</t>
  </si>
  <si>
    <t xml:space="preserve">   05    1øT   339øH</t>
  </si>
  <si>
    <t xml:space="preserve">   05    1øT   350øH</t>
  </si>
  <si>
    <t xml:space="preserve">   05    1øT   344øH</t>
  </si>
  <si>
    <t xml:space="preserve">   05    1øT    21øH</t>
  </si>
  <si>
    <t xml:space="preserve">   05    1øT   358øH</t>
  </si>
  <si>
    <t xml:space="preserve">   05    1øT    20øH</t>
  </si>
  <si>
    <t xml:space="preserve">   05    1øT   360øH</t>
  </si>
  <si>
    <t xml:space="preserve">   05    0øT    53øH</t>
  </si>
  <si>
    <t xml:space="preserve">   05    0øT   342øH</t>
  </si>
  <si>
    <t xml:space="preserve">   05    1øT   319øH</t>
  </si>
  <si>
    <t xml:space="preserve">   06    0øT   327øH</t>
  </si>
  <si>
    <t xml:space="preserve">   06    0øT   353øH</t>
  </si>
  <si>
    <t xml:space="preserve">   06    1øT   302øH</t>
  </si>
  <si>
    <t xml:space="preserve">   06    0øT   330øH</t>
  </si>
  <si>
    <t xml:space="preserve">   06    1øT   268øH</t>
  </si>
  <si>
    <t xml:space="preserve">   06    0øT   342øH</t>
  </si>
  <si>
    <t xml:space="preserve">   06    1øT   190øH</t>
  </si>
  <si>
    <t xml:space="preserve">   06    1øT   177øH</t>
  </si>
  <si>
    <t xml:space="preserve">   06    1øT   198øH</t>
  </si>
  <si>
    <t xml:space="preserve">   06    1øT   184øH</t>
  </si>
  <si>
    <t xml:space="preserve">   06    1øT   199øH</t>
  </si>
  <si>
    <t xml:space="preserve">   06    1øT   204øH</t>
  </si>
  <si>
    <t xml:space="preserve">   06    1øT   187øH</t>
  </si>
  <si>
    <t xml:space="preserve">   06    1øT   230øH</t>
  </si>
  <si>
    <t xml:space="preserve">   06    1øT   202øH</t>
  </si>
  <si>
    <t xml:space="preserve">   06    1øT   183øH</t>
  </si>
  <si>
    <t xml:space="preserve">   07    1øT   181øH</t>
  </si>
  <si>
    <t xml:space="preserve">   07    1øT   148øH</t>
  </si>
  <si>
    <t xml:space="preserve">   07    1øT   159øH</t>
  </si>
  <si>
    <t xml:space="preserve">   07    1øT   116øH</t>
  </si>
  <si>
    <t xml:space="preserve">   07    1øT   101øH</t>
  </si>
  <si>
    <t xml:space="preserve">   07    1øT   115øH</t>
  </si>
  <si>
    <t xml:space="preserve">   07    1øT    98øH</t>
  </si>
  <si>
    <t xml:space="preserve">   07    1øT   108øH</t>
  </si>
  <si>
    <t xml:space="preserve">   07    1øT   130øH</t>
  </si>
  <si>
    <t xml:space="preserve">   07    1øT   152øH</t>
  </si>
  <si>
    <t xml:space="preserve">   07    1øT   163øH</t>
  </si>
  <si>
    <t xml:space="preserve">   07    1øT   195øH</t>
  </si>
  <si>
    <t xml:space="preserve">   07    2øT   193øH</t>
  </si>
  <si>
    <t xml:space="preserve">   07    3øT   198øH</t>
  </si>
  <si>
    <t xml:space="preserve">   07    4øT   179øH</t>
  </si>
  <si>
    <t xml:space="preserve">   07    4øT   181øH</t>
  </si>
  <si>
    <t xml:space="preserve">   08    5øT   191øH</t>
  </si>
  <si>
    <t xml:space="preserve">   08    9øT   194øH</t>
  </si>
  <si>
    <t xml:space="preserve">   08    6øT   188øH</t>
  </si>
  <si>
    <t xml:space="preserve">   08    6øT   192øH</t>
  </si>
  <si>
    <t xml:space="preserve">   08    5øT   166øH</t>
  </si>
  <si>
    <t xml:space="preserve">   08    5øT   178øH</t>
  </si>
  <si>
    <t xml:space="preserve">   08    3øT   179øH</t>
  </si>
  <si>
    <t xml:space="preserve">   08    3øT   167øH</t>
  </si>
  <si>
    <t xml:space="preserve">   08    1øT   156øH</t>
  </si>
  <si>
    <t xml:space="preserve">   08    1øT   140øH</t>
  </si>
  <si>
    <t xml:space="preserve">   08    2øT    69øH</t>
  </si>
  <si>
    <t xml:space="preserve">   08    3øT    71øH</t>
  </si>
  <si>
    <t xml:space="preserve">   08    6øT    76øH</t>
  </si>
  <si>
    <t xml:space="preserve">   08    8øT    81øH</t>
  </si>
  <si>
    <t xml:space="preserve">   08    9øT    82øH</t>
  </si>
  <si>
    <t xml:space="preserve">   08    7øT    73øH</t>
  </si>
  <si>
    <t xml:space="preserve">   08    6øT    82øH</t>
  </si>
  <si>
    <t xml:space="preserve">   08    5øT    73øH</t>
  </si>
  <si>
    <t xml:space="preserve">   09    2øT    90øH</t>
  </si>
  <si>
    <t xml:space="preserve">   09    1øT    92øH</t>
  </si>
  <si>
    <t xml:space="preserve">   09    1øT    86øH</t>
  </si>
  <si>
    <t xml:space="preserve">   09    1øT    53øH</t>
  </si>
  <si>
    <t xml:space="preserve">   09    1øT    96øH</t>
  </si>
  <si>
    <t xml:space="preserve">   09    1øT   115øH</t>
  </si>
  <si>
    <t xml:space="preserve">   09    1øT    75øH</t>
  </si>
  <si>
    <t xml:space="preserve">   09    1øT   118øH</t>
  </si>
  <si>
    <t xml:space="preserve">   09    1øT   117øH</t>
  </si>
  <si>
    <t xml:space="preserve">   09    0øT   108øH</t>
  </si>
  <si>
    <t xml:space="preserve">   09    0øT   162øH</t>
  </si>
  <si>
    <t xml:space="preserve">   09    1øT   242øH</t>
  </si>
  <si>
    <t xml:space="preserve">   09    1øT   251øH</t>
  </si>
  <si>
    <t xml:space="preserve">   09    1øT   257øH</t>
  </si>
  <si>
    <t xml:space="preserve">   09    1øT   269øH</t>
  </si>
  <si>
    <t xml:space="preserve">   09    1øT   275øH</t>
  </si>
  <si>
    <t xml:space="preserve">   09    1øT   282øH</t>
  </si>
  <si>
    <t xml:space="preserve">   10    1øT   282øH</t>
  </si>
  <si>
    <t xml:space="preserve">   10    1øT   297øH</t>
  </si>
  <si>
    <t xml:space="preserve">   10    1øT   244øH</t>
  </si>
  <si>
    <t xml:space="preserve">   10    1øT   260øH</t>
  </si>
  <si>
    <t xml:space="preserve">   10    1øT   264øH</t>
  </si>
  <si>
    <t xml:space="preserve">   10    1øT   277øH</t>
  </si>
  <si>
    <t xml:space="preserve">   10    1øT   275øH</t>
  </si>
  <si>
    <t xml:space="preserve">   10    0øT   272øH</t>
  </si>
  <si>
    <t xml:space="preserve">   10    1øT   228øH</t>
  </si>
  <si>
    <t xml:space="preserve">   10    1øT   251øH</t>
  </si>
  <si>
    <t xml:space="preserve">   10    0øT   277øH</t>
  </si>
  <si>
    <t xml:space="preserve">   10    1øT   239øH</t>
  </si>
  <si>
    <t xml:space="preserve">   10    1øT   248øH</t>
  </si>
  <si>
    <t xml:space="preserve">   10    1øT   240øH</t>
  </si>
  <si>
    <t xml:space="preserve">   10    0øT   326øH</t>
  </si>
  <si>
    <t xml:space="preserve">   10    0øT   250øH</t>
  </si>
  <si>
    <t xml:space="preserve">   11    0øT   248øH</t>
  </si>
  <si>
    <t xml:space="preserve">   11    0øT   110øH</t>
  </si>
  <si>
    <t xml:space="preserve">   11    0øT   277øH</t>
  </si>
  <si>
    <t xml:space="preserve">   11    0øT   224øH</t>
  </si>
  <si>
    <t xml:space="preserve">   11    0øT    52øH</t>
  </si>
  <si>
    <t xml:space="preserve">   11    1øT   249øH</t>
  </si>
  <si>
    <t xml:space="preserve">   11    1øT     3øH</t>
  </si>
  <si>
    <t xml:space="preserve">   11    0øT   267øH</t>
  </si>
  <si>
    <t xml:space="preserve">   11    1øT   329øH</t>
  </si>
  <si>
    <t xml:space="preserve">   11    1øT   281øH</t>
  </si>
  <si>
    <t xml:space="preserve">   11    1øT   285øH</t>
  </si>
  <si>
    <t xml:space="preserve">   11    1øT   284øH</t>
  </si>
  <si>
    <t xml:space="preserve">   11    1øT   273øH</t>
  </si>
  <si>
    <t xml:space="preserve">   11    0øT   269øH</t>
  </si>
  <si>
    <t xml:space="preserve">   11    1øT   236øH</t>
  </si>
  <si>
    <t xml:space="preserve">   11    0øT   279øH</t>
  </si>
  <si>
    <t xml:space="preserve">   11    1øT   207øH</t>
  </si>
  <si>
    <t xml:space="preserve">   11    1øT   213øH</t>
  </si>
  <si>
    <t xml:space="preserve">   12    1øT   225øH</t>
  </si>
  <si>
    <t xml:space="preserve">   12    2øT   229øH</t>
  </si>
  <si>
    <t xml:space="preserve">   12    2øT   234øH</t>
  </si>
  <si>
    <t xml:space="preserve">   12    2øT   231øH</t>
  </si>
  <si>
    <t xml:space="preserve">   12    2øT   251øH</t>
  </si>
  <si>
    <t xml:space="preserve">   12    2øT   240øH</t>
  </si>
  <si>
    <t xml:space="preserve">   12    2øT   254øH</t>
  </si>
  <si>
    <t xml:space="preserve">   12    2øT   244øH</t>
  </si>
  <si>
    <t xml:space="preserve">   12    1øT   235øH</t>
  </si>
  <si>
    <t xml:space="preserve">   12    1øT   268øH</t>
  </si>
  <si>
    <t xml:space="preserve">   12    1øT   234øH</t>
  </si>
  <si>
    <t xml:space="preserve">   12    1øT   231øH</t>
  </si>
  <si>
    <t xml:space="preserve">   12    2øT   228øH</t>
  </si>
  <si>
    <t xml:space="preserve">   12    1øT   230øH</t>
  </si>
  <si>
    <t xml:space="preserve">   12    1øT   279øH</t>
  </si>
  <si>
    <t xml:space="preserve">   13    1øT   299øH</t>
  </si>
  <si>
    <t xml:space="preserve">   13    2øT   300øH</t>
  </si>
  <si>
    <t xml:space="preserve">   13    1øT   320øH</t>
  </si>
  <si>
    <t xml:space="preserve">   13    1øT   311øH</t>
  </si>
  <si>
    <t xml:space="preserve">   13    1øT   323øH</t>
  </si>
  <si>
    <t xml:space="preserve">   13    1øT   330øH</t>
  </si>
  <si>
    <t xml:space="preserve">   13    1øT   350øH</t>
  </si>
  <si>
    <t xml:space="preserve">   13    1øT   346øH</t>
  </si>
  <si>
    <t xml:space="preserve">   13    0øT    19øH</t>
  </si>
  <si>
    <t xml:space="preserve">   13    0øT   287øH</t>
  </si>
  <si>
    <t xml:space="preserve">   13    0øT   314øH</t>
  </si>
  <si>
    <t xml:space="preserve">   13    0øT   220øH</t>
  </si>
  <si>
    <t xml:space="preserve">   13    0øT   235øH</t>
  </si>
  <si>
    <t xml:space="preserve">   13    0øT   250øH</t>
  </si>
  <si>
    <t xml:space="preserve">   13    0øT   168øH</t>
  </si>
  <si>
    <t xml:space="preserve">   13    1øT   244øH</t>
  </si>
  <si>
    <t xml:space="preserve">   13    1øT   248øH</t>
  </si>
  <si>
    <t xml:space="preserve">   13    0øT   309øH</t>
  </si>
  <si>
    <t xml:space="preserve">   14    0øT   330øH</t>
  </si>
  <si>
    <t xml:space="preserve">   14    1øT   274øH</t>
  </si>
  <si>
    <t xml:space="preserve">   14    1øT   337øH</t>
  </si>
  <si>
    <t xml:space="preserve">   14    1øT   324øH</t>
  </si>
  <si>
    <t xml:space="preserve">   14    1øT   339øH</t>
  </si>
  <si>
    <t xml:space="preserve">   14    0øT   302øH</t>
  </si>
  <si>
    <t xml:space="preserve">   14    1øT   328øH</t>
  </si>
  <si>
    <t xml:space="preserve">   14    1øT   286øH</t>
  </si>
  <si>
    <t xml:space="preserve">   14    2øT   276øH</t>
  </si>
  <si>
    <t xml:space="preserve">   14    1øT   269øH</t>
  </si>
  <si>
    <t xml:space="preserve">   14    2øT   265øH</t>
  </si>
  <si>
    <t xml:space="preserve">   14    1øT   267øH</t>
  </si>
  <si>
    <t xml:space="preserve">   14    1øT   260øH</t>
  </si>
  <si>
    <t xml:space="preserve">   14    1øT   255øH</t>
  </si>
  <si>
    <t xml:space="preserve">   14    1øT   241øH</t>
  </si>
  <si>
    <t xml:space="preserve">   14    1øT   234øH</t>
  </si>
  <si>
    <t xml:space="preserve">   14    1øT   242øH</t>
  </si>
  <si>
    <t xml:space="preserve">   15    1øT   216øH</t>
  </si>
  <si>
    <t xml:space="preserve">   15    1øT   239øH</t>
  </si>
  <si>
    <t xml:space="preserve">   15    0øT   265øH</t>
  </si>
  <si>
    <t xml:space="preserve">   15    1øT   300øH</t>
  </si>
  <si>
    <t xml:space="preserve">   15    1øT   331øH</t>
  </si>
  <si>
    <t xml:space="preserve">   15    1øT   323øH</t>
  </si>
  <si>
    <t xml:space="preserve">   15    1øT   316øH</t>
  </si>
  <si>
    <t xml:space="preserve">   15    1øT   321øH</t>
  </si>
  <si>
    <t xml:space="preserve">   15    1øT   326øH</t>
  </si>
  <si>
    <t xml:space="preserve">   15    1øT   313øH</t>
  </si>
  <si>
    <t xml:space="preserve">   15    1øT   327øH</t>
  </si>
  <si>
    <t xml:space="preserve">   15    1øT   330øH</t>
  </si>
  <si>
    <t xml:space="preserve">   15    1øT   322øH</t>
  </si>
  <si>
    <t xml:space="preserve">   15    1øT   303øH</t>
  </si>
  <si>
    <t xml:space="preserve">   15    1øT   290øH</t>
  </si>
  <si>
    <t xml:space="preserve">   16    1øT   285øH</t>
  </si>
  <si>
    <t xml:space="preserve">   16    1øT   295øH</t>
  </si>
  <si>
    <t xml:space="preserve">   16    2øT   287øH</t>
  </si>
  <si>
    <t xml:space="preserve">   16    1øT   271øH</t>
  </si>
  <si>
    <t xml:space="preserve">   16    2øT   271øH</t>
  </si>
  <si>
    <t xml:space="preserve">   16    2øT   274øH</t>
  </si>
  <si>
    <t xml:space="preserve">   16    2øT   267øH</t>
  </si>
  <si>
    <t xml:space="preserve">   16    2øT   298øH</t>
  </si>
  <si>
    <t xml:space="preserve">   16    2øT   288øH</t>
  </si>
  <si>
    <t xml:space="preserve">   16    2øT   277øH</t>
  </si>
  <si>
    <t xml:space="preserve">   16    2øT   275øH</t>
  </si>
  <si>
    <t xml:space="preserve">   16    3øT   263øH</t>
  </si>
  <si>
    <t xml:space="preserve">   16    2øT   254øH</t>
  </si>
  <si>
    <t xml:space="preserve">   16    3øT   265øH</t>
  </si>
  <si>
    <t xml:space="preserve">   16    3øT   283øH</t>
  </si>
  <si>
    <t xml:space="preserve">   17    3øT   295øH</t>
  </si>
  <si>
    <t xml:space="preserve">   17    2øT   276øH</t>
  </si>
  <si>
    <t xml:space="preserve">   17    2øT   283øH</t>
  </si>
  <si>
    <t xml:space="preserve">   17    1øT   285øH</t>
  </si>
  <si>
    <t xml:space="preserve">   17    1øT   280øH</t>
  </si>
  <si>
    <t xml:space="preserve">   17    1øT   268øH</t>
  </si>
  <si>
    <t xml:space="preserve">   17    1øT   248øH</t>
  </si>
  <si>
    <t xml:space="preserve">   17    1øT   225øH</t>
  </si>
  <si>
    <t xml:space="preserve">   17    1øT   252øH</t>
  </si>
  <si>
    <t xml:space="preserve">   17    2øT   248øH</t>
  </si>
  <si>
    <t xml:space="preserve">   17    1øT   254øH</t>
  </si>
  <si>
    <t xml:space="preserve">   17    3øT   260øH</t>
  </si>
  <si>
    <t xml:space="preserve">   17    2øT   259øH</t>
  </si>
  <si>
    <t xml:space="preserve">   17    3øT   261øH</t>
  </si>
  <si>
    <t xml:space="preserve">   17    2øT   246øH</t>
  </si>
  <si>
    <t xml:space="preserve">   17    3øT   252øH</t>
  </si>
  <si>
    <t xml:space="preserve">   18    4øT   247øH</t>
  </si>
  <si>
    <t xml:space="preserve">   18    4øT   244øH</t>
  </si>
  <si>
    <t xml:space="preserve">   18    3øT   248øH</t>
  </si>
  <si>
    <t xml:space="preserve">   18    5øT   243øH</t>
  </si>
  <si>
    <t xml:space="preserve">   18    5øT   252øH</t>
  </si>
  <si>
    <t xml:space="preserve">   18    5øT   247øH</t>
  </si>
  <si>
    <t xml:space="preserve">   18    4øT   250øH</t>
  </si>
  <si>
    <t xml:space="preserve">   18    4øT   254øH</t>
  </si>
  <si>
    <t xml:space="preserve">   18    4øT   255øH</t>
  </si>
  <si>
    <t xml:space="preserve">   18    3øT   261øH</t>
  </si>
  <si>
    <t xml:space="preserve">   18    3øT   262øH</t>
  </si>
  <si>
    <t xml:space="preserve">   18    2øT   260øH</t>
  </si>
  <si>
    <t xml:space="preserve">   18    2øT   253øH</t>
  </si>
  <si>
    <t xml:space="preserve">   18    2øT   264øH</t>
  </si>
  <si>
    <t xml:space="preserve">   19    2øT   267øH</t>
  </si>
  <si>
    <t xml:space="preserve">   19    3øT   266øH</t>
  </si>
  <si>
    <t xml:space="preserve">   19    3øT   264øH</t>
  </si>
  <si>
    <t xml:space="preserve">   19    2øT   250øH</t>
  </si>
  <si>
    <t xml:space="preserve">   19    2øT   260øH</t>
  </si>
  <si>
    <t xml:space="preserve">   19    3øT   265øH</t>
  </si>
  <si>
    <t xml:space="preserve">   19    4øT   262øH</t>
  </si>
  <si>
    <t xml:space="preserve">   19    3øT   259øH</t>
  </si>
  <si>
    <t xml:space="preserve">   19    3øT   262øH</t>
  </si>
  <si>
    <t xml:space="preserve">   19    5øT   268øH</t>
  </si>
  <si>
    <t xml:space="preserve">   19    5øT   259øH</t>
  </si>
  <si>
    <t xml:space="preserve">   19    5øT   249øH</t>
  </si>
  <si>
    <t xml:space="preserve">   19    5øT   252øH</t>
  </si>
  <si>
    <t xml:space="preserve">   19    6øT   248øH</t>
  </si>
  <si>
    <t xml:space="preserve">   20    6øT   250øH</t>
  </si>
  <si>
    <t xml:space="preserve">   20    7øT   264øH</t>
  </si>
  <si>
    <t xml:space="preserve">   20    6øT   258øH</t>
  </si>
  <si>
    <t xml:space="preserve">   20    5øT   255øH</t>
  </si>
  <si>
    <t xml:space="preserve">   20    5øT   250øH</t>
  </si>
  <si>
    <t xml:space="preserve">   20    4øT   253øH</t>
  </si>
  <si>
    <t xml:space="preserve">   20    4øT   243øH</t>
  </si>
  <si>
    <t xml:space="preserve">   20    4øT   229øH</t>
  </si>
  <si>
    <t xml:space="preserve">   20    4øT   223øH</t>
  </si>
  <si>
    <t xml:space="preserve">   20    4øT   222øH</t>
  </si>
  <si>
    <t xml:space="preserve">   20    4øT   220øH</t>
  </si>
  <si>
    <t xml:space="preserve">   20    5øT   212øH</t>
  </si>
  <si>
    <t xml:space="preserve">   20    5øT   211øH</t>
  </si>
  <si>
    <t xml:space="preserve">   20    4øT   212øH</t>
  </si>
  <si>
    <t xml:space="preserve">   20    3øT   200øH</t>
  </si>
  <si>
    <t xml:space="preserve">   20    3øT   202øH</t>
  </si>
  <si>
    <t xml:space="preserve">   21    3øT   193øH</t>
  </si>
  <si>
    <t xml:space="preserve">   21    4øT   189øH</t>
  </si>
  <si>
    <t xml:space="preserve">   21    3øT   182øH</t>
  </si>
  <si>
    <t xml:space="preserve">   21    5øT   164øH</t>
  </si>
  <si>
    <t xml:space="preserve">   21    6øT   169øH</t>
  </si>
  <si>
    <t xml:space="preserve">   21    5øT   165øH</t>
  </si>
  <si>
    <t xml:space="preserve">   21    4øT   170øH</t>
  </si>
  <si>
    <t xml:space="preserve">   21    3øT   167øH</t>
  </si>
  <si>
    <t xml:space="preserve">   21    3øT   173øH</t>
  </si>
  <si>
    <t xml:space="preserve">   21    2øT   169øH</t>
  </si>
  <si>
    <t xml:space="preserve">   21    0øT   210øH</t>
  </si>
  <si>
    <t xml:space="preserve">   21    2øT   190øH</t>
  </si>
  <si>
    <t xml:space="preserve">   21    1øT   196øH</t>
  </si>
  <si>
    <t xml:space="preserve">   21    2øT   187øH</t>
  </si>
  <si>
    <t xml:space="preserve">   21    1øT   193øH</t>
  </si>
  <si>
    <t xml:space="preserve">   21    1øT   166øH</t>
  </si>
  <si>
    <t xml:space="preserve">      Fri Sep  4 07:08:16 2020</t>
  </si>
  <si>
    <t xml:space="preserve">  Selection  ? 4</t>
  </si>
  <si>
    <t xml:space="preserve"> &lt;09/04/2020 07:09:10&gt; Sleeping . . .</t>
  </si>
  <si>
    <t>1000m</t>
  </si>
  <si>
    <t>2000m</t>
  </si>
  <si>
    <t>3800m</t>
  </si>
  <si>
    <t xml:space="preserve">[2020-09-04 07:26:53.243] </t>
  </si>
  <si>
    <t>[2020-09-04 07:26:53.275] _______________________________________________________</t>
  </si>
  <si>
    <t xml:space="preserve">[2020-09-04 07:26:53.337] </t>
  </si>
  <si>
    <t xml:space="preserve">[2020-09-04 07:26:53.353]               </t>
  </si>
  <si>
    <t xml:space="preserve">[2020-09-04 07:26:53.415]      </t>
  </si>
  <si>
    <t xml:space="preserve">[2020-09-04 07:26:53.525]     </t>
  </si>
  <si>
    <t xml:space="preserve">[2020-09-04 07:26:53.618]        </t>
  </si>
  <si>
    <t xml:space="preserve">Version: pst-21_1.c   S/N: ML11649-01            </t>
  </si>
  <si>
    <t xml:space="preserve">[2020-09-04 07:26:53.681] </t>
  </si>
  <si>
    <t xml:space="preserve">[2020-09-04 07:26:53.728]    </t>
  </si>
  <si>
    <t xml:space="preserve">[2020-09-04 07:26:53.825]    </t>
  </si>
  <si>
    <t xml:space="preserve">[2020-09-04 07:26:53.919]    </t>
  </si>
  <si>
    <t xml:space="preserve">[2020-09-04 07:26:54.028]    </t>
  </si>
  <si>
    <t xml:space="preserve">      Fri Sep  4 06:42:26 2020</t>
  </si>
  <si>
    <t xml:space="preserve">[2020-09-04 07:26:54.059] </t>
  </si>
  <si>
    <t xml:space="preserve">[2020-09-04 07:26:54.091]       </t>
  </si>
  <si>
    <t xml:space="preserve">[2020-09-04 07:26:54.201]        </t>
  </si>
  <si>
    <t xml:space="preserve">[2020-09-04 07:26:54.295]  </t>
  </si>
  <si>
    <t xml:space="preserve">[2020-09-04 07:26:54.389]   </t>
  </si>
  <si>
    <t xml:space="preserve">[2020-09-04 07:26:54.451] </t>
  </si>
  <si>
    <t xml:space="preserve">[2020-09-04 07:26:54.451]       </t>
  </si>
  <si>
    <t xml:space="preserve">     Fri Sep  4 06:42:52 2020</t>
  </si>
  <si>
    <t xml:space="preserve">&lt;1&gt; Display data file        </t>
  </si>
  <si>
    <t xml:space="preserve">&lt;2&gt; Display backup EEPROM        </t>
  </si>
  <si>
    <t xml:space="preserve"> Software version:  pst-21_1.c          </t>
  </si>
  <si>
    <t xml:space="preserve"> Compiled:          Sep 26 2002 11:10:14  </t>
  </si>
  <si>
    <t xml:space="preserve"> Electronics S/N:   ML11649-01</t>
  </si>
  <si>
    <t xml:space="preserve"> Data recording start time = 03/06/2019 00:13:35</t>
  </si>
  <si>
    <t xml:space="preserve"> Data recording stop time  = 04/28/2020 00:00:26</t>
  </si>
  <si>
    <t xml:space="preserve"> saz21_2019_3800m_11649-01_no tilt_RBR-TDR-2050-16371</t>
  </si>
  <si>
    <t xml:space="preserve"> Event stop time:       03/26/2019 00:00:25</t>
  </si>
  <si>
    <t xml:space="preserve">         Aligned    Battery    Temperature</t>
  </si>
  <si>
    <t xml:space="preserve"> Start:     Y         20.1          1 øC</t>
  </si>
  <si>
    <t xml:space="preserve"> Stop:      Y         19.8          2 øC</t>
  </si>
  <si>
    <t xml:space="preserve"> Event stop time:       04/14/2019 00:00:25</t>
  </si>
  <si>
    <t xml:space="preserve"> Start:     Y         19.5          1 øC</t>
  </si>
  <si>
    <t xml:space="preserve"> Stop:      Y         19.2          2 øC</t>
  </si>
  <si>
    <t xml:space="preserve"> Event stop time:       05/03/2019 00:00:25</t>
  </si>
  <si>
    <t xml:space="preserve"> Start:     Y         19.0          1 øC</t>
  </si>
  <si>
    <t xml:space="preserve"> Stop:      Y         18.7          2 øC</t>
  </si>
  <si>
    <t xml:space="preserve"> Event stop time:       05/22/2019 00:00:25</t>
  </si>
  <si>
    <t xml:space="preserve"> Start:     Y         18.5          1 øC</t>
  </si>
  <si>
    <t xml:space="preserve"> Stop:      Y         18.2          1 øC</t>
  </si>
  <si>
    <t xml:space="preserve"> Event stop time:       06/10/2019 00:00:25</t>
  </si>
  <si>
    <t xml:space="preserve"> Start:     Y         18.1          1 øC</t>
  </si>
  <si>
    <t xml:space="preserve"> Stop:      Y         17.9          1 øC</t>
  </si>
  <si>
    <t xml:space="preserve"> Event stop time:       06/29/2019 00:00:25</t>
  </si>
  <si>
    <t xml:space="preserve"> Start:     Y         18.0          1 øC</t>
  </si>
  <si>
    <t xml:space="preserve"> Stop:      Y         17.7          1 øC</t>
  </si>
  <si>
    <t xml:space="preserve"> Event stop time:       07/18/2019 00:00:25</t>
  </si>
  <si>
    <t xml:space="preserve"> Start:     Y         17.9          1 øC</t>
  </si>
  <si>
    <t xml:space="preserve"> Stop:      Y         17.5          1 øC</t>
  </si>
  <si>
    <t xml:space="preserve"> Event stop time:       08/06/2019 00:00:25</t>
  </si>
  <si>
    <t xml:space="preserve"> Start:     Y         17.7          1 øC</t>
  </si>
  <si>
    <t xml:space="preserve"> Event stop time:       08/25/2019 00:00:25</t>
  </si>
  <si>
    <t xml:space="preserve"> Stop:      Y         17.3          1 øC</t>
  </si>
  <si>
    <t xml:space="preserve"> Event stop time:       09/13/2019 00:00:25</t>
  </si>
  <si>
    <t xml:space="preserve"> Start:     Y         17.5          1 øC</t>
  </si>
  <si>
    <t xml:space="preserve"> Stop:      Y         17.1          1 øC</t>
  </si>
  <si>
    <t xml:space="preserve"> Event stop time:       10/02/2019 00:00:25</t>
  </si>
  <si>
    <t xml:space="preserve"> Start:     Y         17.3          1 øC</t>
  </si>
  <si>
    <t xml:space="preserve"> Event stop time:       10/21/2019 00:00:25</t>
  </si>
  <si>
    <t xml:space="preserve"> Stop:      Y         16.9          1 øC</t>
  </si>
  <si>
    <t xml:space="preserve"> Event stop time:       11/09/2019 00:00:25</t>
  </si>
  <si>
    <t xml:space="preserve"> Start:     Y         17.1          1 øC</t>
  </si>
  <si>
    <t xml:space="preserve"> Stop:      Y         16.8          1 øC</t>
  </si>
  <si>
    <t xml:space="preserve"> Event stop time:       11/28/2019 00:00:25</t>
  </si>
  <si>
    <t xml:space="preserve"> Start:     Y         17.0          1 øC</t>
  </si>
  <si>
    <t xml:space="preserve"> Stop:      Y         16.7          1 øC</t>
  </si>
  <si>
    <t xml:space="preserve"> Event stop time:       12/17/2019 00:00:25</t>
  </si>
  <si>
    <t xml:space="preserve"> Start:     Y         16.9          1 øC</t>
  </si>
  <si>
    <t xml:space="preserve"> Stop:      Y         16.4          1 øC</t>
  </si>
  <si>
    <t xml:space="preserve"> Event stop time:       01/05/2020 00:00:25</t>
  </si>
  <si>
    <t xml:space="preserve"> Start:     Y         16.6          1 øC</t>
  </si>
  <si>
    <t xml:space="preserve"> Stop:      Y         16.2          1 øC</t>
  </si>
  <si>
    <t xml:space="preserve"> Event stop time:       01/24/2020 00:00:25</t>
  </si>
  <si>
    <t xml:space="preserve"> Start:     Y         16.4          1 øC</t>
  </si>
  <si>
    <t xml:space="preserve"> Stop:      Y         16.1          1 øC</t>
  </si>
  <si>
    <t xml:space="preserve"> Event stop time:       02/12/2020 00:00:25</t>
  </si>
  <si>
    <t xml:space="preserve"> Start:     Y         16.3          1 øC</t>
  </si>
  <si>
    <t xml:space="preserve"> Stop:      Y         15.9          1 øC</t>
  </si>
  <si>
    <t xml:space="preserve"> Event stop time:       03/02/2020 00:00:25</t>
  </si>
  <si>
    <t xml:space="preserve"> Start:     Y         16.1          1 øC</t>
  </si>
  <si>
    <t xml:space="preserve"> Stop:      Y         15.6          1 øC</t>
  </si>
  <si>
    <t xml:space="preserve"> Event stop time:       03/21/2020 00:00:25</t>
  </si>
  <si>
    <t xml:space="preserve"> Start:     Y         15.9          1 øC</t>
  </si>
  <si>
    <t xml:space="preserve"> Stop:      Y         15.5          1 øC</t>
  </si>
  <si>
    <t xml:space="preserve"> Event stop time:       04/09/2020 00:00:25</t>
  </si>
  <si>
    <t xml:space="preserve"> Start:     Y         15.8          1 øC</t>
  </si>
  <si>
    <t xml:space="preserve"> Stop:      Y         15.3          1 øC</t>
  </si>
  <si>
    <t xml:space="preserve"> Event stop time:       04/28/2020 00:00:25</t>
  </si>
  <si>
    <t xml:space="preserve"> Start:     Y         15.5          1 øC</t>
  </si>
  <si>
    <t xml:space="preserve"> Stop:      Y         15.1          1 øC</t>
  </si>
  <si>
    <t xml:space="preserve">      Fri Sep  4 06:43:38 2020</t>
  </si>
  <si>
    <t xml:space="preserve"> &lt;09/04/2020 06:43:44&gt; Sleeping . . .</t>
  </si>
  <si>
    <t>COUNT</t>
  </si>
  <si>
    <t>good cups</t>
  </si>
  <si>
    <t>SUM from subtotals</t>
  </si>
  <si>
    <t>SUM Mclane from subs</t>
  </si>
  <si>
    <t>under funnel</t>
  </si>
  <si>
    <t>COUNT from data (as a check)</t>
  </si>
  <si>
    <t>mass/trap</t>
  </si>
  <si>
    <t>time open</t>
  </si>
  <si>
    <t>mass flux</t>
  </si>
  <si>
    <t>mg</t>
  </si>
  <si>
    <t>% of year</t>
  </si>
  <si>
    <t>05:14:34 UTC</t>
  </si>
  <si>
    <t>releases lost, last trap (3800m) on deck</t>
  </si>
  <si>
    <t>SAZ 21</t>
  </si>
  <si>
    <t>1 (+large swimmers)</t>
  </si>
  <si>
    <t>&lt;1</t>
  </si>
  <si>
    <t>temp</t>
  </si>
  <si>
    <t>Date</t>
  </si>
  <si>
    <t>Temp</t>
  </si>
  <si>
    <t>Analyst</t>
  </si>
  <si>
    <t>Comment</t>
  </si>
  <si>
    <t>Calibrations</t>
  </si>
  <si>
    <t>Depth</t>
  </si>
  <si>
    <r>
      <t>[</t>
    </r>
    <r>
      <rPr>
        <sz val="10"/>
        <rFont val="Calibri"/>
        <family val="2"/>
      </rPr>
      <t>°</t>
    </r>
    <r>
      <rPr>
        <sz val="12"/>
        <rFont val="Calibri"/>
        <family val="2"/>
        <charset val="204"/>
        <scheme val="minor"/>
      </rPr>
      <t>C]</t>
    </r>
  </si>
  <si>
    <t>replicate</t>
  </si>
  <si>
    <t>date</t>
  </si>
  <si>
    <t>diff</t>
  </si>
  <si>
    <t>Cathryn</t>
  </si>
  <si>
    <t>Salinity</t>
  </si>
  <si>
    <t>reading</t>
  </si>
  <si>
    <t>temperature</t>
  </si>
  <si>
    <t>RSE</t>
  </si>
  <si>
    <t>stdev.p</t>
  </si>
  <si>
    <t>50mS/cm</t>
  </si>
  <si>
    <t>mS/cm</t>
  </si>
  <si>
    <t>53mS/cm</t>
  </si>
  <si>
    <t>12.8mS/cm</t>
  </si>
  <si>
    <t>Salinity check at the end of all measurements</t>
  </si>
  <si>
    <t>Prob condition: 100%</t>
  </si>
  <si>
    <t>pH check at the end of all measurements</t>
  </si>
  <si>
    <r>
      <t>Calibrated with 12.8m</t>
    </r>
    <r>
      <rPr>
        <sz val="12"/>
        <rFont val="Calibri"/>
        <family val="2"/>
        <charset val="204"/>
        <scheme val="minor"/>
      </rPr>
      <t>S/cm standard</t>
    </r>
  </si>
  <si>
    <t>CC: 0.536497/cm</t>
  </si>
  <si>
    <t>Processing date</t>
  </si>
  <si>
    <t>Processing comments at sieving stage</t>
  </si>
  <si>
    <t>Borax used: Sigma-Aldrich B3545-500g, Batch# 096K00021</t>
  </si>
  <si>
    <t>2 jars for &lt;1mm, large jelly fish</t>
  </si>
  <si>
    <t>FSW used for processing</t>
  </si>
  <si>
    <t>FSW carboy 7, IN2019_V02, GF/F filtered</t>
  </si>
  <si>
    <t>FSW carboy 7, IN2019_V02, GF/F filtered + carboy 5, IN2019_V02</t>
  </si>
  <si>
    <t>multiple fish</t>
  </si>
  <si>
    <t>fish, "jelly raspberries"</t>
  </si>
  <si>
    <t>1 large fish scale, hard red dots stuck to side of walls, scrapped off with metal spoon</t>
  </si>
  <si>
    <t>big "shrimp"</t>
  </si>
  <si>
    <t>multiple fish, red jelly</t>
  </si>
  <si>
    <t>fish, big faecal pellets</t>
  </si>
  <si>
    <t>fish, big faecal pellets, 2 jars for &lt;1mm</t>
  </si>
  <si>
    <t>big faecal pellets, 2 jars for &lt;1mm</t>
  </si>
  <si>
    <t>large "shrimp", large faecal pellets, 2 jars for &lt;1mm</t>
  </si>
  <si>
    <t>large faecal pellets, pteropod, 2 jars for &lt;1mm</t>
  </si>
  <si>
    <t>FSW carboy 5, IN2019_V02</t>
  </si>
  <si>
    <t>2 jars for &lt;1mm</t>
  </si>
  <si>
    <t>transparent "soccer balls"</t>
  </si>
  <si>
    <t>jelly "raspberries", too many faecal pellets for pre-rinse photo</t>
  </si>
  <si>
    <t>fish scales, 3 jars for &lt;1mm, all scales were rinsed off into &lt;1mm fraction</t>
  </si>
  <si>
    <t>more fish bones</t>
  </si>
  <si>
    <t>fish scales, 2 jars for &lt;1mm, all scales were rinsed off into &lt;1mm fraction, parts of fish carcass falling apart!</t>
  </si>
  <si>
    <t>a few scales and bones, less than  #16</t>
  </si>
  <si>
    <t>a few scales and bones, less than  #17</t>
  </si>
  <si>
    <t>1 fish scale, small intact fish</t>
  </si>
  <si>
    <t>fish bone fragments again</t>
  </si>
  <si>
    <t>CC: 0.544814/cm</t>
  </si>
  <si>
    <t>Seven Compact conductivity meter</t>
  </si>
  <si>
    <t>Hannah pH meter</t>
  </si>
  <si>
    <t>average slope: 98.7%</t>
  </si>
  <si>
    <t>pH check after calibartion</t>
  </si>
  <si>
    <t>FSW carboy 5, IN2019_V02 + FSW carboy 6, IN2019_V02</t>
  </si>
  <si>
    <t>FSW carboy 6, IN2019_V02</t>
  </si>
  <si>
    <t>FSW carboy 6, IN2019_V02 + FSW carboy 4, IN2019_V02</t>
  </si>
  <si>
    <t>average slope: 97.9%</t>
  </si>
  <si>
    <t>CC: 0.549133/cm</t>
  </si>
  <si>
    <t>average slope: 98%</t>
  </si>
  <si>
    <t>REPEATS</t>
  </si>
  <si>
    <t>CC: 0.548641/cm</t>
  </si>
  <si>
    <t>average slope: 97.7%</t>
  </si>
  <si>
    <t>spilled</t>
  </si>
  <si>
    <t>Trap</t>
  </si>
  <si>
    <t>frac</t>
  </si>
  <si>
    <t>mass</t>
  </si>
  <si>
    <t xml:space="preserve">date </t>
  </si>
  <si>
    <t>RH</t>
  </si>
  <si>
    <t>Filter</t>
  </si>
  <si>
    <t>Filter used</t>
  </si>
  <si>
    <t>Who</t>
  </si>
  <si>
    <t>difference</t>
  </si>
  <si>
    <t>#</t>
  </si>
  <si>
    <t>start</t>
  </si>
  <si>
    <t>end</t>
  </si>
  <si>
    <t>filt</t>
  </si>
  <si>
    <t>filt+sed</t>
  </si>
  <si>
    <t>dry</t>
  </si>
  <si>
    <t>weigh</t>
  </si>
  <si>
    <t>dC</t>
  </si>
  <si>
    <t>sn</t>
  </si>
  <si>
    <t>sed</t>
  </si>
  <si>
    <t>sed 10/10</t>
  </si>
  <si>
    <t>sed 1/10</t>
  </si>
  <si>
    <t>scintillation vial</t>
  </si>
  <si>
    <t>filter after second drying</t>
  </si>
  <si>
    <t>filt after scraping sediment off</t>
  </si>
  <si>
    <t>loss</t>
  </si>
  <si>
    <t>filter+sed</t>
  </si>
  <si>
    <t>filter</t>
  </si>
  <si>
    <t>1_2</t>
  </si>
  <si>
    <t>13_2</t>
  </si>
  <si>
    <t>14_2</t>
  </si>
  <si>
    <t>into oven at 1225 05/10/2020 @ 60C</t>
  </si>
  <si>
    <t>into oven at 1540 05/10/2020 @ 60C</t>
  </si>
  <si>
    <t>18_2</t>
  </si>
  <si>
    <t>19_2</t>
  </si>
  <si>
    <t>20_2</t>
  </si>
  <si>
    <t>21_2</t>
  </si>
  <si>
    <t>into oven at 1140 06/10/2020 @ 60C</t>
  </si>
  <si>
    <t>Sterlitech Polycarbonate (PCTE) Membrane filters, 0.4um, 47mm</t>
  </si>
  <si>
    <t>PCT0447100, Lot: M/280916/R/1, opened May '19 CWE</t>
  </si>
  <si>
    <t>PCT0447100, Lot: M/240419/R/2, opened Oct '20 CWE</t>
  </si>
  <si>
    <t>Deployment</t>
  </si>
  <si>
    <t>sampleQC</t>
  </si>
  <si>
    <t>mass/cup</t>
  </si>
  <si>
    <t>Total</t>
  </si>
  <si>
    <t>PIC QC</t>
  </si>
  <si>
    <t>PC QC</t>
  </si>
  <si>
    <t>PN QC</t>
  </si>
  <si>
    <t>POC QC</t>
  </si>
  <si>
    <t>BSi QC</t>
  </si>
  <si>
    <t>PC_mol_flux</t>
  </si>
  <si>
    <t>PN_mol_flux</t>
  </si>
  <si>
    <t>POC_mol_flux</t>
  </si>
  <si>
    <t>PIC_mol_flux</t>
  </si>
  <si>
    <t>BSi_mol_flux</t>
  </si>
  <si>
    <t>PC mol QC</t>
  </si>
  <si>
    <t>PN mol QC</t>
  </si>
  <si>
    <t>POC mol QC</t>
  </si>
  <si>
    <t>PIC mol QC</t>
  </si>
  <si>
    <t>Bsi mol QC</t>
  </si>
  <si>
    <t>PIC/PN</t>
  </si>
  <si>
    <t>salts</t>
  </si>
  <si>
    <t>salts QC</t>
  </si>
  <si>
    <t>pH QC</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</si>
  <si>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</si>
  <si>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</si>
  <si>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</si>
  <si>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</si>
  <si>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</si>
  <si>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</si>
  <si>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</si>
  <si>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</si>
  <si>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</si>
  <si>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</si>
  <si>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</si>
  <si>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</si>
  <si>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</si>
  <si>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</si>
  <si>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</si>
  <si>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mol/mol</t>
  </si>
  <si>
    <t>m</t>
  </si>
  <si>
    <t>cup mid-point</t>
  </si>
  <si>
    <t>mean</t>
  </si>
  <si>
    <t>mode</t>
  </si>
  <si>
    <t>deployment year start</t>
  </si>
  <si>
    <t>site</t>
  </si>
  <si>
    <t>depth_nominal</t>
  </si>
  <si>
    <t>pressure_actual</t>
  </si>
  <si>
    <t>metadata</t>
  </si>
  <si>
    <t>metadata_depth</t>
  </si>
  <si>
    <t>sample</t>
  </si>
  <si>
    <t>sample_qc</t>
  </si>
  <si>
    <t>sample open</t>
  </si>
  <si>
    <t>sample close</t>
  </si>
  <si>
    <t>sample mid-point</t>
  </si>
  <si>
    <t>sample_duration</t>
  </si>
  <si>
    <t>mass_flux</t>
  </si>
  <si>
    <t>mass_flux_uncertainty</t>
  </si>
  <si>
    <t>mass_flux_qc</t>
  </si>
  <si>
    <t>SAL_BRINE</t>
  </si>
  <si>
    <t>SAL_BRINE_uncertainty</t>
  </si>
  <si>
    <t>SAL_BRINE_qc</t>
  </si>
  <si>
    <t>pH_BRINE</t>
  </si>
  <si>
    <t>pH_BRINE_uncertainty</t>
  </si>
  <si>
    <t>pH_BRINE_qc</t>
  </si>
  <si>
    <t>PC_mass_flux</t>
  </si>
  <si>
    <t>PC_mass_flux_uncertainty</t>
  </si>
  <si>
    <t>PC_mass_flux_qc</t>
  </si>
  <si>
    <t>PN_mass_flux</t>
  </si>
  <si>
    <t>PN_mass_flux_uncertainty</t>
  </si>
  <si>
    <t>PN_mass_flux_qc</t>
  </si>
  <si>
    <t>POC_mass_flux</t>
  </si>
  <si>
    <t>POC_mass_flux_uncertainty</t>
  </si>
  <si>
    <t>POC_mass_flux_qc</t>
  </si>
  <si>
    <t>PIC_mass_flux</t>
  </si>
  <si>
    <t>PIC_mass_flux_uncertainty</t>
  </si>
  <si>
    <t>PIC_mass_flux_qc</t>
  </si>
  <si>
    <t>BSi_mass_flux</t>
  </si>
  <si>
    <t>BSi_mass_flux_uncertainty</t>
  </si>
  <si>
    <t>BSi_mass_flux_qc</t>
  </si>
  <si>
    <t>standard_name</t>
  </si>
  <si>
    <t>actual pressure</t>
  </si>
  <si>
    <t>long_name</t>
  </si>
  <si>
    <t>sample number</t>
  </si>
  <si>
    <t>sample duration</t>
  </si>
  <si>
    <t>particulate total mass flux</t>
  </si>
  <si>
    <t xml:space="preserve">sample supernatant practical salinity </t>
  </si>
  <si>
    <t>sample supernatant pH NBS scale</t>
  </si>
  <si>
    <t>particulate total carbon mass flux</t>
  </si>
  <si>
    <t>particulate total nitrogen mass flux</t>
  </si>
  <si>
    <t>particulate organic carbon mass flux</t>
  </si>
  <si>
    <t>particulate inorganic carbon mass flux</t>
  </si>
  <si>
    <t>particulate biogenic silicon mass flux</t>
  </si>
  <si>
    <t>units</t>
  </si>
  <si>
    <t>yyyy:mm:dd hh:mm:ss UTC</t>
  </si>
  <si>
    <t>day</t>
  </si>
  <si>
    <t>mg m-2 d-1</t>
  </si>
  <si>
    <t>1</t>
  </si>
  <si>
    <r>
      <rPr>
        <sz val="11"/>
        <rFont val="1"/>
      </rPr>
      <t>1</t>
    </r>
  </si>
  <si>
    <t>relative_uncertainty</t>
  </si>
  <si>
    <t>uncertainty</t>
  </si>
  <si>
    <t>comment</t>
  </si>
  <si>
    <t>supernatant</t>
  </si>
  <si>
    <t>pressure from nearest instrument on mooring, extrapolated to trap position</t>
  </si>
  <si>
    <t>comment_method</t>
  </si>
  <si>
    <t>dry wt 60C</t>
  </si>
  <si>
    <t>Supernatant salinity measured as conductivity on recovery as indicator of brine washout</t>
  </si>
  <si>
    <t>Supernatant pH measured potentiometrically on recovery as indicator of brine washout</t>
  </si>
  <si>
    <t>elemental analyser total carbon</t>
  </si>
  <si>
    <t>elemental analyser total nitrogen</t>
  </si>
  <si>
    <t>particulate total carbon minus particulate inorganic carbon</t>
  </si>
  <si>
    <t>closed system acidification and coulometry of evolved carbon dioxide</t>
  </si>
  <si>
    <t>alkaline digest and segmented-flow spectrometry</t>
  </si>
  <si>
    <t>comment_sample</t>
  </si>
  <si>
    <t>valid_min</t>
  </si>
  <si>
    <t>valid_max</t>
  </si>
  <si>
    <t>SAZ47-21-2019</t>
  </si>
  <si>
    <r>
      <t>23.2</t>
    </r>
    <r>
      <rPr>
        <sz val="11"/>
        <color theme="1"/>
        <rFont val="Calibri"/>
        <family val="2"/>
      </rPr>
      <t>°C</t>
    </r>
  </si>
  <si>
    <t>38%-37%</t>
  </si>
  <si>
    <r>
      <t>22.8</t>
    </r>
    <r>
      <rPr>
        <sz val="11"/>
        <color theme="1"/>
        <rFont val="Calibri"/>
        <family val="2"/>
      </rPr>
      <t>°C-23°C</t>
    </r>
  </si>
  <si>
    <t>37%-38%</t>
  </si>
  <si>
    <r>
      <t>22.9</t>
    </r>
    <r>
      <rPr>
        <sz val="11"/>
        <color theme="1"/>
        <rFont val="Calibri"/>
        <family val="2"/>
      </rPr>
      <t>°C-23.1°C</t>
    </r>
  </si>
  <si>
    <t>43%-42%</t>
  </si>
  <si>
    <r>
      <t>23.3</t>
    </r>
    <r>
      <rPr>
        <sz val="11"/>
        <color theme="1"/>
        <rFont val="Calibri"/>
        <family val="2"/>
      </rPr>
      <t>°C-23.6°C</t>
    </r>
  </si>
  <si>
    <t>diff between splits</t>
  </si>
  <si>
    <t>average</t>
  </si>
  <si>
    <t>42%-42%</t>
  </si>
  <si>
    <r>
      <t>23.7</t>
    </r>
    <r>
      <rPr>
        <sz val="11"/>
        <color theme="1"/>
        <rFont val="Calibri"/>
        <family val="2"/>
      </rPr>
      <t>°C-23.7°C</t>
    </r>
  </si>
  <si>
    <t>30%-30%</t>
  </si>
  <si>
    <r>
      <t>23.6</t>
    </r>
    <r>
      <rPr>
        <sz val="11"/>
        <color theme="1"/>
        <rFont val="Calibri"/>
        <family val="2"/>
      </rPr>
      <t>°C-24.0°C</t>
    </r>
  </si>
  <si>
    <t>into oven at 1005 09/10/2020 @ 60C</t>
  </si>
  <si>
    <t>into oven at 1010 12/10/2020 @ 60C</t>
  </si>
  <si>
    <t>4_2</t>
  </si>
  <si>
    <t>intact fish (small)</t>
  </si>
  <si>
    <t>into oven at 1530 09/10/2020 @ 60C</t>
  </si>
  <si>
    <t>into oven at 1235 12/10/2020 @ 60C</t>
  </si>
  <si>
    <t>into oven at 1000 13/10/2020 @ 60C</t>
  </si>
  <si>
    <r>
      <t>23.9</t>
    </r>
    <r>
      <rPr>
        <sz val="11"/>
        <color theme="1"/>
        <rFont val="Calibri"/>
        <family val="2"/>
      </rPr>
      <t>°C-24.0°C</t>
    </r>
  </si>
  <si>
    <t>into oven at 1400 18/10/2020 @ 60C</t>
  </si>
  <si>
    <t>16_2</t>
  </si>
  <si>
    <t>17_2</t>
  </si>
  <si>
    <t>33%-31%</t>
  </si>
  <si>
    <r>
      <t>22.4</t>
    </r>
    <r>
      <rPr>
        <sz val="11"/>
        <color theme="1"/>
        <rFont val="Calibri"/>
        <family val="2"/>
      </rPr>
      <t>°C-23.7°C</t>
    </r>
  </si>
  <si>
    <t>CWE-A2</t>
  </si>
  <si>
    <t>CWE-A3</t>
  </si>
  <si>
    <t>CWE-A4</t>
  </si>
  <si>
    <t>CWE-A5</t>
  </si>
  <si>
    <t>CWE-A6</t>
  </si>
  <si>
    <t>CWE-A7</t>
  </si>
  <si>
    <t>CWE-A8</t>
  </si>
  <si>
    <t>CWE-A9</t>
  </si>
  <si>
    <t>CWE-A10</t>
  </si>
  <si>
    <t>CWE-A11</t>
  </si>
  <si>
    <t>CWE-A12</t>
  </si>
  <si>
    <t>CWE-B1</t>
  </si>
  <si>
    <t>STD124</t>
  </si>
  <si>
    <t>CWE-B2</t>
  </si>
  <si>
    <t>CWE-B3</t>
  </si>
  <si>
    <t>CWE-B4</t>
  </si>
  <si>
    <t>CWE-B5</t>
  </si>
  <si>
    <t>CWE-B6</t>
  </si>
  <si>
    <t>CWE-B7</t>
  </si>
  <si>
    <t>CWE-B8</t>
  </si>
  <si>
    <t>CWE-B9</t>
  </si>
  <si>
    <t>CWE-B10</t>
  </si>
  <si>
    <t>CWE-B11</t>
  </si>
  <si>
    <t>CWE-B12</t>
  </si>
  <si>
    <t>CWE-C1</t>
  </si>
  <si>
    <t>C2</t>
  </si>
  <si>
    <t>STD125</t>
  </si>
  <si>
    <t>CWE-C3</t>
  </si>
  <si>
    <t>CWE-C4</t>
  </si>
  <si>
    <t>CWE-C5</t>
  </si>
  <si>
    <t>CWE-C6</t>
  </si>
  <si>
    <t>CWE-C7</t>
  </si>
  <si>
    <t>CWE-C8</t>
  </si>
  <si>
    <t>CWE-C9</t>
  </si>
  <si>
    <t>CWE-C10</t>
  </si>
  <si>
    <t>CWE-C11</t>
  </si>
  <si>
    <t>CWE-C12</t>
  </si>
  <si>
    <t>STD126</t>
  </si>
  <si>
    <t>CWE-D1</t>
  </si>
  <si>
    <t>CWE-D2</t>
  </si>
  <si>
    <t>CWE-D3</t>
  </si>
  <si>
    <t>CWE-D4</t>
  </si>
  <si>
    <t>CWE-D5</t>
  </si>
  <si>
    <t>CWE-D6</t>
  </si>
  <si>
    <t>CWE-D7</t>
  </si>
  <si>
    <t>CWE-D8</t>
  </si>
  <si>
    <t>CWE-D9</t>
  </si>
  <si>
    <t>CWE-D10</t>
  </si>
  <si>
    <t>CWE-D11</t>
  </si>
  <si>
    <t>CWE-D12</t>
  </si>
  <si>
    <t>STD127</t>
  </si>
  <si>
    <t>CWE-E1</t>
  </si>
  <si>
    <t>CWE-E2</t>
  </si>
  <si>
    <t>CWE-E3</t>
  </si>
  <si>
    <t>CWE-E4</t>
  </si>
  <si>
    <t>CWE-E5</t>
  </si>
  <si>
    <t>CWE-E6</t>
  </si>
  <si>
    <t>CWE-E7</t>
  </si>
  <si>
    <t>CWE-E8</t>
  </si>
  <si>
    <t>CWE-E9</t>
  </si>
  <si>
    <t>CWE-E10</t>
  </si>
  <si>
    <t>CWE-E11</t>
  </si>
  <si>
    <t>CWE-E12</t>
  </si>
  <si>
    <t>STD128</t>
  </si>
  <si>
    <t>CWE-F1</t>
  </si>
  <si>
    <t>CWE-F2</t>
  </si>
  <si>
    <t>CWE-F3</t>
  </si>
  <si>
    <t>CWE-F4</t>
  </si>
  <si>
    <t>CWE-F5</t>
  </si>
  <si>
    <t>CWE-F6</t>
  </si>
  <si>
    <t>CWE-F7</t>
  </si>
  <si>
    <t>CWE-F8</t>
  </si>
  <si>
    <t>CWE-F9</t>
  </si>
  <si>
    <t>CWE-F10</t>
  </si>
  <si>
    <t>CWE-F11</t>
  </si>
  <si>
    <t>CWE-F12</t>
  </si>
  <si>
    <t>STD129</t>
  </si>
  <si>
    <t>CWE-G1</t>
  </si>
  <si>
    <t>CWE-G2</t>
  </si>
  <si>
    <t>CWE-G3</t>
  </si>
  <si>
    <t>CWE-G4</t>
  </si>
  <si>
    <t>CWE-G5</t>
  </si>
  <si>
    <t>CWE-G6</t>
  </si>
  <si>
    <t>CWE-G7</t>
  </si>
  <si>
    <t xml:space="preserve">The analysis for total nitrogen, carbon and hydrogen was determined by Dr Thomas Rodemann </t>
  </si>
  <si>
    <t>at the Central Science Laboratory, University of Tasmania, using a Thermo Finnigan EA 1112 Series Flash Elemental Analyser.</t>
  </si>
  <si>
    <t>The samples were run successively and standard were run in-between where shown</t>
  </si>
  <si>
    <t>copied from C:\Users\cawynn\Cloudstor\sediment trap lab proc\RAW data\CHN\saz21_2018, file name "Raw data_Elemental Analysis - October 2020_saz21_2019.xlsx"</t>
  </si>
  <si>
    <t>Sample</t>
  </si>
  <si>
    <t>year</t>
  </si>
  <si>
    <t>CWE-A1</t>
  </si>
  <si>
    <t>empty capsule only</t>
  </si>
  <si>
    <t>weight [ug]</t>
  </si>
  <si>
    <t>2_a</t>
  </si>
  <si>
    <t>2_b</t>
  </si>
  <si>
    <t>14_a</t>
  </si>
  <si>
    <t>14_b</t>
  </si>
  <si>
    <t>PACS-2 #1</t>
  </si>
  <si>
    <t>3_a</t>
  </si>
  <si>
    <t>PACS-2 #2</t>
  </si>
  <si>
    <t>3_b</t>
  </si>
  <si>
    <t>Acetanilide #1</t>
  </si>
  <si>
    <t>6_a</t>
  </si>
  <si>
    <t>Acetanilide #2</t>
  </si>
  <si>
    <t>6_b</t>
  </si>
  <si>
    <t>PACS-2 #3</t>
  </si>
  <si>
    <t>PACS-2 #4</t>
  </si>
  <si>
    <t>16_a</t>
  </si>
  <si>
    <t>16_b</t>
  </si>
  <si>
    <t>Acetanilide #3</t>
  </si>
  <si>
    <t>Acetanilide #4</t>
  </si>
  <si>
    <t>C/N</t>
  </si>
  <si>
    <t>%N</t>
  </si>
  <si>
    <t>%C</t>
  </si>
  <si>
    <t>%difference between duplicates</t>
  </si>
  <si>
    <t>PACS-2</t>
  </si>
  <si>
    <t>n=4</t>
  </si>
  <si>
    <t>% difference from mean</t>
  </si>
  <si>
    <t>Acetanilide</t>
  </si>
  <si>
    <t>SAZ21_2019_47 sediment trap samples</t>
  </si>
  <si>
    <t>Sercon, pressed silver cups, 5.5x5mm, SC1109 BN 287221, opened July '19 CWE</t>
  </si>
  <si>
    <t>digest date</t>
  </si>
  <si>
    <t>digest #</t>
  </si>
  <si>
    <t>ug</t>
  </si>
  <si>
    <t>blank 1</t>
  </si>
  <si>
    <t>PACS-2 CRM 11.08</t>
  </si>
  <si>
    <t>blank #2</t>
  </si>
  <si>
    <t>blank #3</t>
  </si>
  <si>
    <t>blank #4</t>
  </si>
  <si>
    <t>Run no.</t>
  </si>
  <si>
    <t>Digest #</t>
  </si>
  <si>
    <t>Data type</t>
  </si>
  <si>
    <t>Diluted Value (umol/L)</t>
  </si>
  <si>
    <t>Undiluted value (umol/L)</t>
  </si>
  <si>
    <t>Silicate</t>
  </si>
  <si>
    <t>na</t>
  </si>
  <si>
    <t>raw data from 10mL extraction tube</t>
  </si>
  <si>
    <t>extraction blank average</t>
  </si>
  <si>
    <t>uM</t>
  </si>
  <si>
    <t>umol/L</t>
  </si>
  <si>
    <t>10ml per nutrient tube</t>
  </si>
  <si>
    <t>original digest volume 5ml, then 4ml taken off for anaysis</t>
  </si>
  <si>
    <t>final results Silicate uM minus extraction blank average</t>
  </si>
  <si>
    <t>SiO2-Si umol</t>
  </si>
  <si>
    <t>Bsi ug</t>
  </si>
  <si>
    <t>BSiO2 ug</t>
  </si>
  <si>
    <t>Bsi %</t>
  </si>
  <si>
    <t>BsiO2 %</t>
  </si>
  <si>
    <t>rep RSD Bsi%</t>
  </si>
  <si>
    <t>std %Bsi</t>
  </si>
  <si>
    <t>Reference Material for Nutrients in Seawater (RMNS)</t>
  </si>
  <si>
    <t>Prepared Standard Range</t>
  </si>
  <si>
    <t>Silicate (µM)</t>
  </si>
  <si>
    <t>Certified Value (RMNS CC)</t>
  </si>
  <si>
    <t>0, 7.0 to 112.0</t>
  </si>
  <si>
    <t>Measured Value</t>
  </si>
  <si>
    <t>Standard Deviation</t>
  </si>
  <si>
    <t>Nominal Method Detection Limit (MDL)</t>
  </si>
  <si>
    <r>
      <t xml:space="preserve">Calculated Measured Uncertainty @ 1 </t>
    </r>
    <r>
      <rPr>
        <b/>
        <sz val="10"/>
        <rFont val="Calibri"/>
        <family val="2"/>
      </rPr>
      <t>µ</t>
    </r>
    <r>
      <rPr>
        <b/>
        <sz val="10"/>
        <rFont val="Arial"/>
        <family val="2"/>
      </rPr>
      <t>M*</t>
    </r>
  </si>
  <si>
    <t>± 0.017</t>
  </si>
  <si>
    <t>*The reported uncertainty is an expanded uncertainty using a coverage factor of 2 giving a 95% level of confidence.</t>
  </si>
  <si>
    <t>Dilution calculation</t>
  </si>
  <si>
    <t>[final] = [measured] x dilution - (dilution - 1) x [LNSW]</t>
  </si>
  <si>
    <t>This calculation takes into account the weak signal (0.2 µM) from the Low Nutrient Seawater (LNSW) diluent and adjusts for it.</t>
  </si>
  <si>
    <t>QC info</t>
  </si>
  <si>
    <t>Split 1/10 was used for SEM analysis. The split was 35ml = 47.89g to start with, it was then vigorously shaken and 1ml removed. This 1ml was then diluted in series 1:10 to 1:10, 1:100 and 1:1000 and the latter two used for SEM stubs in duplicates.</t>
  </si>
  <si>
    <t>Split 1/10 was used for SEM analysis. The split was reduced to 25ml (by taking off supernatant from ~26.5ml carefully) = 37.88g to start with, it was then vigorously shaken and 1ml removed. This 1ml was then diluted in series 1:10 to 1:10, 1:100 and 1:1000 and the latter two used for SEM stubs in duplicates.</t>
  </si>
  <si>
    <t>2019 saz21</t>
  </si>
  <si>
    <t>PIC analysis</t>
  </si>
  <si>
    <t>Sercon, smooth wall, flat base, tin cups, 5.5x5mm, SC1109</t>
  </si>
  <si>
    <t>BN 312212, opened July '19 CWE cups 1000_1 to 1000_6</t>
  </si>
  <si>
    <t>BN 341604, opened Oct '20 CWE cups 1000_7 to 3800_21</t>
  </si>
  <si>
    <t>date weighed</t>
  </si>
  <si>
    <t>humidity</t>
  </si>
  <si>
    <t>29%-29%</t>
  </si>
  <si>
    <r>
      <t>23.3</t>
    </r>
    <r>
      <rPr>
        <sz val="11"/>
        <color theme="1"/>
        <rFont val="Calibri"/>
        <family val="2"/>
      </rPr>
      <t>°C-24.1°C</t>
    </r>
  </si>
  <si>
    <r>
      <t>24.1</t>
    </r>
    <r>
      <rPr>
        <sz val="11"/>
        <color theme="1"/>
        <rFont val="Calibri"/>
        <family val="2"/>
      </rPr>
      <t>°C-24.4°C</t>
    </r>
  </si>
  <si>
    <r>
      <t>24.4</t>
    </r>
    <r>
      <rPr>
        <sz val="11"/>
        <color theme="1"/>
        <rFont val="Calibri"/>
        <family val="2"/>
      </rPr>
      <t>°C-24.8°C</t>
    </r>
  </si>
  <si>
    <r>
      <t>24.8</t>
    </r>
    <r>
      <rPr>
        <sz val="11"/>
        <color theme="1"/>
        <rFont val="Calibri"/>
        <family val="2"/>
      </rPr>
      <t>°C-24.8°C</t>
    </r>
  </si>
  <si>
    <t>31%-31%</t>
  </si>
  <si>
    <r>
      <t>24.1</t>
    </r>
    <r>
      <rPr>
        <sz val="11"/>
        <color theme="1"/>
        <rFont val="Calibri"/>
        <family val="2"/>
      </rPr>
      <t>°C-24.5°C</t>
    </r>
  </si>
  <si>
    <r>
      <t>24.5</t>
    </r>
    <r>
      <rPr>
        <sz val="11"/>
        <color theme="1"/>
        <rFont val="Calibri"/>
        <family val="2"/>
      </rPr>
      <t>°C-24.5°C</t>
    </r>
  </si>
  <si>
    <r>
      <t>24.5</t>
    </r>
    <r>
      <rPr>
        <sz val="11"/>
        <color theme="1"/>
        <rFont val="Calibri"/>
        <family val="2"/>
      </rPr>
      <t>°C-24.6°C</t>
    </r>
  </si>
  <si>
    <r>
      <t>24.6</t>
    </r>
    <r>
      <rPr>
        <sz val="11"/>
        <color theme="1"/>
        <rFont val="Calibri"/>
        <family val="2"/>
      </rPr>
      <t>°C</t>
    </r>
  </si>
  <si>
    <t>copied from C:\Users\cawynn\OneDrive - University of Tasmania\sediment trap lab proc\RAW data\PIC, file name "PIC_SEDIMENT TRAP_RESULTS_CWE_2021.xls"</t>
  </si>
  <si>
    <t>Sample mass</t>
  </si>
  <si>
    <t>mass correction</t>
  </si>
  <si>
    <t>Blank</t>
  </si>
  <si>
    <t>Calculation from Standard Curve</t>
  </si>
  <si>
    <t>Calculation direct from raw figures</t>
  </si>
  <si>
    <t>Date Analysed</t>
  </si>
  <si>
    <t>Sample Number</t>
  </si>
  <si>
    <t>Sample Name</t>
  </si>
  <si>
    <t>corrected ug</t>
  </si>
  <si>
    <t>CaCO3 mass (ug)</t>
  </si>
  <si>
    <t>UIC Reading
(ug Carbon)</t>
  </si>
  <si>
    <t>ug C</t>
  </si>
  <si>
    <t>UIC Reading Subtract Blank
(ug Carbon)</t>
  </si>
  <si>
    <t>Estimate (ug CaCO3)</t>
  </si>
  <si>
    <t>% CaCO3</t>
  </si>
  <si>
    <t>%CaCO3</t>
  </si>
  <si>
    <t>Gas Flow Rate (ml/min)</t>
  </si>
  <si>
    <t>Heating Block Temperature (degrees C)</t>
  </si>
  <si>
    <t>Coulometer Cell Volume (mls)</t>
  </si>
  <si>
    <t>Sample Run Time</t>
  </si>
  <si>
    <t>Weighed by</t>
  </si>
  <si>
    <t>Analysed by</t>
  </si>
  <si>
    <t>Cell got to ~ 116mA during initial titration</t>
  </si>
  <si>
    <t>Ran the usual purge and acidify macro and the new 3min run time marco developed at the end of the season last year.</t>
  </si>
  <si>
    <t>purged and acidified 15/02/2021, overnight at 25C</t>
  </si>
  <si>
    <t>blank 2</t>
  </si>
  <si>
    <t>blank 3</t>
  </si>
  <si>
    <t>blank 4</t>
  </si>
  <si>
    <t>blank 5</t>
  </si>
  <si>
    <t>blank 6</t>
  </si>
  <si>
    <t>1999_54_1500_14a</t>
  </si>
  <si>
    <t>blank 7</t>
  </si>
  <si>
    <t>2019_47_3800_01</t>
  </si>
  <si>
    <t>2019_47_3800_02</t>
  </si>
  <si>
    <t>2019_47_3800_03</t>
  </si>
  <si>
    <t>2019_47_3800_04</t>
  </si>
  <si>
    <t>2019_47_3800_05</t>
  </si>
  <si>
    <t>2019_47_3800_06a</t>
  </si>
  <si>
    <t>blank 8</t>
  </si>
  <si>
    <t>2019_47_3800_06b</t>
  </si>
  <si>
    <t>2019_47_3800_07</t>
  </si>
  <si>
    <t>2019_47_3800_08</t>
  </si>
  <si>
    <t>2019_47_3800_09</t>
  </si>
  <si>
    <t>2019_47_3800_10</t>
  </si>
  <si>
    <t>2019_47_3800_11</t>
  </si>
  <si>
    <t>blank 9</t>
  </si>
  <si>
    <t>blank 10</t>
  </si>
  <si>
    <t>purged and acidified 16/02/2021, same cell as for previous run</t>
  </si>
  <si>
    <t>2019_47_3800_12</t>
  </si>
  <si>
    <t>2019_47_3800_13</t>
  </si>
  <si>
    <t>2019_47_3800_14</t>
  </si>
  <si>
    <t>2019_47_3800_15</t>
  </si>
  <si>
    <t>2019_47_3800_16a</t>
  </si>
  <si>
    <t>2019_47_3800_17</t>
  </si>
  <si>
    <t>2019_47_3800_18</t>
  </si>
  <si>
    <t>2019_47_3800_16b</t>
  </si>
  <si>
    <t>2019_47_3800_19</t>
  </si>
  <si>
    <t>2019_47_3800_20</t>
  </si>
  <si>
    <t>2019_47_3800_21</t>
  </si>
  <si>
    <t>2019_47_2000_01</t>
  </si>
  <si>
    <t>CaCO3 Std.1  303.4</t>
  </si>
  <si>
    <t>CaCO3 Std.2  1219</t>
  </si>
  <si>
    <t>CaCO3 Std.3  2021.3</t>
  </si>
  <si>
    <t>CaCO3 Std.4  3099.4</t>
  </si>
  <si>
    <t>CaCO3 Std.5  3634.4</t>
  </si>
  <si>
    <t>CaCO3 Std.3  2374.5</t>
  </si>
  <si>
    <t>CaCO3 Std.1  238.2</t>
  </si>
  <si>
    <t>CaCO3 Std.2  1102.6</t>
  </si>
  <si>
    <t>CaCO3 Std.3  2363.7</t>
  </si>
  <si>
    <t>CaCO3 Std.4  2852.1</t>
  </si>
  <si>
    <t>CaCO3 Std.5  3602.4</t>
  </si>
  <si>
    <t>CaCO3 Std.3  2192.6</t>
  </si>
  <si>
    <t>Analytical precision calculation / standard error of regression</t>
  </si>
  <si>
    <t>Estimate (ug C) from calibration curve</t>
  </si>
  <si>
    <t>standard deviation about the regression</t>
  </si>
  <si>
    <t>max precision ugC</t>
  </si>
  <si>
    <t>min precision ugC</t>
  </si>
  <si>
    <t>max precision ugCaCO3</t>
  </si>
  <si>
    <t>FLAG</t>
  </si>
  <si>
    <t>% average sample</t>
  </si>
  <si>
    <t>cup #</t>
  </si>
  <si>
    <t>std curve</t>
  </si>
  <si>
    <t>2 replicates</t>
  </si>
  <si>
    <t>Cell got to ~ 124mA during initial titration</t>
  </si>
  <si>
    <t>purged and acidified 17/02/2021, overnight at 25C</t>
  </si>
  <si>
    <t>CaCO3 Std.1  352.3</t>
  </si>
  <si>
    <t>CaCO3 Std.2  1267.4</t>
  </si>
  <si>
    <t>CaCO3 Std.3  2256.4</t>
  </si>
  <si>
    <t>CaCO3 Std.4  2819.6</t>
  </si>
  <si>
    <t>CaCO3 Std.5  3729.1</t>
  </si>
  <si>
    <t>2019_47_2000_02</t>
  </si>
  <si>
    <t>2019_47_2000_03a</t>
  </si>
  <si>
    <t>2019_47_2000_04</t>
  </si>
  <si>
    <t>2019_47_2000_05</t>
  </si>
  <si>
    <t>2019_47_2000_06</t>
  </si>
  <si>
    <t>2019_47_2000_07</t>
  </si>
  <si>
    <t>2019_47_2000_03b</t>
  </si>
  <si>
    <t>2019_47_2000_08</t>
  </si>
  <si>
    <t>2019_47_2000_09</t>
  </si>
  <si>
    <t>2019_47_2000_10</t>
  </si>
  <si>
    <t>2019_47_2000_11</t>
  </si>
  <si>
    <t>2019_47_2000_12</t>
  </si>
  <si>
    <t>CaCO3 Std.3  1361.4</t>
  </si>
  <si>
    <t>Ran the usual purge and acidify macro and the new 3min run time</t>
  </si>
  <si>
    <t>purged and acidified 18/02/2021, same cell as for previous run</t>
  </si>
  <si>
    <t>2019_47_2000_13</t>
  </si>
  <si>
    <t>2019_47_2000_14a</t>
  </si>
  <si>
    <t>2019_47_2000_15</t>
  </si>
  <si>
    <t>2019_47_2000_16</t>
  </si>
  <si>
    <t>2019_47_2000_17</t>
  </si>
  <si>
    <t>2019_47_2000_18</t>
  </si>
  <si>
    <t>2019_47_2000_14b</t>
  </si>
  <si>
    <t>2019_47_2000_19</t>
  </si>
  <si>
    <t>2019_47_2000_20</t>
  </si>
  <si>
    <t>2019_47_2000_21</t>
  </si>
  <si>
    <t>2019_47_1000_01</t>
  </si>
  <si>
    <t>2019_47_1000_03</t>
  </si>
  <si>
    <t>CaCO3 Std.1  342.7</t>
  </si>
  <si>
    <t>CaCO3 Std.2  1067.3</t>
  </si>
  <si>
    <t>CaCO3 Std.3  2094.9</t>
  </si>
  <si>
    <t>CaCO3 Std.4  2791</t>
  </si>
  <si>
    <t>CaCO3 Std.5  3685</t>
  </si>
  <si>
    <t>CaCO3 Std.3  1592.4</t>
  </si>
  <si>
    <t>Cell got to ~ 107mA during initial titration</t>
  </si>
  <si>
    <t>purged and acidified 21/02/2021, overnight at 25C</t>
  </si>
  <si>
    <t>2019_47_1000_02a</t>
  </si>
  <si>
    <t>2019_47_1000_04</t>
  </si>
  <si>
    <t>2019_47_1000_05</t>
  </si>
  <si>
    <t>2019_47_1000_06</t>
  </si>
  <si>
    <t>2019_47_1000_07</t>
  </si>
  <si>
    <t>2019_47_1000_08</t>
  </si>
  <si>
    <t>2019_47_1000_02b</t>
  </si>
  <si>
    <t>2019_47_1000_09</t>
  </si>
  <si>
    <t>2019_47_1000_10</t>
  </si>
  <si>
    <t>2019_47_1000_11</t>
  </si>
  <si>
    <t>2019_47_1000_12</t>
  </si>
  <si>
    <t>2019_47_1000_13</t>
  </si>
  <si>
    <t>CaCO3 Std.1  314.3</t>
  </si>
  <si>
    <t>CaCO3 Std.2  923.7</t>
  </si>
  <si>
    <t>CaCO3 Std.3  1974</t>
  </si>
  <si>
    <t>CaCO3 Std.4  2796.2</t>
  </si>
  <si>
    <t>CaCO3 Std.5  3826.4</t>
  </si>
  <si>
    <t>CaCO3 Std.3  1904.8</t>
  </si>
  <si>
    <t>CaCO3 Std.1  249.3</t>
  </si>
  <si>
    <t>CaCO3 Std.2  999.9</t>
  </si>
  <si>
    <t>CaCO3 Std.3  2205.4</t>
  </si>
  <si>
    <t>CaCO3 Std.4  3117.2</t>
  </si>
  <si>
    <t>CaCO3 Std.5  3612.5</t>
  </si>
  <si>
    <t>2019_47_1000_14a</t>
  </si>
  <si>
    <t>2019_47_1000_15</t>
  </si>
  <si>
    <t>2019_47_1000_16</t>
  </si>
  <si>
    <t>2019_47_1000_17</t>
  </si>
  <si>
    <t>2019_47_1000_18</t>
  </si>
  <si>
    <t>2019_47_1000_14b</t>
  </si>
  <si>
    <t>2019_47_1000_19</t>
  </si>
  <si>
    <t>2019_47_1000_20</t>
  </si>
  <si>
    <t>2019_47_1000_21</t>
  </si>
  <si>
    <t>CaCO3 Std.3  2011.5</t>
  </si>
  <si>
    <t>purged and acidified 22/02/2021, same cell as for previous run</t>
  </si>
  <si>
    <t>% of sample average</t>
  </si>
  <si>
    <t>ugC</t>
  </si>
  <si>
    <t>ugCaCO3</t>
  </si>
  <si>
    <t>UIC ugC reading</t>
  </si>
  <si>
    <t>blanks</t>
  </si>
  <si>
    <t>n</t>
  </si>
  <si>
    <t>samples</t>
  </si>
  <si>
    <t>% diff duplicates</t>
  </si>
  <si>
    <t>still a couple of scales &amp; bones</t>
  </si>
  <si>
    <t>cup 13 and 14 had many large fish scales in them, which were rinsed off but remained in the &gt;1mm fraction. It is however quite possible, that the remains of this fish had a significant amount of POC attached to it, which adds unduly to the &lt;1mm fraction POC amount.</t>
  </si>
  <si>
    <t>COMPARISON of the two 1000m measurements</t>
  </si>
  <si>
    <t>diff Sal</t>
  </si>
  <si>
    <t>diff pH</t>
  </si>
  <si>
    <t>N/A</t>
  </si>
  <si>
    <t>SAZ-21 anchor released at 2019-03-20 13:43 UTC, anchor 4566.0(m) lat,lon -46.82592 141.64815 deg triangulated</t>
  </si>
  <si>
    <t>Deployment 20/03/2019 IN2019_V02</t>
  </si>
  <si>
    <t>May 2021 repeat samples</t>
  </si>
  <si>
    <t>copied from C:\Users\cawynn\Cloudstor\sediment trap lab proc\RAW data\CHN\saz21_2018, file name "Raw data_Elemental Analysis - May 2021_repeats_saz21_2019.xlsx"</t>
  </si>
  <si>
    <t>Copying together the repeated samples</t>
  </si>
  <si>
    <t>original!</t>
  </si>
  <si>
    <t>repeat!</t>
  </si>
  <si>
    <t>average of duplicates</t>
  </si>
  <si>
    <t>average of triplicates</t>
  </si>
  <si>
    <t>cup 16 failed the internal POC/PN QC test, however a repeat of this sample yielded the same results. This sample PN result was therefore not flagged 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</si>
</sst>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d\-mmm\-yyyy"/>
    <numFmt numFmtId="165" formatCode="m/d/yy"/>
    <numFmt numFmtId="166" formatCode="dd\.\ mmm\ yy"/>
    <numFmt numFmtId="167" formatCode="0.0"/>
    <numFmt numFmtId="168" formatCode="dd/mm/yyyy;@"/>
    <numFmt numFmtId="169" formatCode="d\-mmm\-yy\ hh:mm"/>
    <numFmt numFmtId="170" formatCode="[$-F800]dddd\,\ mmmm\ dd\,\ yyyy"/>
    <numFmt numFmtId="171" formatCode="[$-F400]h:mm:ss\ AM/PM"/>
    <numFmt numFmtId="172" formatCode="0.00000"/>
    <numFmt numFmtId="173" formatCode="0.000"/>
    <numFmt numFmtId="174" formatCode="yyyy/mm/dd\ hh:mm:ss"/>
    <numFmt numFmtId="175" formatCode="0.0%"/>
    <numFmt numFmtId="176" formatCode="0.0000"/>
    <numFmt numFmtId="177" formatCode="d/mm/yyyy;@"/>
  </numFmts>
  <fonts count="50">
    <font>
      <sz val="11"/>
      <color theme="1"/>
      <name val="Calibri"/>
      <family val="2"/>
      <scheme val="minor"/>
    </font>
    <font>
      <sz val="11"/>
      <color rgb="FFFF0000"/>
      <name val="Calibri"/>
      <family val="2"/>
      <scheme val="minor"/>
    </font>
    <font>
      <b/>
      <sz val="10"/>
      <name val="Arial"/>
      <family val="2"/>
    </font>
    <font>
      <sz val="12"/>
      <name val="Calibri"/>
      <family val="2"/>
      <scheme val="minor"/>
    </font>
    <font>
      <sz val="12"/>
      <color rgb="FFFF0000"/>
      <name val="Calibri"/>
      <family val="2"/>
      <scheme val="minor"/>
    </font>
    <font>
      <sz val="12"/>
      <name val="Arial"/>
      <family val="2"/>
    </font>
    <font>
      <b/>
      <sz val="10"/>
      <color rgb="FFFF0000"/>
      <name val="Arial"/>
      <family val="2"/>
    </font>
    <font>
      <b/>
      <sz val="14"/>
      <color theme="1"/>
      <name val="Calibri"/>
      <family val="2"/>
      <scheme val="minor"/>
    </font>
    <font>
      <b/>
      <sz val="14"/>
      <color rgb="FFFF0000"/>
      <name val="Calibri"/>
      <family val="2"/>
      <scheme val="minor"/>
    </font>
    <font>
      <b/>
      <sz val="11"/>
      <color rgb="FFFF0000"/>
      <name val="Calibri"/>
      <family val="2"/>
      <scheme val="minor"/>
    </font>
    <font>
      <sz val="10"/>
      <color rgb="FF000000"/>
      <name val="Arial"/>
      <family val="2"/>
    </font>
    <font>
      <sz val="10"/>
      <name val="Arial"/>
      <family val="2"/>
    </font>
    <font>
      <i/>
      <sz val="10"/>
      <color rgb="FF000000"/>
      <name val="Arial"/>
      <family val="2"/>
    </font>
    <font>
      <b/>
      <sz val="10"/>
      <color rgb="FF000000"/>
      <name val="Arial"/>
      <family val="2"/>
    </font>
    <font>
      <b/>
      <sz val="10"/>
      <color indexed="8"/>
      <name val="Arial"/>
      <family val="2"/>
    </font>
    <font>
      <sz val="10"/>
      <color indexed="8"/>
      <name val="Arial"/>
      <family val="2"/>
    </font>
    <font>
      <b/>
      <sz val="12"/>
      <color theme="1"/>
      <name val="Calibri"/>
      <family val="2"/>
      <charset val="204"/>
      <scheme val="minor"/>
    </font>
    <font>
      <b/>
      <sz val="12"/>
      <name val="Calibri"/>
      <family val="2"/>
      <scheme val="minor"/>
    </font>
    <font>
      <sz val="1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i/>
      <sz val="12"/>
      <color theme="1"/>
      <name val="Calibri"/>
      <family val="2"/>
      <scheme val="minor"/>
    </font>
    <font>
      <sz val="11"/>
      <color theme="1"/>
      <name val="Calibri"/>
      <family val="2"/>
    </font>
    <font>
      <sz val="11"/>
      <name val="Calibri"/>
      <family val="2"/>
    </font>
    <font>
      <b/>
      <sz val="11"/>
      <name val="Arial"/>
      <family val="2"/>
    </font>
    <font>
      <sz val="8"/>
      <name val="Calibri"/>
      <family val="2"/>
      <scheme val="minor"/>
    </font>
    <font>
      <b/>
      <sz val="10"/>
      <color theme="1"/>
      <name val="Arial"/>
      <family val="2"/>
    </font>
    <font>
      <sz val="10"/>
      <color theme="1"/>
      <name val="Arial"/>
      <family val="2"/>
    </font>
    <font>
      <sz val="10"/>
      <color rgb="FFFF0000"/>
      <name val="Arial"/>
      <family val="2"/>
    </font>
    <font>
      <b/>
      <sz val="10"/>
      <color indexed="10"/>
      <name val="Arial"/>
      <family val="2"/>
    </font>
    <font>
      <sz val="10"/>
      <color indexed="54"/>
      <name val="Arial"/>
      <family val="2"/>
    </font>
    <font>
      <sz val="10"/>
      <color theme="9"/>
      <name val="Arial"/>
      <family val="2"/>
    </font>
    <font>
      <b/>
      <sz val="24"/>
      <color theme="1"/>
      <name val="Calibri"/>
      <family val="2"/>
      <scheme val="minor"/>
    </font>
    <font>
      <sz val="12"/>
      <name val="Calibri"/>
      <family val="2"/>
      <charset val="204"/>
      <scheme val="minor"/>
    </font>
    <font>
      <sz val="10"/>
      <name val="Calibri"/>
      <family val="2"/>
    </font>
    <font>
      <sz val="12"/>
      <color rgb="FFFF0000"/>
      <name val="Calibri"/>
      <family val="2"/>
      <charset val="204"/>
      <scheme val="minor"/>
    </font>
    <font>
      <b/>
      <sz val="12"/>
      <color theme="1"/>
      <name val="Calibri"/>
      <family val="2"/>
      <scheme val="minor"/>
    </font>
    <font>
      <sz val="10"/>
      <color indexed="8"/>
      <name val="MS Sans Serif"/>
      <family val="2"/>
    </font>
    <font>
      <sz val="10"/>
      <color rgb="FFFF0000"/>
      <name val="MS Sans Serif"/>
      <family val="2"/>
    </font>
    <font>
      <sz val="11"/>
      <color rgb="FFFF0000"/>
      <name val="Calibri"/>
      <family val="2"/>
    </font>
    <font>
      <u/>
      <sz val="12"/>
      <color theme="10"/>
      <name val="Calibri"/>
      <family val="2"/>
      <charset val="204"/>
      <scheme val="minor"/>
    </font>
    <font>
      <u/>
      <sz val="12"/>
      <color rgb="FFFF0000"/>
      <name val="Calibri"/>
      <family val="2"/>
      <charset val="204"/>
      <scheme val="minor"/>
    </font>
    <font>
      <sz val="11"/>
      <name val="1"/>
    </font>
    <font>
      <b/>
      <sz val="11"/>
      <name val="Calibri"/>
      <family val="2"/>
      <scheme val="minor"/>
    </font>
    <font>
      <sz val="8"/>
      <name val="MS Sans Serif"/>
    </font>
    <font>
      <sz val="11"/>
      <color theme="0" tint="-0.34998626667073579"/>
      <name val="Calibri"/>
      <family val="2"/>
      <scheme val="minor"/>
    </font>
    <font>
      <b/>
      <sz val="10"/>
      <name val="Calibri"/>
      <family val="2"/>
    </font>
    <font>
      <b/>
      <sz val="8"/>
      <color indexed="81"/>
      <name val="Tahoma"/>
      <family val="2"/>
    </font>
    <font>
      <sz val="8"/>
      <color indexed="81"/>
      <name val="Tahoma"/>
      <family val="2"/>
    </font>
  </fonts>
  <fills count="27">
    <fill>
      <patternFill patternType="none"/>
    </fill>
    <fill>
      <patternFill patternType="gray125"/>
    </fill>
    <fill>
      <patternFill patternType="solid">
        <fgColor theme="9" tint="0.79995117038483843"/>
        <bgColor indexed="64"/>
      </patternFill>
    </fill>
    <fill>
      <patternFill patternType="solid">
        <fgColor rgb="FFFFFF00"/>
        <bgColor rgb="FF000000"/>
      </patternFill>
    </fill>
    <fill>
      <patternFill patternType="solid">
        <fgColor rgb="FFFFFF00"/>
        <bgColor indexed="64"/>
      </patternFill>
    </fill>
    <fill>
      <patternFill patternType="solid">
        <fgColor theme="6" tint="0.79995117038483843"/>
        <bgColor indexed="64"/>
      </patternFill>
    </fill>
    <fill>
      <patternFill patternType="solid">
        <fgColor theme="0"/>
        <bgColor indexed="64"/>
      </patternFill>
    </fill>
    <fill>
      <patternFill patternType="solid">
        <fgColor theme="0" tint="-0.24994659260841701"/>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5" tint="0.79995117038483843"/>
        <bgColor indexed="64"/>
      </patternFill>
    </fill>
    <fill>
      <patternFill patternType="solid">
        <fgColor theme="4" tint="0.59996337778862885"/>
        <bgColor indexed="64"/>
      </patternFill>
    </fill>
    <fill>
      <patternFill patternType="solid">
        <fgColor theme="9" tint="-0.2499465926084170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tint="-0.34998626667073579"/>
        <bgColor indexed="64"/>
      </patternFill>
    </fill>
    <fill>
      <patternFill patternType="solid">
        <fgColor rgb="FF92D050"/>
        <bgColor indexed="64"/>
      </patternFill>
    </fill>
    <fill>
      <patternFill patternType="solid">
        <fgColor theme="4" tint="-0.24994659260841701"/>
        <bgColor indexed="64"/>
      </patternFill>
    </fill>
    <fill>
      <patternFill patternType="solid">
        <fgColor theme="5" tint="-0.24994659260841701"/>
        <bgColor indexed="64"/>
      </patternFill>
    </fill>
    <fill>
      <patternFill patternType="solid">
        <fgColor theme="7" tint="0.79995117038483843"/>
        <bgColor indexed="64"/>
      </patternFill>
    </fill>
    <fill>
      <patternFill patternType="solid">
        <fgColor indexed="50"/>
        <bgColor indexed="64"/>
      </patternFill>
    </fill>
    <fill>
      <patternFill patternType="solid">
        <fgColor theme="7" tint="0.59996337778862885"/>
        <bgColor indexed="64"/>
      </patternFill>
    </fill>
    <fill>
      <patternFill patternType="solid">
        <fgColor theme="4" tint="0.39997558519241921"/>
        <bgColor indexed="64"/>
      </patternFill>
    </fill>
    <fill>
      <patternFill patternType="solid">
        <fgColor theme="7" tint="0.59999389629810485"/>
        <bgColor indexed="64"/>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bottom style="medium">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double">
        <color indexed="64"/>
      </bottom>
      <diagonal/>
    </border>
    <border>
      <left style="thin">
        <color indexed="64"/>
      </left>
      <right/>
      <top style="thin">
        <color indexed="64"/>
      </top>
      <bottom style="double">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4">
    <xf numFmtId="0" fontId="0" fillId="0" borderId="0"/>
    <xf numFmtId="9" fontId="19" fillId="0" borderId="0" applyFont="0" applyFill="0" applyBorder="0" applyAlignment="0" applyProtection="0"/>
    <xf numFmtId="0" fontId="38" fillId="0" borderId="0"/>
    <xf numFmtId="0" fontId="41" fillId="0" borderId="0" applyNumberFormat="0" applyFill="0" applyBorder="0" applyAlignment="0" applyProtection="0"/>
  </cellStyleXfs>
  <cellXfs count="569">
    <xf numFmtId="0" fontId="0" fillId="0" borderId="0" xfId="0"/>
    <xf numFmtId="0" fontId="2" fillId="0" borderId="0" xfId="0" applyFont="1"/>
    <xf numFmtId="0" fontId="3" fillId="0" borderId="0" xfId="0" applyFont="1"/>
    <xf numFmtId="0" fontId="2" fillId="0" borderId="0" xfId="0" applyFont="1" applyAlignment="1">
      <alignment horizontal="center"/>
    </xf>
    <xf numFmtId="0" fontId="0" fillId="0" borderId="0" xfId="0" applyAlignment="1">
      <alignment horizontal="center"/>
    </xf>
    <xf numFmtId="0" fontId="3" fillId="0" borderId="1" xfId="0" applyFont="1" applyBorder="1"/>
    <xf numFmtId="2" fontId="3" fillId="0" borderId="2" xfId="0" applyNumberFormat="1" applyFont="1" applyBorder="1"/>
    <xf numFmtId="2" fontId="3" fillId="0" borderId="3" xfId="0" applyNumberFormat="1" applyFont="1" applyBorder="1"/>
    <xf numFmtId="0" fontId="4" fillId="0" borderId="0" xfId="0" applyFont="1"/>
    <xf numFmtId="0" fontId="3" fillId="0" borderId="4" xfId="0" applyFont="1" applyBorder="1"/>
    <xf numFmtId="2" fontId="3" fillId="0" borderId="5" xfId="0" applyNumberFormat="1" applyFont="1" applyBorder="1"/>
    <xf numFmtId="0" fontId="3" fillId="0" borderId="4" xfId="0" applyFont="1" applyBorder="1" applyAlignment="1">
      <alignment horizontal="right"/>
    </xf>
    <xf numFmtId="0" fontId="4" fillId="0" borderId="7" xfId="0" applyFont="1" applyBorder="1"/>
    <xf numFmtId="2" fontId="3" fillId="0" borderId="8" xfId="0" applyNumberFormat="1" applyFont="1" applyBorder="1"/>
    <xf numFmtId="2" fontId="3" fillId="0" borderId="9" xfId="0" applyNumberFormat="1" applyFont="1" applyBorder="1"/>
    <xf numFmtId="0" fontId="3" fillId="0" borderId="9" xfId="0" applyFont="1" applyBorder="1"/>
    <xf numFmtId="2" fontId="3" fillId="0" borderId="0" xfId="0" applyNumberFormat="1" applyFont="1"/>
    <xf numFmtId="0" fontId="3" fillId="2" borderId="0" xfId="0" applyFont="1" applyFill="1"/>
    <xf numFmtId="0" fontId="3" fillId="0" borderId="0" xfId="0" applyFont="1" applyFill="1"/>
    <xf numFmtId="0" fontId="4" fillId="0" borderId="10" xfId="0" applyFont="1" applyBorder="1"/>
    <xf numFmtId="0" fontId="4" fillId="0" borderId="3" xfId="0" applyFont="1" applyBorder="1"/>
    <xf numFmtId="0" fontId="3" fillId="0" borderId="0" xfId="0" applyFont="1" applyBorder="1"/>
    <xf numFmtId="0" fontId="3" fillId="0" borderId="6" xfId="0" applyFont="1" applyBorder="1"/>
    <xf numFmtId="0" fontId="3" fillId="0" borderId="6" xfId="0" applyFont="1" applyBorder="1" applyAlignment="1">
      <alignment horizontal="center"/>
    </xf>
    <xf numFmtId="0" fontId="3" fillId="0" borderId="1" xfId="0" applyFont="1" applyBorder="1" applyAlignment="1">
      <alignment horizontal="left" vertical="center"/>
    </xf>
    <xf numFmtId="0" fontId="6" fillId="0" borderId="0" xfId="0" applyFont="1" applyFill="1" applyBorder="1" applyAlignment="1">
      <alignment horizontal="center"/>
    </xf>
    <xf numFmtId="0" fontId="6" fillId="0" borderId="0" xfId="0" applyFont="1" applyFill="1" applyBorder="1" applyAlignment="1"/>
    <xf numFmtId="0" fontId="4" fillId="0" borderId="0" xfId="0" applyFont="1" applyFill="1" applyBorder="1"/>
    <xf numFmtId="0" fontId="3" fillId="0" borderId="4" xfId="0" applyFont="1" applyBorder="1" applyAlignment="1">
      <alignment horizontal="left" vertical="center"/>
    </xf>
    <xf numFmtId="2" fontId="4" fillId="0" borderId="0" xfId="0" applyNumberFormat="1" applyFont="1" applyFill="1" applyBorder="1"/>
    <xf numFmtId="0" fontId="3" fillId="0" borderId="7" xfId="0" applyFont="1" applyBorder="1" applyAlignment="1">
      <alignment horizontal="left" vertical="center"/>
    </xf>
    <xf numFmtId="0" fontId="7" fillId="0" borderId="0" xfId="0" applyFont="1"/>
    <xf numFmtId="0" fontId="8" fillId="0" borderId="0" xfId="0" applyFont="1"/>
    <xf numFmtId="0" fontId="1" fillId="0" borderId="0" xfId="0" applyFont="1"/>
    <xf numFmtId="0" fontId="9" fillId="0" borderId="0" xfId="0" applyFont="1"/>
    <xf numFmtId="0" fontId="3" fillId="0" borderId="0" xfId="0" applyFont="1" applyFill="1" applyBorder="1" applyAlignment="1">
      <alignment horizontal="left" vertical="center"/>
    </xf>
    <xf numFmtId="0" fontId="10" fillId="0" borderId="0" xfId="0" applyFont="1"/>
    <xf numFmtId="0" fontId="11" fillId="0" borderId="0" xfId="0" applyFont="1"/>
    <xf numFmtId="15" fontId="12" fillId="0" borderId="0" xfId="0" applyNumberFormat="1" applyFont="1"/>
    <xf numFmtId="0" fontId="13" fillId="3" borderId="0" xfId="0" applyFont="1" applyFill="1"/>
    <xf numFmtId="15" fontId="13" fillId="3" borderId="0" xfId="0" applyNumberFormat="1" applyFont="1" applyFill="1"/>
    <xf numFmtId="15" fontId="12" fillId="3" borderId="0" xfId="0" applyNumberFormat="1" applyFont="1" applyFill="1"/>
    <xf numFmtId="0" fontId="14" fillId="0" borderId="0" xfId="0" applyFont="1"/>
    <xf numFmtId="0" fontId="15" fillId="0" borderId="0" xfId="0" applyFont="1"/>
    <xf numFmtId="0" fontId="10" fillId="3" borderId="0" xfId="0" applyFont="1" applyFill="1"/>
    <xf numFmtId="164" fontId="10" fillId="3" borderId="0" xfId="0" applyNumberFormat="1" applyFont="1" applyFill="1"/>
    <xf numFmtId="165" fontId="15" fillId="0" borderId="0" xfId="0" applyNumberFormat="1" applyFont="1"/>
    <xf numFmtId="164" fontId="13" fillId="3" borderId="0" xfId="0" applyNumberFormat="1" applyFont="1" applyFill="1"/>
    <xf numFmtId="0" fontId="12" fillId="3" borderId="0" xfId="0" applyFont="1" applyFill="1"/>
    <xf numFmtId="166" fontId="12" fillId="3" borderId="0" xfId="0" applyNumberFormat="1" applyFont="1" applyFill="1"/>
    <xf numFmtId="1" fontId="10" fillId="3" borderId="0" xfId="0" applyNumberFormat="1" applyFont="1" applyFill="1"/>
    <xf numFmtId="0" fontId="11" fillId="3" borderId="0" xfId="0" applyFont="1" applyFill="1"/>
    <xf numFmtId="0" fontId="16" fillId="0" borderId="0" xfId="0" applyFont="1"/>
    <xf numFmtId="0" fontId="13" fillId="0" borderId="0" xfId="0" applyFont="1" applyFill="1"/>
    <xf numFmtId="15" fontId="13" fillId="0" borderId="0" xfId="0" applyNumberFormat="1" applyFont="1" applyFill="1"/>
    <xf numFmtId="15" fontId="12" fillId="0" borderId="0" xfId="0" applyNumberFormat="1" applyFont="1" applyFill="1"/>
    <xf numFmtId="0" fontId="10" fillId="0" borderId="0" xfId="0" applyFont="1" applyFill="1"/>
    <xf numFmtId="164" fontId="10" fillId="0" borderId="0" xfId="0" applyNumberFormat="1" applyFont="1" applyFill="1"/>
    <xf numFmtId="164" fontId="13" fillId="0" borderId="0" xfId="0" applyNumberFormat="1" applyFont="1" applyFill="1"/>
    <xf numFmtId="0" fontId="12" fillId="0" borderId="0" xfId="0" applyFont="1" applyFill="1"/>
    <xf numFmtId="166" fontId="12" fillId="0" borderId="0" xfId="0" applyNumberFormat="1" applyFont="1" applyFill="1"/>
    <xf numFmtId="1" fontId="10" fillId="0" borderId="0" xfId="0" applyNumberFormat="1" applyFont="1" applyFill="1"/>
    <xf numFmtId="0" fontId="11" fillId="0" borderId="0" xfId="0" applyFont="1" applyFill="1"/>
    <xf numFmtId="0" fontId="18" fillId="4" borderId="0" xfId="0" applyFont="1" applyFill="1"/>
    <xf numFmtId="0" fontId="7" fillId="4" borderId="0" xfId="0" applyFont="1" applyFill="1"/>
    <xf numFmtId="0" fontId="8" fillId="4" borderId="0" xfId="0" applyFont="1" applyFill="1"/>
    <xf numFmtId="0" fontId="0" fillId="4" borderId="0" xfId="0" applyFill="1"/>
    <xf numFmtId="14" fontId="0" fillId="0" borderId="0" xfId="0" applyNumberFormat="1"/>
    <xf numFmtId="2" fontId="4" fillId="0" borderId="7" xfId="0" applyNumberFormat="1" applyFont="1" applyBorder="1"/>
    <xf numFmtId="0" fontId="17" fillId="0" borderId="1" xfId="0" applyFont="1" applyBorder="1"/>
    <xf numFmtId="2" fontId="3" fillId="0" borderId="1" xfId="0" applyNumberFormat="1" applyFont="1" applyBorder="1"/>
    <xf numFmtId="2" fontId="3" fillId="0" borderId="4" xfId="0" applyNumberFormat="1" applyFont="1" applyBorder="1"/>
    <xf numFmtId="2" fontId="3" fillId="0" borderId="4" xfId="0" applyNumberFormat="1" applyFont="1" applyBorder="1" applyAlignment="1">
      <alignment horizontal="right"/>
    </xf>
    <xf numFmtId="0" fontId="5" fillId="0" borderId="5" xfId="0" applyFont="1" applyFill="1" applyBorder="1" applyAlignment="1">
      <alignment horizontal="left" vertical="center"/>
    </xf>
    <xf numFmtId="0" fontId="5" fillId="0" borderId="8" xfId="0" applyFont="1" applyFill="1" applyBorder="1" applyAlignment="1">
      <alignment horizontal="left" vertical="center"/>
    </xf>
    <xf numFmtId="0" fontId="21" fillId="0" borderId="1" xfId="0" applyFont="1" applyFill="1" applyBorder="1"/>
    <xf numFmtId="0" fontId="20" fillId="0" borderId="0" xfId="0" applyFont="1"/>
    <xf numFmtId="0" fontId="2" fillId="0" borderId="0" xfId="0" applyFont="1" applyAlignment="1">
      <alignment horizontal="left"/>
    </xf>
    <xf numFmtId="9" fontId="0" fillId="0" borderId="0" xfId="1" applyFont="1"/>
    <xf numFmtId="0" fontId="21" fillId="0" borderId="4" xfId="0" applyFont="1" applyBorder="1"/>
    <xf numFmtId="0" fontId="22" fillId="0" borderId="4" xfId="0" applyFont="1" applyBorder="1" applyAlignment="1">
      <alignment horizontal="left"/>
    </xf>
    <xf numFmtId="0" fontId="21" fillId="0" borderId="0" xfId="0" applyFont="1" applyBorder="1" applyAlignment="1">
      <alignment horizontal="center"/>
    </xf>
    <xf numFmtId="2" fontId="3" fillId="0" borderId="6" xfId="0" applyNumberFormat="1" applyFont="1" applyFill="1" applyBorder="1"/>
    <xf numFmtId="0" fontId="20" fillId="0" borderId="0" xfId="0" applyFont="1" applyAlignment="1">
      <alignment horizontal="left"/>
    </xf>
    <xf numFmtId="0" fontId="5" fillId="0" borderId="1" xfId="0" applyFont="1" applyFill="1" applyBorder="1" applyAlignment="1">
      <alignment horizontal="left" vertical="center"/>
    </xf>
    <xf numFmtId="0" fontId="3" fillId="0" borderId="4" xfId="0" applyFont="1" applyFill="1" applyBorder="1" applyAlignment="1">
      <alignment horizontal="left" vertical="center"/>
    </xf>
    <xf numFmtId="0" fontId="3" fillId="0" borderId="7" xfId="0" applyFont="1" applyFill="1" applyBorder="1" applyAlignment="1">
      <alignment horizontal="left" vertical="center"/>
    </xf>
    <xf numFmtId="0" fontId="5" fillId="0" borderId="2" xfId="0" applyFont="1" applyBorder="1" applyAlignment="1">
      <alignment horizontal="left" vertical="center"/>
    </xf>
    <xf numFmtId="0" fontId="0" fillId="0" borderId="0" xfId="0" applyFill="1"/>
    <xf numFmtId="0" fontId="18" fillId="0" borderId="0" xfId="0" applyFont="1"/>
    <xf numFmtId="0" fontId="4" fillId="0" borderId="0" xfId="0" applyFont="1" applyFill="1"/>
    <xf numFmtId="0" fontId="25" fillId="0" borderId="1" xfId="0" applyFont="1" applyBorder="1" applyAlignment="1">
      <alignment vertical="center"/>
    </xf>
    <xf numFmtId="1" fontId="25" fillId="0" borderId="10" xfId="0" applyNumberFormat="1" applyFont="1" applyBorder="1" applyAlignment="1">
      <alignment vertical="center"/>
    </xf>
    <xf numFmtId="0" fontId="25" fillId="0" borderId="10" xfId="0" applyFont="1" applyBorder="1" applyAlignment="1">
      <alignment horizontal="left" vertical="center"/>
    </xf>
    <xf numFmtId="0" fontId="25" fillId="0" borderId="3" xfId="0" applyFont="1" applyBorder="1" applyAlignment="1">
      <alignment vertical="center"/>
    </xf>
    <xf numFmtId="0" fontId="25" fillId="0" borderId="10" xfId="0" applyFont="1" applyBorder="1" applyAlignment="1">
      <alignment vertical="center"/>
    </xf>
    <xf numFmtId="1" fontId="14" fillId="0" borderId="0" xfId="0" applyNumberFormat="1" applyFont="1" applyAlignment="1">
      <alignment horizontal="left"/>
    </xf>
    <xf numFmtId="2" fontId="2" fillId="0" borderId="0" xfId="0" applyNumberFormat="1" applyFont="1"/>
    <xf numFmtId="1" fontId="2" fillId="0" borderId="0" xfId="0" applyNumberFormat="1" applyFont="1"/>
    <xf numFmtId="167" fontId="27" fillId="0" borderId="0" xfId="0" applyNumberFormat="1" applyFont="1"/>
    <xf numFmtId="167" fontId="2" fillId="0" borderId="0" xfId="0" applyNumberFormat="1" applyFont="1"/>
    <xf numFmtId="2" fontId="2" fillId="0" borderId="0" xfId="0" applyNumberFormat="1" applyFont="1" applyAlignment="1">
      <alignment horizontal="center"/>
    </xf>
    <xf numFmtId="168" fontId="2" fillId="0" borderId="0" xfId="0" applyNumberFormat="1" applyFont="1" applyAlignment="1">
      <alignment horizontal="right"/>
    </xf>
    <xf numFmtId="169" fontId="2" fillId="0" borderId="0" xfId="0" applyNumberFormat="1" applyFont="1"/>
    <xf numFmtId="2" fontId="11" fillId="0" borderId="0" xfId="0" applyNumberFormat="1" applyFont="1" applyAlignment="1">
      <alignment horizontal="left"/>
    </xf>
    <xf numFmtId="2" fontId="0" fillId="0" borderId="0" xfId="0" applyNumberFormat="1"/>
    <xf numFmtId="2" fontId="28" fillId="0" borderId="0" xfId="0" applyNumberFormat="1" applyFont="1"/>
    <xf numFmtId="167" fontId="11" fillId="5" borderId="0" xfId="0" applyNumberFormat="1" applyFont="1" applyFill="1" applyAlignment="1">
      <alignment horizontal="right"/>
    </xf>
    <xf numFmtId="2" fontId="11" fillId="0" borderId="0" xfId="0" applyNumberFormat="1" applyFont="1"/>
    <xf numFmtId="0" fontId="0" fillId="0" borderId="0" xfId="0" applyAlignment="1">
      <alignment horizontal="left"/>
    </xf>
    <xf numFmtId="0" fontId="27" fillId="0" borderId="0" xfId="0" applyFont="1"/>
    <xf numFmtId="1" fontId="15" fillId="0" borderId="0" xfId="0" applyNumberFormat="1" applyFont="1" applyAlignment="1">
      <alignment horizontal="left"/>
    </xf>
    <xf numFmtId="1" fontId="0" fillId="0" borderId="0" xfId="0" applyNumberFormat="1"/>
    <xf numFmtId="167" fontId="28" fillId="0" borderId="0" xfId="0" applyNumberFormat="1" applyFont="1"/>
    <xf numFmtId="1" fontId="0" fillId="0" borderId="0" xfId="0" quotePrefix="1" applyNumberFormat="1"/>
    <xf numFmtId="167" fontId="0" fillId="0" borderId="0" xfId="0" quotePrefix="1" applyNumberFormat="1"/>
    <xf numFmtId="167" fontId="0" fillId="0" borderId="0" xfId="0" applyNumberFormat="1"/>
    <xf numFmtId="2" fontId="0" fillId="0" borderId="0" xfId="0" applyNumberFormat="1" applyAlignment="1">
      <alignment horizontal="center"/>
    </xf>
    <xf numFmtId="168" fontId="0" fillId="0" borderId="0" xfId="0" applyNumberFormat="1" applyAlignment="1">
      <alignment horizontal="right"/>
    </xf>
    <xf numFmtId="169" fontId="0" fillId="0" borderId="0" xfId="0" applyNumberFormat="1"/>
    <xf numFmtId="1" fontId="11" fillId="5" borderId="0" xfId="0" applyNumberFormat="1" applyFont="1" applyFill="1" applyAlignment="1">
      <alignment horizontal="right"/>
    </xf>
    <xf numFmtId="1" fontId="0" fillId="0" borderId="0" xfId="0" applyNumberFormat="1" applyAlignment="1">
      <alignment horizontal="left"/>
    </xf>
    <xf numFmtId="15" fontId="0" fillId="0" borderId="0" xfId="0" applyNumberFormat="1" applyAlignment="1">
      <alignment horizontal="left"/>
    </xf>
    <xf numFmtId="0" fontId="29" fillId="0" borderId="0" xfId="0" applyFont="1"/>
    <xf numFmtId="2" fontId="0" fillId="0" borderId="0" xfId="0" quotePrefix="1" applyNumberFormat="1"/>
    <xf numFmtId="0" fontId="0" fillId="0" borderId="0" xfId="0" quotePrefix="1"/>
    <xf numFmtId="16" fontId="0" fillId="0" borderId="0" xfId="0" applyNumberFormat="1"/>
    <xf numFmtId="2" fontId="0" fillId="0" borderId="0" xfId="0" applyNumberFormat="1" applyAlignment="1">
      <alignment horizontal="left"/>
    </xf>
    <xf numFmtId="2" fontId="28" fillId="0" borderId="0" xfId="0" applyNumberFormat="1" applyFont="1" applyAlignment="1">
      <alignment horizontal="left"/>
    </xf>
    <xf numFmtId="1" fontId="27" fillId="6" borderId="0" xfId="0" applyNumberFormat="1" applyFont="1" applyFill="1"/>
    <xf numFmtId="0" fontId="6" fillId="0" borderId="0" xfId="0" applyFont="1"/>
    <xf numFmtId="167" fontId="30" fillId="0" borderId="0" xfId="0" applyNumberFormat="1" applyFont="1"/>
    <xf numFmtId="2" fontId="2" fillId="0" borderId="0" xfId="0" applyNumberFormat="1" applyFont="1" applyAlignment="1">
      <alignment horizontal="left"/>
    </xf>
    <xf numFmtId="0" fontId="31" fillId="0" borderId="0" xfId="0" applyFont="1"/>
    <xf numFmtId="0" fontId="15" fillId="0" borderId="0" xfId="0" applyFont="1" applyAlignment="1">
      <alignment horizontal="left"/>
    </xf>
    <xf numFmtId="1" fontId="31" fillId="0" borderId="0" xfId="0" applyNumberFormat="1" applyFont="1"/>
    <xf numFmtId="167" fontId="31" fillId="0" borderId="0" xfId="0" applyNumberFormat="1" applyFont="1"/>
    <xf numFmtId="2" fontId="31" fillId="0" borderId="0" xfId="0" applyNumberFormat="1" applyFont="1" applyAlignment="1">
      <alignment horizontal="center"/>
    </xf>
    <xf numFmtId="167" fontId="31" fillId="0" borderId="0" xfId="0" quotePrefix="1" applyNumberFormat="1" applyFont="1"/>
    <xf numFmtId="168" fontId="31" fillId="0" borderId="0" xfId="0" applyNumberFormat="1" applyFont="1" applyAlignment="1">
      <alignment horizontal="right"/>
    </xf>
    <xf numFmtId="169" fontId="31" fillId="0" borderId="0" xfId="0" applyNumberFormat="1" applyFont="1"/>
    <xf numFmtId="0" fontId="0" fillId="0" borderId="0" xfId="0" applyAlignment="1">
      <alignment wrapText="1"/>
    </xf>
    <xf numFmtId="0" fontId="28" fillId="0" borderId="0" xfId="0" applyFont="1"/>
    <xf numFmtId="0" fontId="11" fillId="0" borderId="0" xfId="0" applyFont="1" applyAlignment="1">
      <alignment horizontal="right"/>
    </xf>
    <xf numFmtId="1" fontId="11" fillId="0" borderId="0" xfId="0" applyNumberFormat="1" applyFont="1" applyAlignment="1">
      <alignment horizontal="left"/>
    </xf>
    <xf numFmtId="1" fontId="11" fillId="5" borderId="0" xfId="0" applyNumberFormat="1" applyFont="1" applyFill="1"/>
    <xf numFmtId="164" fontId="32" fillId="5" borderId="0" xfId="0" applyNumberFormat="1" applyFont="1" applyFill="1"/>
    <xf numFmtId="0" fontId="32" fillId="0" borderId="0" xfId="0" applyFont="1"/>
    <xf numFmtId="0" fontId="28" fillId="2" borderId="0" xfId="0" applyFont="1" applyFill="1"/>
    <xf numFmtId="0" fontId="11" fillId="2" borderId="0" xfId="0" applyFont="1" applyFill="1" applyAlignment="1">
      <alignment horizontal="left"/>
    </xf>
    <xf numFmtId="0" fontId="29" fillId="2" borderId="0" xfId="0" applyFont="1" applyFill="1"/>
    <xf numFmtId="0" fontId="0" fillId="2" borderId="0" xfId="0" applyFill="1"/>
    <xf numFmtId="2" fontId="32" fillId="2" borderId="0" xfId="0" applyNumberFormat="1" applyFont="1" applyFill="1"/>
    <xf numFmtId="1" fontId="32" fillId="2" borderId="0" xfId="0" applyNumberFormat="1" applyFont="1" applyFill="1"/>
    <xf numFmtId="0" fontId="11" fillId="2" borderId="0" xfId="0" applyFont="1" applyFill="1"/>
    <xf numFmtId="0" fontId="32" fillId="2" borderId="0" xfId="0" applyFont="1" applyFill="1"/>
    <xf numFmtId="2" fontId="32" fillId="2" borderId="0" xfId="0" applyNumberFormat="1" applyFont="1" applyFill="1" applyAlignment="1">
      <alignment horizontal="center"/>
    </xf>
    <xf numFmtId="167" fontId="32" fillId="2" borderId="0" xfId="0" applyNumberFormat="1" applyFont="1" applyFill="1"/>
    <xf numFmtId="168" fontId="32" fillId="2" borderId="0" xfId="0" applyNumberFormat="1" applyFont="1" applyFill="1" applyAlignment="1">
      <alignment horizontal="right"/>
    </xf>
    <xf numFmtId="15" fontId="32" fillId="2" borderId="0" xfId="0" applyNumberFormat="1" applyFont="1" applyFill="1"/>
    <xf numFmtId="164" fontId="32" fillId="2" borderId="0" xfId="0" applyNumberFormat="1" applyFont="1" applyFill="1"/>
    <xf numFmtId="2" fontId="11" fillId="2" borderId="0" xfId="0" applyNumberFormat="1" applyFont="1" applyFill="1" applyAlignment="1">
      <alignment horizontal="left"/>
    </xf>
    <xf numFmtId="2" fontId="0" fillId="2" borderId="0" xfId="0" applyNumberFormat="1" applyFill="1"/>
    <xf numFmtId="1" fontId="11" fillId="2" borderId="0" xfId="0" applyNumberFormat="1" applyFont="1" applyFill="1" applyAlignment="1">
      <alignment horizontal="left"/>
    </xf>
    <xf numFmtId="0" fontId="0" fillId="2" borderId="0" xfId="0" applyFill="1" applyAlignment="1">
      <alignment horizontal="left"/>
    </xf>
    <xf numFmtId="0" fontId="2" fillId="4" borderId="0" xfId="0" applyFont="1" applyFill="1"/>
    <xf numFmtId="0" fontId="31" fillId="4" borderId="0" xfId="0" applyFont="1" applyFill="1"/>
    <xf numFmtId="0" fontId="17" fillId="0" borderId="0" xfId="0" applyFont="1" applyFill="1"/>
    <xf numFmtId="0" fontId="17" fillId="0" borderId="0" xfId="0" applyFont="1"/>
    <xf numFmtId="170" fontId="0" fillId="0" borderId="0" xfId="0" applyNumberFormat="1"/>
    <xf numFmtId="14" fontId="11" fillId="0" borderId="0" xfId="0" applyNumberFormat="1" applyFont="1"/>
    <xf numFmtId="14" fontId="0" fillId="0" borderId="0" xfId="0" applyNumberFormat="1" applyFill="1"/>
    <xf numFmtId="167" fontId="11" fillId="0" borderId="0" xfId="0" applyNumberFormat="1" applyFont="1"/>
    <xf numFmtId="0" fontId="11" fillId="0" borderId="0" xfId="0" applyFont="1" applyAlignment="1">
      <alignment horizontal="left"/>
    </xf>
    <xf numFmtId="2" fontId="32" fillId="0" borderId="0" xfId="0" applyNumberFormat="1" applyFont="1"/>
    <xf numFmtId="1" fontId="32" fillId="0" borderId="0" xfId="0" applyNumberFormat="1" applyFont="1"/>
    <xf numFmtId="1" fontId="11" fillId="0" borderId="0" xfId="0" applyNumberFormat="1" applyFont="1"/>
    <xf numFmtId="1" fontId="11" fillId="0" borderId="0" xfId="0" applyNumberFormat="1" applyFont="1" applyAlignment="1">
      <alignment horizontal="right"/>
    </xf>
    <xf numFmtId="1" fontId="32" fillId="0" borderId="0" xfId="0" applyNumberFormat="1" applyFont="1" applyAlignment="1">
      <alignment horizontal="left"/>
    </xf>
    <xf numFmtId="167" fontId="32" fillId="0" borderId="0" xfId="0" applyNumberFormat="1" applyFont="1"/>
    <xf numFmtId="1" fontId="29" fillId="0" borderId="0" xfId="0" applyNumberFormat="1" applyFont="1" applyAlignment="1">
      <alignment horizontal="left"/>
    </xf>
    <xf numFmtId="171" fontId="11" fillId="0" borderId="0" xfId="0" applyNumberFormat="1" applyFont="1"/>
    <xf numFmtId="167" fontId="29" fillId="0" borderId="0" xfId="0" applyNumberFormat="1" applyFont="1"/>
    <xf numFmtId="15" fontId="29" fillId="0" borderId="0" xfId="0" applyNumberFormat="1" applyFont="1"/>
    <xf numFmtId="20" fontId="29" fillId="0" borderId="0" xfId="0" applyNumberFormat="1" applyFont="1"/>
    <xf numFmtId="1" fontId="6" fillId="2" borderId="0" xfId="0" applyNumberFormat="1" applyFont="1" applyFill="1"/>
    <xf numFmtId="0" fontId="34" fillId="7" borderId="0" xfId="0" applyFont="1" applyFill="1"/>
    <xf numFmtId="2" fontId="34" fillId="7" borderId="0" xfId="0" applyNumberFormat="1" applyFont="1" applyFill="1"/>
    <xf numFmtId="167" fontId="34" fillId="7" borderId="0" xfId="0" applyNumberFormat="1" applyFont="1" applyFill="1"/>
    <xf numFmtId="167" fontId="34" fillId="7" borderId="0" xfId="0" applyNumberFormat="1" applyFont="1" applyFill="1" applyAlignment="1">
      <alignment horizontal="center"/>
    </xf>
    <xf numFmtId="2" fontId="34" fillId="7" borderId="4" xfId="0" applyNumberFormat="1" applyFont="1" applyFill="1" applyBorder="1"/>
    <xf numFmtId="14" fontId="11" fillId="7" borderId="0" xfId="0" applyNumberFormat="1" applyFont="1" applyFill="1"/>
    <xf numFmtId="14" fontId="34" fillId="7" borderId="0" xfId="0" applyNumberFormat="1" applyFont="1" applyFill="1"/>
    <xf numFmtId="167" fontId="11" fillId="7" borderId="0" xfId="0" applyNumberFormat="1" applyFont="1" applyFill="1" applyAlignment="1">
      <alignment horizontal="center"/>
    </xf>
    <xf numFmtId="0" fontId="34" fillId="7" borderId="4" xfId="0" applyFont="1" applyFill="1" applyBorder="1"/>
    <xf numFmtId="167" fontId="34" fillId="7" borderId="0" xfId="0" quotePrefix="1" applyNumberFormat="1" applyFont="1" applyFill="1"/>
    <xf numFmtId="0" fontId="11" fillId="0" borderId="4" xfId="0" applyFont="1" applyBorder="1"/>
    <xf numFmtId="0" fontId="11" fillId="0" borderId="0" xfId="0" applyFont="1" applyAlignment="1">
      <alignment horizontal="center"/>
    </xf>
    <xf numFmtId="0" fontId="34" fillId="0" borderId="0" xfId="0" applyFont="1"/>
    <xf numFmtId="0" fontId="34" fillId="0" borderId="4" xfId="0" applyFont="1" applyBorder="1"/>
    <xf numFmtId="0" fontId="36" fillId="0" borderId="0" xfId="0" applyFont="1"/>
    <xf numFmtId="0" fontId="35" fillId="0" borderId="0" xfId="0" applyFont="1"/>
    <xf numFmtId="172" fontId="34" fillId="0" borderId="0" xfId="0" applyNumberFormat="1" applyFont="1"/>
    <xf numFmtId="172" fontId="36" fillId="0" borderId="0" xfId="0" applyNumberFormat="1" applyFont="1"/>
    <xf numFmtId="0" fontId="34" fillId="0" borderId="11" xfId="0" applyFont="1" applyBorder="1"/>
    <xf numFmtId="173" fontId="34" fillId="0" borderId="0" xfId="0" applyNumberFormat="1" applyFont="1"/>
    <xf numFmtId="10" fontId="34" fillId="0" borderId="0" xfId="1" applyNumberFormat="1" applyFont="1"/>
    <xf numFmtId="0" fontId="11" fillId="0" borderId="11" xfId="0" applyFont="1" applyBorder="1"/>
    <xf numFmtId="0" fontId="34" fillId="0" borderId="7" xfId="0" applyFont="1" applyBorder="1"/>
    <xf numFmtId="173" fontId="34" fillId="0" borderId="11" xfId="0" applyNumberFormat="1" applyFont="1" applyBorder="1"/>
    <xf numFmtId="14" fontId="0" fillId="4" borderId="0" xfId="0" applyNumberFormat="1" applyFill="1"/>
    <xf numFmtId="0" fontId="34" fillId="0" borderId="4" xfId="0" applyFont="1" applyFill="1" applyBorder="1"/>
    <xf numFmtId="0" fontId="34" fillId="0" borderId="0" xfId="0" applyFont="1" applyFill="1" applyBorder="1"/>
    <xf numFmtId="14" fontId="17" fillId="0" borderId="0" xfId="0" applyNumberFormat="1" applyFont="1"/>
    <xf numFmtId="0" fontId="11" fillId="0" borderId="12" xfId="0" applyFont="1" applyBorder="1"/>
    <xf numFmtId="0" fontId="34" fillId="0" borderId="12" xfId="0" applyFont="1" applyBorder="1"/>
    <xf numFmtId="0" fontId="35" fillId="0" borderId="12" xfId="0" applyFont="1" applyBorder="1"/>
    <xf numFmtId="173" fontId="34" fillId="0" borderId="12" xfId="0" applyNumberFormat="1" applyFont="1" applyBorder="1"/>
    <xf numFmtId="0" fontId="0" fillId="0" borderId="12" xfId="0" applyBorder="1"/>
    <xf numFmtId="0" fontId="0" fillId="0" borderId="11" xfId="0" applyBorder="1"/>
    <xf numFmtId="14" fontId="11" fillId="0" borderId="11" xfId="0" applyNumberFormat="1" applyFont="1" applyBorder="1"/>
    <xf numFmtId="0" fontId="34" fillId="0" borderId="7" xfId="0" applyFont="1" applyFill="1" applyBorder="1"/>
    <xf numFmtId="0" fontId="11" fillId="0" borderId="11" xfId="0" applyFont="1" applyBorder="1" applyAlignment="1">
      <alignment horizontal="center"/>
    </xf>
    <xf numFmtId="0" fontId="20" fillId="4" borderId="0" xfId="0" applyFont="1" applyFill="1"/>
    <xf numFmtId="2" fontId="0" fillId="8" borderId="0" xfId="0" applyNumberFormat="1" applyFill="1"/>
    <xf numFmtId="15" fontId="0" fillId="0" borderId="0" xfId="0" applyNumberFormat="1"/>
    <xf numFmtId="2" fontId="37" fillId="0" borderId="0" xfId="0" applyNumberFormat="1" applyFont="1"/>
    <xf numFmtId="0" fontId="37" fillId="0" borderId="0" xfId="0" applyFont="1"/>
    <xf numFmtId="167" fontId="37" fillId="0" borderId="0" xfId="0" applyNumberFormat="1" applyFont="1"/>
    <xf numFmtId="15" fontId="11" fillId="0" borderId="0" xfId="0" applyNumberFormat="1" applyFont="1"/>
    <xf numFmtId="0" fontId="0" fillId="9" borderId="0" xfId="0" applyFill="1"/>
    <xf numFmtId="0" fontId="0" fillId="9" borderId="0" xfId="0" applyFill="1" applyAlignment="1"/>
    <xf numFmtId="2" fontId="0" fillId="10" borderId="0" xfId="0" applyNumberFormat="1" applyFill="1"/>
    <xf numFmtId="0" fontId="0" fillId="10" borderId="0" xfId="0" applyFill="1"/>
    <xf numFmtId="167" fontId="0" fillId="4" borderId="0" xfId="0" applyNumberFormat="1" applyFill="1"/>
    <xf numFmtId="0" fontId="0" fillId="8" borderId="0" xfId="0" applyFill="1"/>
    <xf numFmtId="167" fontId="0" fillId="8" borderId="0" xfId="0" applyNumberFormat="1" applyFill="1"/>
    <xf numFmtId="174" fontId="0" fillId="0" borderId="0" xfId="0" applyNumberFormat="1" applyAlignment="1">
      <alignment horizontal="left"/>
    </xf>
    <xf numFmtId="14" fontId="28" fillId="0" borderId="0" xfId="0" applyNumberFormat="1" applyFont="1" applyAlignment="1">
      <alignment horizontal="left"/>
    </xf>
    <xf numFmtId="14" fontId="11" fillId="0" borderId="0" xfId="0" applyNumberFormat="1" applyFont="1" applyAlignment="1">
      <alignment horizontal="left"/>
    </xf>
    <xf numFmtId="0" fontId="0" fillId="0" borderId="0" xfId="0" applyAlignment="1">
      <alignment horizontal="left" vertical="center"/>
    </xf>
    <xf numFmtId="167" fontId="24" fillId="0" borderId="0" xfId="0" applyNumberFormat="1" applyFont="1" applyAlignment="1">
      <alignment horizontal="left"/>
    </xf>
    <xf numFmtId="0" fontId="24" fillId="0" borderId="0" xfId="0" applyFont="1" applyAlignment="1">
      <alignment horizontal="left"/>
    </xf>
    <xf numFmtId="0" fontId="39" fillId="0" borderId="0" xfId="2" applyFont="1" applyAlignment="1">
      <alignment horizontal="left"/>
    </xf>
    <xf numFmtId="0" fontId="40" fillId="0" borderId="0" xfId="0" applyFont="1" applyAlignment="1">
      <alignment horizontal="left"/>
    </xf>
    <xf numFmtId="0" fontId="42" fillId="0" borderId="0" xfId="3" applyFont="1" applyFill="1"/>
    <xf numFmtId="1" fontId="0" fillId="4" borderId="0" xfId="0" applyNumberFormat="1" applyFill="1" applyAlignment="1">
      <alignment horizontal="left"/>
    </xf>
    <xf numFmtId="0" fontId="23" fillId="0" borderId="0" xfId="0" applyFont="1" applyAlignment="1">
      <alignment horizontal="left"/>
    </xf>
    <xf numFmtId="0" fontId="3" fillId="0" borderId="0" xfId="0" applyFont="1" applyAlignment="1">
      <alignment horizontal="left"/>
    </xf>
    <xf numFmtId="1" fontId="24" fillId="0" borderId="0" xfId="0" applyNumberFormat="1" applyFont="1" applyAlignment="1">
      <alignment horizontal="left"/>
    </xf>
    <xf numFmtId="0" fontId="34" fillId="0" borderId="0" xfId="3" applyFont="1" applyFill="1"/>
    <xf numFmtId="0" fontId="24" fillId="0" borderId="0" xfId="0" quotePrefix="1" applyFont="1" applyAlignment="1">
      <alignment horizontal="left"/>
    </xf>
    <xf numFmtId="0" fontId="3" fillId="4" borderId="0" xfId="0" applyFont="1" applyFill="1" applyAlignment="1">
      <alignment horizontal="left"/>
    </xf>
    <xf numFmtId="0" fontId="3" fillId="0" borderId="0" xfId="0" applyFont="1" applyAlignment="1">
      <alignment horizontal="left" vertical="center"/>
    </xf>
    <xf numFmtId="174" fontId="3" fillId="0" borderId="0" xfId="0" applyNumberFormat="1" applyFont="1" applyAlignment="1">
      <alignment horizontal="left"/>
    </xf>
    <xf numFmtId="10" fontId="24" fillId="0" borderId="0" xfId="0" applyNumberFormat="1" applyFont="1" applyAlignment="1">
      <alignment horizontal="right"/>
    </xf>
    <xf numFmtId="175" fontId="24" fillId="0" borderId="0" xfId="1" applyNumberFormat="1" applyFont="1" applyFill="1" applyAlignment="1">
      <alignment horizontal="left"/>
    </xf>
    <xf numFmtId="2" fontId="24" fillId="0" borderId="0" xfId="0" applyNumberFormat="1" applyFont="1" applyAlignment="1">
      <alignment horizontal="left"/>
    </xf>
    <xf numFmtId="175" fontId="24" fillId="0" borderId="0" xfId="0" applyNumberFormat="1" applyFont="1" applyAlignment="1">
      <alignment horizontal="left"/>
    </xf>
    <xf numFmtId="0" fontId="19" fillId="0" borderId="0" xfId="0" applyFont="1"/>
    <xf numFmtId="0" fontId="34" fillId="0" borderId="0" xfId="0" applyFont="1" applyAlignment="1">
      <alignment horizontal="left" vertical="center"/>
    </xf>
    <xf numFmtId="0" fontId="29" fillId="0" borderId="0" xfId="0" applyFont="1" applyAlignment="1">
      <alignment horizontal="left" vertical="center"/>
    </xf>
    <xf numFmtId="0" fontId="0" fillId="4" borderId="0" xfId="0" applyFill="1" applyAlignment="1">
      <alignment horizontal="left"/>
    </xf>
    <xf numFmtId="2" fontId="0" fillId="4" borderId="0" xfId="0" applyNumberFormat="1" applyFill="1"/>
    <xf numFmtId="167" fontId="3" fillId="4" borderId="0" xfId="0" applyNumberFormat="1" applyFont="1" applyFill="1"/>
    <xf numFmtId="167" fontId="3" fillId="0" borderId="0" xfId="0" applyNumberFormat="1" applyFont="1"/>
    <xf numFmtId="1" fontId="3" fillId="0" borderId="0" xfId="0" applyNumberFormat="1" applyFont="1"/>
    <xf numFmtId="14" fontId="20" fillId="0" borderId="0" xfId="0" applyNumberFormat="1" applyFont="1"/>
    <xf numFmtId="0" fontId="20" fillId="8" borderId="0" xfId="0" applyFont="1" applyFill="1"/>
    <xf numFmtId="1" fontId="20" fillId="0" borderId="0" xfId="0" applyNumberFormat="1" applyFont="1"/>
    <xf numFmtId="174" fontId="20" fillId="0" borderId="0" xfId="0" applyNumberFormat="1" applyFont="1"/>
    <xf numFmtId="0" fontId="20" fillId="0" borderId="0" xfId="0" applyFont="1" applyAlignment="1">
      <alignment horizontal="center" vertical="center"/>
    </xf>
    <xf numFmtId="174" fontId="20" fillId="0" borderId="0" xfId="0" applyNumberFormat="1" applyFont="1" applyAlignment="1">
      <alignment horizontal="left"/>
    </xf>
    <xf numFmtId="1" fontId="20" fillId="0" borderId="0" xfId="0" applyNumberFormat="1" applyFont="1" applyAlignment="1">
      <alignment horizontal="left"/>
    </xf>
    <xf numFmtId="167" fontId="20" fillId="0" borderId="0" xfId="0" applyNumberFormat="1" applyFont="1" applyAlignment="1">
      <alignment horizontal="center"/>
    </xf>
    <xf numFmtId="14" fontId="27" fillId="0" borderId="0" xfId="0" applyNumberFormat="1" applyFont="1" applyAlignment="1">
      <alignment horizontal="left"/>
    </xf>
    <xf numFmtId="14" fontId="2" fillId="0" borderId="0" xfId="0" applyNumberFormat="1" applyFont="1" applyAlignment="1">
      <alignment horizontal="left"/>
    </xf>
    <xf numFmtId="0" fontId="20" fillId="0" borderId="0" xfId="0" applyFont="1" applyAlignment="1">
      <alignment horizontal="center"/>
    </xf>
    <xf numFmtId="9" fontId="0" fillId="0" borderId="0" xfId="0" applyNumberFormat="1"/>
    <xf numFmtId="173" fontId="0" fillId="0" borderId="0" xfId="0" applyNumberFormat="1"/>
    <xf numFmtId="10" fontId="0" fillId="0" borderId="0" xfId="1" applyNumberFormat="1" applyFont="1"/>
    <xf numFmtId="2" fontId="18" fillId="0" borderId="0" xfId="0" applyNumberFormat="1" applyFont="1"/>
    <xf numFmtId="0" fontId="18" fillId="9" borderId="0" xfId="0" applyFont="1" applyFill="1"/>
    <xf numFmtId="2" fontId="44" fillId="4" borderId="0" xfId="0" applyNumberFormat="1" applyFont="1" applyFill="1"/>
    <xf numFmtId="10" fontId="18" fillId="4" borderId="0" xfId="1" applyNumberFormat="1" applyFont="1" applyFill="1"/>
    <xf numFmtId="0" fontId="0" fillId="11" borderId="0" xfId="0" applyFill="1"/>
    <xf numFmtId="2" fontId="0" fillId="11" borderId="0" xfId="0" applyNumberFormat="1" applyFill="1"/>
    <xf numFmtId="10" fontId="18" fillId="0" borderId="0" xfId="1" applyNumberFormat="1" applyFont="1" applyFill="1"/>
    <xf numFmtId="0" fontId="0" fillId="0" borderId="13" xfId="0" applyBorder="1"/>
    <xf numFmtId="1" fontId="0" fillId="0" borderId="13" xfId="0" applyNumberFormat="1" applyBorder="1"/>
    <xf numFmtId="2" fontId="0" fillId="0" borderId="13" xfId="0" applyNumberFormat="1" applyBorder="1"/>
    <xf numFmtId="167" fontId="0" fillId="0" borderId="13" xfId="0" applyNumberFormat="1" applyBorder="1"/>
    <xf numFmtId="167" fontId="0" fillId="4" borderId="13" xfId="0" applyNumberFormat="1" applyFill="1" applyBorder="1"/>
    <xf numFmtId="14" fontId="0" fillId="0" borderId="13" xfId="0" applyNumberFormat="1" applyBorder="1"/>
    <xf numFmtId="167" fontId="0" fillId="8" borderId="13" xfId="0" applyNumberFormat="1" applyFill="1" applyBorder="1"/>
    <xf numFmtId="0" fontId="1" fillId="11" borderId="0" xfId="0" applyFont="1" applyFill="1"/>
    <xf numFmtId="0" fontId="1" fillId="4" borderId="0" xfId="0" applyFont="1" applyFill="1"/>
    <xf numFmtId="0" fontId="0" fillId="0" borderId="9"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45" fillId="0" borderId="6" xfId="2" applyFont="1" applyBorder="1" applyAlignment="1">
      <alignment horizontal="center" vertical="top"/>
    </xf>
    <xf numFmtId="2" fontId="45" fillId="0" borderId="5" xfId="2" applyNumberFormat="1" applyFont="1" applyBorder="1" applyAlignment="1">
      <alignment horizontal="center" vertical="top"/>
    </xf>
    <xf numFmtId="2" fontId="45" fillId="0" borderId="4" xfId="2" applyNumberFormat="1" applyFont="1" applyBorder="1" applyAlignment="1">
      <alignment horizontal="center" vertical="top"/>
    </xf>
    <xf numFmtId="2" fontId="45" fillId="0" borderId="0" xfId="2" applyNumberFormat="1" applyFont="1" applyAlignment="1">
      <alignment vertical="top"/>
    </xf>
    <xf numFmtId="0" fontId="0" fillId="0" borderId="10" xfId="0" applyBorder="1"/>
    <xf numFmtId="167" fontId="0" fillId="0" borderId="10" xfId="0" applyNumberFormat="1" applyBorder="1"/>
    <xf numFmtId="0" fontId="0" fillId="0" borderId="1" xfId="0" applyBorder="1"/>
    <xf numFmtId="167" fontId="0" fillId="0" borderId="11" xfId="0" applyNumberFormat="1" applyBorder="1"/>
    <xf numFmtId="167" fontId="0" fillId="0" borderId="0" xfId="0" applyNumberFormat="1" applyBorder="1"/>
    <xf numFmtId="2" fontId="11" fillId="0" borderId="14" xfId="0" applyNumberFormat="1" applyFont="1" applyBorder="1"/>
    <xf numFmtId="0" fontId="0" fillId="0" borderId="14" xfId="0" applyBorder="1"/>
    <xf numFmtId="0" fontId="0" fillId="0" borderId="15" xfId="0" applyBorder="1"/>
    <xf numFmtId="0" fontId="45" fillId="4" borderId="6" xfId="2" applyFont="1" applyFill="1" applyBorder="1" applyAlignment="1">
      <alignment horizontal="center" vertical="top"/>
    </xf>
    <xf numFmtId="2" fontId="45" fillId="4" borderId="5" xfId="2" applyNumberFormat="1" applyFont="1" applyFill="1" applyBorder="1" applyAlignment="1">
      <alignment horizontal="center" vertical="top"/>
    </xf>
    <xf numFmtId="2" fontId="45" fillId="4" borderId="4" xfId="2" applyNumberFormat="1" applyFont="1" applyFill="1" applyBorder="1" applyAlignment="1">
      <alignment horizontal="center" vertical="top"/>
    </xf>
    <xf numFmtId="0" fontId="11" fillId="0" borderId="14" xfId="0" applyFont="1" applyBorder="1"/>
    <xf numFmtId="0" fontId="11" fillId="0" borderId="15" xfId="0" applyFont="1" applyBorder="1"/>
    <xf numFmtId="176" fontId="27" fillId="4" borderId="14" xfId="0" applyNumberFormat="1" applyFont="1" applyFill="1" applyBorder="1"/>
    <xf numFmtId="0" fontId="0" fillId="4" borderId="5" xfId="0" applyFill="1" applyBorder="1" applyAlignment="1">
      <alignment horizontal="center"/>
    </xf>
    <xf numFmtId="0" fontId="0" fillId="4" borderId="4" xfId="0" applyFill="1" applyBorder="1" applyAlignment="1">
      <alignment horizontal="center"/>
    </xf>
    <xf numFmtId="0" fontId="0" fillId="4" borderId="0" xfId="0" applyFill="1" applyBorder="1"/>
    <xf numFmtId="0" fontId="28" fillId="0" borderId="14" xfId="0" applyFont="1" applyBorder="1"/>
    <xf numFmtId="0" fontId="28" fillId="0" borderId="15" xfId="0" applyFont="1" applyBorder="1"/>
    <xf numFmtId="0" fontId="28" fillId="0" borderId="10" xfId="0" applyFont="1" applyBorder="1"/>
    <xf numFmtId="0" fontId="44" fillId="0" borderId="0" xfId="0" applyFont="1"/>
    <xf numFmtId="2" fontId="20" fillId="0" borderId="0" xfId="0" applyNumberFormat="1" applyFont="1"/>
    <xf numFmtId="0" fontId="45" fillId="12" borderId="6" xfId="2" applyFont="1" applyFill="1" applyBorder="1" applyAlignment="1">
      <alignment horizontal="center" vertical="top"/>
    </xf>
    <xf numFmtId="0" fontId="0" fillId="12" borderId="14" xfId="0" applyFill="1" applyBorder="1"/>
    <xf numFmtId="2" fontId="45" fillId="12" borderId="5" xfId="2" applyNumberFormat="1" applyFont="1" applyFill="1" applyBorder="1" applyAlignment="1">
      <alignment horizontal="center" vertical="top"/>
    </xf>
    <xf numFmtId="2" fontId="45" fillId="12" borderId="4" xfId="2" applyNumberFormat="1" applyFont="1" applyFill="1" applyBorder="1" applyAlignment="1">
      <alignment horizontal="center" vertical="top"/>
    </xf>
    <xf numFmtId="0" fontId="11" fillId="12" borderId="14" xfId="0" applyFont="1" applyFill="1" applyBorder="1"/>
    <xf numFmtId="0" fontId="0" fillId="12" borderId="0" xfId="0" applyFill="1"/>
    <xf numFmtId="0" fontId="0" fillId="12" borderId="11" xfId="0" applyFill="1" applyBorder="1"/>
    <xf numFmtId="0" fontId="11" fillId="12" borderId="11" xfId="0" applyFont="1" applyFill="1" applyBorder="1"/>
    <xf numFmtId="2" fontId="20" fillId="12" borderId="0" xfId="0" applyNumberFormat="1" applyFont="1" applyFill="1"/>
    <xf numFmtId="0" fontId="45" fillId="13" borderId="6" xfId="2" applyFont="1" applyFill="1" applyBorder="1" applyAlignment="1">
      <alignment horizontal="center" vertical="top"/>
    </xf>
    <xf numFmtId="0" fontId="0" fillId="13" borderId="14" xfId="0" applyFill="1" applyBorder="1"/>
    <xf numFmtId="2" fontId="45" fillId="13" borderId="5" xfId="2" applyNumberFormat="1" applyFont="1" applyFill="1" applyBorder="1" applyAlignment="1">
      <alignment horizontal="center" vertical="top"/>
    </xf>
    <xf numFmtId="2" fontId="45" fillId="13" borderId="4" xfId="2" applyNumberFormat="1" applyFont="1" applyFill="1" applyBorder="1" applyAlignment="1">
      <alignment horizontal="center" vertical="top"/>
    </xf>
    <xf numFmtId="0" fontId="11" fillId="13" borderId="14" xfId="0" applyFont="1" applyFill="1" applyBorder="1"/>
    <xf numFmtId="0" fontId="0" fillId="13" borderId="0" xfId="0" applyFill="1"/>
    <xf numFmtId="2" fontId="20" fillId="13" borderId="0" xfId="0" applyNumberFormat="1" applyFont="1" applyFill="1"/>
    <xf numFmtId="0" fontId="45" fillId="14" borderId="6" xfId="2" applyFont="1" applyFill="1" applyBorder="1" applyAlignment="1">
      <alignment horizontal="center" vertical="top"/>
    </xf>
    <xf numFmtId="0" fontId="0" fillId="14" borderId="14" xfId="0" applyFill="1" applyBorder="1"/>
    <xf numFmtId="2" fontId="45" fillId="14" borderId="5" xfId="2" applyNumberFormat="1" applyFont="1" applyFill="1" applyBorder="1" applyAlignment="1">
      <alignment horizontal="center" vertical="top"/>
    </xf>
    <xf numFmtId="2" fontId="45" fillId="14" borderId="4" xfId="2" applyNumberFormat="1" applyFont="1" applyFill="1" applyBorder="1" applyAlignment="1">
      <alignment horizontal="center" vertical="top"/>
    </xf>
    <xf numFmtId="0" fontId="11" fillId="14" borderId="14" xfId="0" applyFont="1" applyFill="1" applyBorder="1"/>
    <xf numFmtId="0" fontId="0" fillId="14" borderId="0" xfId="0" applyFill="1"/>
    <xf numFmtId="2" fontId="20" fillId="14" borderId="0" xfId="0" applyNumberFormat="1" applyFont="1" applyFill="1"/>
    <xf numFmtId="0" fontId="45" fillId="10" borderId="6" xfId="2" applyFont="1" applyFill="1" applyBorder="1" applyAlignment="1">
      <alignment horizontal="center" vertical="top"/>
    </xf>
    <xf numFmtId="0" fontId="0" fillId="10" borderId="14" xfId="0" applyFill="1" applyBorder="1"/>
    <xf numFmtId="2" fontId="45" fillId="10" borderId="5" xfId="2" applyNumberFormat="1" applyFont="1" applyFill="1" applyBorder="1" applyAlignment="1">
      <alignment horizontal="center" vertical="top"/>
    </xf>
    <xf numFmtId="2" fontId="45" fillId="10" borderId="4" xfId="2" applyNumberFormat="1" applyFont="1" applyFill="1" applyBorder="1" applyAlignment="1">
      <alignment horizontal="center" vertical="top"/>
    </xf>
    <xf numFmtId="0" fontId="11" fillId="10" borderId="14" xfId="0" applyFont="1" applyFill="1" applyBorder="1"/>
    <xf numFmtId="2" fontId="20" fillId="10" borderId="0" xfId="0" applyNumberFormat="1" applyFont="1" applyFill="1"/>
    <xf numFmtId="0" fontId="45" fillId="15" borderId="6" xfId="2" applyFont="1" applyFill="1" applyBorder="1" applyAlignment="1">
      <alignment horizontal="center" vertical="top"/>
    </xf>
    <xf numFmtId="0" fontId="0" fillId="15" borderId="14" xfId="0" applyFill="1" applyBorder="1"/>
    <xf numFmtId="2" fontId="45" fillId="15" borderId="5" xfId="2" applyNumberFormat="1" applyFont="1" applyFill="1" applyBorder="1" applyAlignment="1">
      <alignment horizontal="center" vertical="top"/>
    </xf>
    <xf numFmtId="2" fontId="45" fillId="15" borderId="4" xfId="2" applyNumberFormat="1" applyFont="1" applyFill="1" applyBorder="1" applyAlignment="1">
      <alignment horizontal="center" vertical="top"/>
    </xf>
    <xf numFmtId="0" fontId="11" fillId="15" borderId="14" xfId="0" applyFont="1" applyFill="1" applyBorder="1"/>
    <xf numFmtId="0" fontId="0" fillId="15" borderId="0" xfId="0" applyFill="1"/>
    <xf numFmtId="2" fontId="20" fillId="15" borderId="0" xfId="0" applyNumberFormat="1" applyFont="1" applyFill="1"/>
    <xf numFmtId="0" fontId="45" fillId="16" borderId="6" xfId="2" applyFont="1" applyFill="1" applyBorder="1" applyAlignment="1">
      <alignment horizontal="center" vertical="top"/>
    </xf>
    <xf numFmtId="0" fontId="0" fillId="16" borderId="14" xfId="0" applyFill="1" applyBorder="1"/>
    <xf numFmtId="2" fontId="45" fillId="16" borderId="5" xfId="2" applyNumberFormat="1" applyFont="1" applyFill="1" applyBorder="1" applyAlignment="1">
      <alignment horizontal="center" vertical="top"/>
    </xf>
    <xf numFmtId="2" fontId="45" fillId="16" borderId="4" xfId="2" applyNumberFormat="1" applyFont="1" applyFill="1" applyBorder="1" applyAlignment="1">
      <alignment horizontal="center" vertical="top"/>
    </xf>
    <xf numFmtId="0" fontId="11" fillId="16" borderId="14" xfId="0" applyFont="1" applyFill="1" applyBorder="1"/>
    <xf numFmtId="0" fontId="0" fillId="16" borderId="0" xfId="0" applyFill="1"/>
    <xf numFmtId="2" fontId="20" fillId="16" borderId="0" xfId="0" applyNumberFormat="1" applyFont="1" applyFill="1"/>
    <xf numFmtId="0" fontId="45" fillId="17" borderId="6" xfId="2" applyFont="1" applyFill="1" applyBorder="1" applyAlignment="1">
      <alignment horizontal="center" vertical="top"/>
    </xf>
    <xf numFmtId="0" fontId="0" fillId="17" borderId="14" xfId="0" applyFill="1" applyBorder="1"/>
    <xf numFmtId="2" fontId="45" fillId="17" borderId="5" xfId="2" applyNumberFormat="1" applyFont="1" applyFill="1" applyBorder="1" applyAlignment="1">
      <alignment horizontal="center" vertical="top"/>
    </xf>
    <xf numFmtId="2" fontId="45" fillId="17" borderId="4" xfId="2" applyNumberFormat="1" applyFont="1" applyFill="1" applyBorder="1" applyAlignment="1">
      <alignment horizontal="center" vertical="top"/>
    </xf>
    <xf numFmtId="0" fontId="11" fillId="17" borderId="14" xfId="0" applyFont="1" applyFill="1" applyBorder="1"/>
    <xf numFmtId="0" fontId="0" fillId="17" borderId="0" xfId="0" applyFill="1"/>
    <xf numFmtId="0" fontId="20" fillId="18" borderId="0" xfId="0" applyFont="1" applyFill="1"/>
    <xf numFmtId="173" fontId="37" fillId="0" borderId="0" xfId="0" applyNumberFormat="1" applyFont="1"/>
    <xf numFmtId="0" fontId="21" fillId="0" borderId="0" xfId="0" applyFont="1"/>
    <xf numFmtId="173" fontId="17" fillId="0" borderId="0" xfId="0" applyNumberFormat="1" applyFont="1"/>
    <xf numFmtId="2" fontId="1" fillId="0" borderId="0" xfId="0" applyNumberFormat="1" applyFont="1"/>
    <xf numFmtId="0" fontId="0" fillId="0" borderId="16" xfId="0" applyBorder="1"/>
    <xf numFmtId="0" fontId="0" fillId="0" borderId="17" xfId="0" applyBorder="1"/>
    <xf numFmtId="0" fontId="0" fillId="0" borderId="19" xfId="0" applyBorder="1"/>
    <xf numFmtId="0" fontId="0" fillId="0" borderId="18" xfId="0" applyBorder="1"/>
    <xf numFmtId="0" fontId="0" fillId="0" borderId="8" xfId="0" applyBorder="1"/>
    <xf numFmtId="0" fontId="0" fillId="0" borderId="7" xfId="0" applyBorder="1"/>
    <xf numFmtId="0" fontId="0" fillId="0" borderId="20" xfId="0" applyBorder="1"/>
    <xf numFmtId="0" fontId="0" fillId="0" borderId="21" xfId="0" applyBorder="1"/>
    <xf numFmtId="0" fontId="0" fillId="0" borderId="5" xfId="0" applyBorder="1"/>
    <xf numFmtId="14" fontId="0" fillId="18" borderId="0" xfId="0" applyNumberFormat="1" applyFill="1"/>
    <xf numFmtId="0" fontId="0" fillId="18" borderId="0" xfId="0" applyFill="1"/>
    <xf numFmtId="0" fontId="0" fillId="18" borderId="16" xfId="0" applyFill="1" applyBorder="1"/>
    <xf numFmtId="0" fontId="0" fillId="18" borderId="17" xfId="0" applyFill="1" applyBorder="1"/>
    <xf numFmtId="0" fontId="0" fillId="18" borderId="5" xfId="0" applyFill="1" applyBorder="1"/>
    <xf numFmtId="14" fontId="0" fillId="19" borderId="0" xfId="0" applyNumberFormat="1" applyFill="1"/>
    <xf numFmtId="0" fontId="0" fillId="19" borderId="0" xfId="0" applyFill="1"/>
    <xf numFmtId="2" fontId="11" fillId="19" borderId="16" xfId="0" applyNumberFormat="1" applyFont="1" applyFill="1" applyBorder="1"/>
    <xf numFmtId="0" fontId="0" fillId="19" borderId="17" xfId="0" applyFill="1" applyBorder="1"/>
    <xf numFmtId="0" fontId="0" fillId="19" borderId="16" xfId="0" applyFill="1" applyBorder="1"/>
    <xf numFmtId="14" fontId="0" fillId="19" borderId="13" xfId="0" applyNumberFormat="1" applyFill="1" applyBorder="1"/>
    <xf numFmtId="0" fontId="0" fillId="19" borderId="13" xfId="0" applyFill="1" applyBorder="1"/>
    <xf numFmtId="2" fontId="11" fillId="19" borderId="18" xfId="0" applyNumberFormat="1" applyFont="1" applyFill="1" applyBorder="1"/>
    <xf numFmtId="0" fontId="0" fillId="19" borderId="19" xfId="0" applyFill="1" applyBorder="1"/>
    <xf numFmtId="0" fontId="0" fillId="19" borderId="18" xfId="0" applyFill="1" applyBorder="1"/>
    <xf numFmtId="0" fontId="46" fillId="0" borderId="0" xfId="0" applyFont="1"/>
    <xf numFmtId="0" fontId="46" fillId="18" borderId="0" xfId="0" applyFont="1" applyFill="1"/>
    <xf numFmtId="0" fontId="46" fillId="19" borderId="0" xfId="0" applyFont="1" applyFill="1"/>
    <xf numFmtId="0" fontId="2" fillId="4" borderId="0" xfId="2" applyFont="1" applyFill="1"/>
    <xf numFmtId="2" fontId="17" fillId="4" borderId="0" xfId="0" applyNumberFormat="1" applyFont="1" applyFill="1"/>
    <xf numFmtId="0" fontId="37" fillId="4" borderId="0" xfId="0" applyFont="1" applyFill="1"/>
    <xf numFmtId="0" fontId="2" fillId="0" borderId="0" xfId="0" applyFont="1" applyAlignment="1">
      <alignment wrapText="1"/>
    </xf>
    <xf numFmtId="0" fontId="2" fillId="0" borderId="0" xfId="2" applyFont="1"/>
    <xf numFmtId="0" fontId="44" fillId="18" borderId="0" xfId="0" applyFont="1" applyFill="1"/>
    <xf numFmtId="0" fontId="44" fillId="19" borderId="0" xfId="0" applyFont="1" applyFill="1"/>
    <xf numFmtId="14" fontId="0" fillId="8" borderId="0" xfId="0" applyNumberFormat="1" applyFill="1"/>
    <xf numFmtId="0" fontId="0" fillId="8" borderId="16" xfId="0" applyFill="1" applyBorder="1"/>
    <xf numFmtId="0" fontId="0" fillId="8" borderId="17" xfId="0" applyFill="1" applyBorder="1"/>
    <xf numFmtId="0" fontId="46" fillId="8" borderId="0" xfId="0" applyFont="1" applyFill="1"/>
    <xf numFmtId="0" fontId="44" fillId="8" borderId="0" xfId="0" applyFont="1" applyFill="1"/>
    <xf numFmtId="14" fontId="0" fillId="14" borderId="0" xfId="0" applyNumberFormat="1" applyFill="1"/>
    <xf numFmtId="0" fontId="0" fillId="14" borderId="16" xfId="0" applyFill="1" applyBorder="1"/>
    <xf numFmtId="0" fontId="0" fillId="14" borderId="17" xfId="0" applyFill="1" applyBorder="1"/>
    <xf numFmtId="0" fontId="46" fillId="14" borderId="0" xfId="0" applyFont="1" applyFill="1"/>
    <xf numFmtId="0" fontId="44" fillId="14" borderId="0" xfId="0" applyFont="1" applyFill="1"/>
    <xf numFmtId="2" fontId="0" fillId="14" borderId="0" xfId="0" applyNumberFormat="1" applyFill="1"/>
    <xf numFmtId="14" fontId="0" fillId="12" borderId="0" xfId="0" applyNumberFormat="1" applyFill="1"/>
    <xf numFmtId="0" fontId="0" fillId="12" borderId="16" xfId="0" applyFill="1" applyBorder="1"/>
    <xf numFmtId="0" fontId="0" fillId="12" borderId="17" xfId="0" applyFill="1" applyBorder="1"/>
    <xf numFmtId="0" fontId="46" fillId="12" borderId="0" xfId="0" applyFont="1" applyFill="1"/>
    <xf numFmtId="0" fontId="44" fillId="12" borderId="0" xfId="0" applyFont="1" applyFill="1"/>
    <xf numFmtId="2" fontId="0" fillId="12" borderId="0" xfId="0" applyNumberFormat="1" applyFill="1"/>
    <xf numFmtId="14" fontId="0" fillId="20" borderId="0" xfId="0" applyNumberFormat="1" applyFill="1"/>
    <xf numFmtId="0" fontId="0" fillId="20" borderId="0" xfId="0" applyFill="1"/>
    <xf numFmtId="0" fontId="0" fillId="20" borderId="16" xfId="0" applyFill="1" applyBorder="1"/>
    <xf numFmtId="0" fontId="0" fillId="20" borderId="14" xfId="0" applyFill="1" applyBorder="1"/>
    <xf numFmtId="0" fontId="46" fillId="20" borderId="0" xfId="0" applyFont="1" applyFill="1"/>
    <xf numFmtId="0" fontId="44" fillId="20" borderId="0" xfId="0" applyFont="1" applyFill="1"/>
    <xf numFmtId="2" fontId="0" fillId="20" borderId="0" xfId="0" applyNumberFormat="1" applyFill="1"/>
    <xf numFmtId="14" fontId="0" fillId="21" borderId="0" xfId="0" applyNumberFormat="1" applyFill="1"/>
    <xf numFmtId="0" fontId="0" fillId="21" borderId="0" xfId="0" applyFill="1"/>
    <xf numFmtId="0" fontId="0" fillId="21" borderId="16" xfId="0" applyFill="1" applyBorder="1"/>
    <xf numFmtId="0" fontId="0" fillId="21" borderId="17" xfId="0" applyFill="1" applyBorder="1"/>
    <xf numFmtId="0" fontId="46" fillId="21" borderId="0" xfId="0" applyFont="1" applyFill="1"/>
    <xf numFmtId="0" fontId="44" fillId="21" borderId="0" xfId="0" applyFont="1" applyFill="1"/>
    <xf numFmtId="2" fontId="0" fillId="21" borderId="0" xfId="0" applyNumberFormat="1" applyFill="1"/>
    <xf numFmtId="0" fontId="0" fillId="21" borderId="5" xfId="0" applyFill="1" applyBorder="1"/>
    <xf numFmtId="176" fontId="0" fillId="0" borderId="0" xfId="0" applyNumberFormat="1"/>
    <xf numFmtId="10" fontId="0" fillId="8" borderId="0" xfId="1" applyNumberFormat="1" applyFont="1" applyFill="1"/>
    <xf numFmtId="2" fontId="0" fillId="18" borderId="0" xfId="0" applyNumberFormat="1" applyFill="1"/>
    <xf numFmtId="2" fontId="0" fillId="19" borderId="0" xfId="0" applyNumberFormat="1" applyFill="1"/>
    <xf numFmtId="14" fontId="18" fillId="10" borderId="0" xfId="0" applyNumberFormat="1" applyFont="1" applyFill="1"/>
    <xf numFmtId="0" fontId="18" fillId="10" borderId="0" xfId="0" applyFont="1" applyFill="1"/>
    <xf numFmtId="0" fontId="18" fillId="10" borderId="16" xfId="0" applyFont="1" applyFill="1" applyBorder="1"/>
    <xf numFmtId="0" fontId="18" fillId="10" borderId="14" xfId="0" applyFont="1" applyFill="1" applyBorder="1"/>
    <xf numFmtId="0" fontId="44" fillId="10" borderId="0" xfId="0" applyFont="1" applyFill="1"/>
    <xf numFmtId="2" fontId="18" fillId="10" borderId="0" xfId="0" applyNumberFormat="1" applyFont="1" applyFill="1"/>
    <xf numFmtId="14" fontId="0" fillId="10" borderId="0" xfId="0" applyNumberFormat="1" applyFill="1"/>
    <xf numFmtId="0" fontId="0" fillId="10" borderId="16" xfId="0" applyFill="1" applyBorder="1"/>
    <xf numFmtId="0" fontId="0" fillId="10" borderId="17" xfId="0" applyFill="1" applyBorder="1"/>
    <xf numFmtId="0" fontId="46" fillId="10" borderId="0" xfId="0" applyFont="1" applyFill="1"/>
    <xf numFmtId="0" fontId="0" fillId="0" borderId="0" xfId="0" applyAlignment="1">
      <alignment horizontal="center" vertical="center"/>
    </xf>
    <xf numFmtId="0" fontId="35" fillId="0" borderId="0" xfId="0" applyFont="1" applyAlignment="1">
      <alignment horizontal="center"/>
    </xf>
    <xf numFmtId="0" fontId="0" fillId="22" borderId="0" xfId="0" applyFill="1"/>
    <xf numFmtId="2" fontId="0" fillId="22" borderId="0" xfId="0" applyNumberFormat="1" applyFill="1"/>
    <xf numFmtId="1" fontId="0" fillId="22" borderId="0" xfId="0" applyNumberFormat="1" applyFill="1"/>
    <xf numFmtId="14" fontId="0" fillId="22" borderId="0" xfId="0" applyNumberFormat="1" applyFill="1"/>
    <xf numFmtId="14" fontId="11" fillId="22" borderId="0" xfId="0" applyNumberFormat="1" applyFont="1" applyFill="1"/>
    <xf numFmtId="14" fontId="0" fillId="0" borderId="16" xfId="0" applyNumberFormat="1" applyBorder="1"/>
    <xf numFmtId="0" fontId="37" fillId="8" borderId="0" xfId="0" applyFont="1" applyFill="1"/>
    <xf numFmtId="177"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11"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Alignment="1">
      <alignment horizontal="center" vertical="top" wrapText="1"/>
    </xf>
    <xf numFmtId="177" fontId="0" fillId="0" borderId="11" xfId="0" applyNumberFormat="1" applyBorder="1" applyAlignment="1">
      <alignment vertical="top" wrapText="1"/>
    </xf>
    <xf numFmtId="1" fontId="0" fillId="0" borderId="11" xfId="0" applyNumberFormat="1" applyBorder="1" applyAlignment="1">
      <alignment vertical="top" wrapText="1"/>
    </xf>
    <xf numFmtId="0" fontId="0" fillId="0" borderId="11" xfId="0" applyBorder="1" applyAlignment="1">
      <alignment vertical="top" wrapText="1"/>
    </xf>
    <xf numFmtId="0" fontId="0" fillId="0" borderId="11" xfId="0" applyBorder="1" applyAlignment="1">
      <alignment vertical="top"/>
    </xf>
    <xf numFmtId="2" fontId="0" fillId="0" borderId="7" xfId="0" applyNumberFormat="1" applyBorder="1" applyAlignment="1">
      <alignment vertical="top" wrapText="1"/>
    </xf>
    <xf numFmtId="2" fontId="0" fillId="0" borderId="9" xfId="0" applyNumberFormat="1" applyBorder="1" applyAlignment="1">
      <alignment vertical="top" wrapText="1"/>
    </xf>
    <xf numFmtId="2" fontId="0" fillId="0" borderId="9" xfId="0" applyNumberFormat="1" applyBorder="1" applyAlignment="1">
      <alignment vertical="top"/>
    </xf>
    <xf numFmtId="177" fontId="44" fillId="0" borderId="0" xfId="0" applyNumberFormat="1" applyFont="1"/>
    <xf numFmtId="2" fontId="0" fillId="0" borderId="4" xfId="0" applyNumberFormat="1" applyBorder="1"/>
    <xf numFmtId="2" fontId="0" fillId="0" borderId="6" xfId="0" applyNumberFormat="1" applyBorder="1"/>
    <xf numFmtId="177" fontId="20" fillId="0" borderId="0" xfId="0" applyNumberFormat="1" applyFont="1"/>
    <xf numFmtId="177" fontId="0" fillId="0" borderId="0" xfId="0" applyNumberFormat="1"/>
    <xf numFmtId="2" fontId="18" fillId="0" borderId="4" xfId="0" applyNumberFormat="1" applyFont="1" applyBorder="1"/>
    <xf numFmtId="2" fontId="18" fillId="0" borderId="6" xfId="0" applyNumberFormat="1" applyFont="1" applyBorder="1"/>
    <xf numFmtId="2" fontId="18" fillId="4" borderId="0" xfId="0" applyNumberFormat="1" applyFont="1" applyFill="1"/>
    <xf numFmtId="2" fontId="18" fillId="4" borderId="6" xfId="0" applyNumberFormat="1" applyFont="1" applyFill="1" applyBorder="1"/>
    <xf numFmtId="177" fontId="0" fillId="19" borderId="0" xfId="0" applyNumberFormat="1" applyFill="1"/>
    <xf numFmtId="1" fontId="0" fillId="19" borderId="0" xfId="0" applyNumberFormat="1" applyFill="1"/>
    <xf numFmtId="0" fontId="18" fillId="19" borderId="0" xfId="0" applyFont="1" applyFill="1"/>
    <xf numFmtId="2" fontId="18" fillId="19" borderId="0" xfId="0" applyNumberFormat="1" applyFont="1" applyFill="1"/>
    <xf numFmtId="2" fontId="18" fillId="19" borderId="4" xfId="0" applyNumberFormat="1" applyFont="1" applyFill="1" applyBorder="1"/>
    <xf numFmtId="2" fontId="18" fillId="19" borderId="6" xfId="0" applyNumberFormat="1" applyFont="1" applyFill="1" applyBorder="1"/>
    <xf numFmtId="2" fontId="1" fillId="19" borderId="0" xfId="0" applyNumberFormat="1" applyFont="1" applyFill="1"/>
    <xf numFmtId="0" fontId="37" fillId="0" borderId="22" xfId="0" applyFont="1" applyBorder="1" applyAlignment="1">
      <alignment vertical="top"/>
    </xf>
    <xf numFmtId="0" fontId="0" fillId="0" borderId="23" xfId="0" applyBorder="1" applyAlignment="1">
      <alignment vertical="top"/>
    </xf>
    <xf numFmtId="0" fontId="0" fillId="0" borderId="24" xfId="0" applyBorder="1"/>
    <xf numFmtId="0" fontId="37" fillId="0" borderId="25" xfId="0" applyFont="1" applyBorder="1" applyAlignment="1">
      <alignment vertical="top" wrapText="1"/>
    </xf>
    <xf numFmtId="2" fontId="20" fillId="0" borderId="4" xfId="0" applyNumberFormat="1" applyFont="1" applyBorder="1" applyAlignment="1">
      <alignment vertical="top" wrapText="1"/>
    </xf>
    <xf numFmtId="0" fontId="37" fillId="0" borderId="0" xfId="0" applyFont="1" applyAlignment="1">
      <alignment vertical="center" wrapText="1"/>
    </xf>
    <xf numFmtId="0" fontId="37" fillId="0" borderId="26" xfId="0" applyFont="1" applyBorder="1" applyAlignment="1">
      <alignment wrapText="1"/>
    </xf>
    <xf numFmtId="0" fontId="0" fillId="23" borderId="0" xfId="0" applyFill="1"/>
    <xf numFmtId="2" fontId="0" fillId="23" borderId="0" xfId="0" applyNumberFormat="1" applyFill="1"/>
    <xf numFmtId="0" fontId="3" fillId="0" borderId="25" xfId="0" applyFont="1" applyBorder="1" applyAlignment="1">
      <alignment vertical="top"/>
    </xf>
    <xf numFmtId="0" fontId="3" fillId="0" borderId="0" xfId="0" applyFont="1" applyAlignment="1">
      <alignment vertical="top"/>
    </xf>
    <xf numFmtId="2" fontId="17" fillId="0" borderId="0" xfId="0" applyNumberFormat="1" applyFont="1" applyAlignment="1">
      <alignment vertical="top"/>
    </xf>
    <xf numFmtId="2" fontId="37" fillId="0" borderId="26" xfId="0" applyNumberFormat="1" applyFont="1" applyBorder="1"/>
    <xf numFmtId="2" fontId="17" fillId="0" borderId="12" xfId="0" applyNumberFormat="1" applyFont="1" applyBorder="1"/>
    <xf numFmtId="2" fontId="37" fillId="0" borderId="28" xfId="0" applyNumberFormat="1" applyFont="1" applyBorder="1"/>
    <xf numFmtId="2" fontId="0" fillId="0" borderId="0" xfId="0" applyNumberFormat="1" applyFill="1"/>
    <xf numFmtId="2" fontId="1" fillId="4" borderId="0" xfId="0" applyNumberFormat="1" applyFont="1" applyFill="1"/>
    <xf numFmtId="0" fontId="18" fillId="0" borderId="16" xfId="0" applyFont="1" applyBorder="1"/>
    <xf numFmtId="0" fontId="37" fillId="0" borderId="0" xfId="0" applyFont="1" applyAlignment="1">
      <alignment wrapText="1"/>
    </xf>
    <xf numFmtId="0" fontId="0" fillId="24" borderId="0" xfId="0" applyFill="1"/>
    <xf numFmtId="2" fontId="0" fillId="24" borderId="0" xfId="0" applyNumberFormat="1" applyFill="1"/>
    <xf numFmtId="1" fontId="0" fillId="24" borderId="0" xfId="0" applyNumberFormat="1" applyFill="1"/>
    <xf numFmtId="14" fontId="0" fillId="24" borderId="0" xfId="0" applyNumberFormat="1" applyFill="1"/>
    <xf numFmtId="14" fontId="11" fillId="24" borderId="0" xfId="0" applyNumberFormat="1" applyFont="1" applyFill="1"/>
    <xf numFmtId="0" fontId="1" fillId="24" borderId="0" xfId="0" applyFont="1" applyFill="1"/>
    <xf numFmtId="0" fontId="11" fillId="24" borderId="0" xfId="0" applyFont="1" applyFill="1"/>
    <xf numFmtId="0" fontId="0" fillId="4" borderId="13" xfId="0" applyFill="1" applyBorder="1"/>
    <xf numFmtId="1" fontId="0" fillId="16" borderId="0" xfId="0" applyNumberFormat="1" applyFill="1"/>
    <xf numFmtId="2" fontId="0" fillId="16" borderId="0" xfId="0" applyNumberFormat="1" applyFill="1"/>
    <xf numFmtId="167" fontId="0" fillId="16" borderId="0" xfId="0" applyNumberFormat="1" applyFill="1"/>
    <xf numFmtId="14" fontId="0" fillId="16" borderId="0" xfId="0" applyNumberFormat="1" applyFill="1"/>
    <xf numFmtId="0" fontId="20" fillId="0" borderId="9" xfId="0" applyFont="1" applyBorder="1" applyAlignment="1">
      <alignment horizontal="center"/>
    </xf>
    <xf numFmtId="0" fontId="20" fillId="0" borderId="8" xfId="0" applyFont="1" applyBorder="1" applyAlignment="1">
      <alignment horizontal="center"/>
    </xf>
    <xf numFmtId="0" fontId="20" fillId="0" borderId="7" xfId="0" applyFont="1" applyBorder="1" applyAlignment="1">
      <alignment horizontal="center"/>
    </xf>
    <xf numFmtId="0" fontId="45" fillId="25" borderId="6" xfId="2" applyFont="1" applyFill="1" applyBorder="1" applyAlignment="1">
      <alignment horizontal="center" vertical="top"/>
    </xf>
    <xf numFmtId="0" fontId="0" fillId="25" borderId="14" xfId="0" applyFill="1" applyBorder="1"/>
    <xf numFmtId="2" fontId="45" fillId="25" borderId="5" xfId="2" applyNumberFormat="1" applyFont="1" applyFill="1" applyBorder="1" applyAlignment="1">
      <alignment horizontal="center" vertical="top"/>
    </xf>
    <xf numFmtId="2" fontId="45" fillId="25" borderId="4" xfId="2" applyNumberFormat="1" applyFont="1" applyFill="1" applyBorder="1" applyAlignment="1">
      <alignment horizontal="center" vertical="top"/>
    </xf>
    <xf numFmtId="0" fontId="11" fillId="25" borderId="14" xfId="0" applyFont="1" applyFill="1" applyBorder="1"/>
    <xf numFmtId="0" fontId="0" fillId="25" borderId="0" xfId="0" applyFill="1"/>
    <xf numFmtId="0" fontId="20" fillId="26" borderId="0" xfId="0" applyFont="1" applyFill="1"/>
    <xf numFmtId="2" fontId="0" fillId="26" borderId="0" xfId="0" applyNumberFormat="1" applyFill="1"/>
    <xf numFmtId="0" fontId="0" fillId="26" borderId="0" xfId="0" applyFill="1"/>
    <xf numFmtId="2" fontId="20" fillId="26" borderId="0" xfId="0" applyNumberFormat="1" applyFont="1" applyFill="1"/>
    <xf numFmtId="2" fontId="20" fillId="0" borderId="0" xfId="0" applyNumberFormat="1" applyFont="1" applyFill="1"/>
    <xf numFmtId="0" fontId="18" fillId="0" borderId="0" xfId="0" applyFont="1" applyFill="1"/>
    <xf numFmtId="1" fontId="18" fillId="0" borderId="0" xfId="0" applyNumberFormat="1" applyFont="1"/>
    <xf numFmtId="0" fontId="18" fillId="11" borderId="0" xfId="0" applyFont="1" applyFill="1"/>
    <xf numFmtId="2" fontId="18" fillId="8" borderId="0" xfId="0" applyNumberFormat="1" applyFont="1" applyFill="1"/>
    <xf numFmtId="14" fontId="18" fillId="0" borderId="0" xfId="0" applyNumberFormat="1" applyFont="1"/>
    <xf numFmtId="2" fontId="18" fillId="0" borderId="0" xfId="0" applyNumberFormat="1" applyFont="1" applyFill="1"/>
    <xf numFmtId="2" fontId="18" fillId="11" borderId="0" xfId="0" applyNumberFormat="1" applyFont="1" applyFill="1"/>
    <xf numFmtId="1" fontId="0" fillId="26" borderId="0" xfId="0" applyNumberFormat="1" applyFill="1"/>
    <xf numFmtId="14" fontId="0" fillId="26" borderId="0" xfId="0" applyNumberFormat="1" applyFill="1"/>
    <xf numFmtId="167" fontId="3" fillId="26" borderId="0" xfId="0" applyNumberFormat="1" applyFont="1" applyFill="1"/>
    <xf numFmtId="1" fontId="3" fillId="26" borderId="0" xfId="0" applyNumberFormat="1" applyFont="1" applyFill="1"/>
    <xf numFmtId="167" fontId="0" fillId="26" borderId="0" xfId="0" applyNumberFormat="1" applyFill="1"/>
    <xf numFmtId="0" fontId="20" fillId="0" borderId="0" xfId="0" applyFont="1" applyAlignment="1">
      <alignment horizontal="center" wrapText="1"/>
    </xf>
    <xf numFmtId="0" fontId="20" fillId="0" borderId="11" xfId="0" applyFont="1" applyBorder="1" applyAlignment="1">
      <alignment horizontal="center" wrapText="1"/>
    </xf>
    <xf numFmtId="0" fontId="2" fillId="0" borderId="0" xfId="0" applyFont="1" applyAlignment="1">
      <alignment horizontal="center" wrapText="1"/>
    </xf>
    <xf numFmtId="0" fontId="2" fillId="0" borderId="11" xfId="0" applyFont="1" applyBorder="1" applyAlignment="1">
      <alignment horizontal="center" wrapText="1"/>
    </xf>
    <xf numFmtId="0" fontId="33"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2" fontId="0" fillId="0" borderId="4" xfId="0" applyNumberFormat="1" applyBorder="1" applyAlignment="1">
      <alignment horizontal="center" vertical="top" wrapText="1"/>
    </xf>
    <xf numFmtId="2" fontId="0" fillId="0" borderId="0" xfId="0" applyNumberFormat="1" applyAlignment="1">
      <alignment horizontal="center" vertical="top" wrapText="1"/>
    </xf>
    <xf numFmtId="2" fontId="0" fillId="0" borderId="6" xfId="0" applyNumberFormat="1" applyBorder="1" applyAlignment="1">
      <alignment horizontal="center" vertical="top" wrapText="1"/>
    </xf>
    <xf numFmtId="0" fontId="17" fillId="0" borderId="27" xfId="0" applyFont="1" applyBorder="1" applyAlignment="1">
      <alignment horizontal="center" vertical="center"/>
    </xf>
    <xf numFmtId="0" fontId="17" fillId="0" borderId="12" xfId="0" applyFont="1" applyBorder="1" applyAlignment="1">
      <alignment horizontal="center" vertical="center"/>
    </xf>
    <xf numFmtId="0" fontId="17" fillId="0" borderId="0" xfId="0" applyFont="1" applyAlignment="1">
      <alignment horizontal="center" vertical="center" wrapText="1"/>
    </xf>
  </cellXfs>
  <cellStyles count="4">
    <cellStyle name="Hyperlink" xfId="3" builtinId="8"/>
    <cellStyle name="Normal" xfId="0" builtinId="0"/>
    <cellStyle name="Normal 2" xfId="2" xr:uid="{51C09B08-A9FB-4CF4-A381-CD837C62235C}"/>
    <cellStyle name="Percent" xfId="1" builtinId="5"/>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('CHN raw data'!$E$5:$E$16,'CHN raw data'!$E$18:$E$22,'CHN raw data'!$E$24:$E$29)</c:f>
              <c:numCache>
                <c:formatCode>0.00</c:formatCode>
                <c:ptCount val="23"/>
                <c:pt idx="0">
                  <c:v>1.6053479909896851</c:v>
                </c:pt>
                <c:pt idx="1">
                  <c:v>1.377947211265564</c:v>
                </c:pt>
                <c:pt idx="2">
                  <c:v>1.1001783609390259</c:v>
                </c:pt>
                <c:pt idx="3">
                  <c:v>1.3729462623596191</c:v>
                </c:pt>
                <c:pt idx="4">
                  <c:v>1.3772218227386475</c:v>
                </c:pt>
                <c:pt idx="5">
                  <c:v>1.3040809631347656</c:v>
                </c:pt>
                <c:pt idx="6">
                  <c:v>1.9773457050323486</c:v>
                </c:pt>
                <c:pt idx="7">
                  <c:v>2.8569262027740479</c:v>
                </c:pt>
                <c:pt idx="8">
                  <c:v>3.4354841709136963</c:v>
                </c:pt>
                <c:pt idx="9">
                  <c:v>1.6685749292373657</c:v>
                </c:pt>
                <c:pt idx="10">
                  <c:v>1.2329243421554565</c:v>
                </c:pt>
                <c:pt idx="11">
                  <c:v>1.3920937776565552</c:v>
                </c:pt>
                <c:pt idx="12">
                  <c:v>0.97431081533432007</c:v>
                </c:pt>
                <c:pt idx="13">
                  <c:v>0.55354195833206177</c:v>
                </c:pt>
                <c:pt idx="14">
                  <c:v>0.57681554555892944</c:v>
                </c:pt>
                <c:pt idx="15">
                  <c:v>0.59667819738388062</c:v>
                </c:pt>
                <c:pt idx="16">
                  <c:v>0.64991587400436401</c:v>
                </c:pt>
                <c:pt idx="17">
                  <c:v>1.5519053936004639</c:v>
                </c:pt>
                <c:pt idx="18">
                  <c:v>1.9113456010818481</c:v>
                </c:pt>
                <c:pt idx="19">
                  <c:v>2.4620542526245117</c:v>
                </c:pt>
                <c:pt idx="20">
                  <c:v>2.2835824489593506</c:v>
                </c:pt>
                <c:pt idx="21">
                  <c:v>2.4531049728393555</c:v>
                </c:pt>
                <c:pt idx="22">
                  <c:v>1.962510347366333</c:v>
                </c:pt>
              </c:numCache>
            </c:numRef>
          </c:xVal>
          <c:yVal>
            <c:numRef>
              <c:f>('CHN raw data'!$C$5:$C$16,'CHN raw data'!$C$18:$C$22,'CHN raw data'!$C$24:$C$29)</c:f>
              <c:numCache>
                <c:formatCode>0.00</c:formatCode>
                <c:ptCount val="23"/>
                <c:pt idx="0">
                  <c:v>16.493982315063477</c:v>
                </c:pt>
                <c:pt idx="1">
                  <c:v>15.471473693847656</c:v>
                </c:pt>
                <c:pt idx="2">
                  <c:v>14.961239814758301</c:v>
                </c:pt>
                <c:pt idx="3">
                  <c:v>15.094412803649902</c:v>
                </c:pt>
                <c:pt idx="4">
                  <c:v>15.571017265319824</c:v>
                </c:pt>
                <c:pt idx="5">
                  <c:v>15.029834747314453</c:v>
                </c:pt>
                <c:pt idx="6">
                  <c:v>17.541290283203125</c:v>
                </c:pt>
                <c:pt idx="7">
                  <c:v>19.502628326416016</c:v>
                </c:pt>
                <c:pt idx="8">
                  <c:v>22.682868957519531</c:v>
                </c:pt>
                <c:pt idx="9">
                  <c:v>16.158702850341797</c:v>
                </c:pt>
                <c:pt idx="10">
                  <c:v>14.976724624633789</c:v>
                </c:pt>
                <c:pt idx="11">
                  <c:v>15.420815467834473</c:v>
                </c:pt>
                <c:pt idx="12">
                  <c:v>14.551158905029297</c:v>
                </c:pt>
                <c:pt idx="13">
                  <c:v>13.037094116210938</c:v>
                </c:pt>
                <c:pt idx="14">
                  <c:v>12.729029655456543</c:v>
                </c:pt>
                <c:pt idx="15">
                  <c:v>12.647359848022461</c:v>
                </c:pt>
                <c:pt idx="16">
                  <c:v>12.13929271697998</c:v>
                </c:pt>
                <c:pt idx="17">
                  <c:v>25.968635559082031</c:v>
                </c:pt>
                <c:pt idx="18">
                  <c:v>19.005569458007813</c:v>
                </c:pt>
                <c:pt idx="19">
                  <c:v>21.95036506652832</c:v>
                </c:pt>
                <c:pt idx="20">
                  <c:v>20.553665161132813</c:v>
                </c:pt>
                <c:pt idx="21">
                  <c:v>20.583889007568359</c:v>
                </c:pt>
                <c:pt idx="22">
                  <c:v>18.822460174560547</c:v>
                </c:pt>
              </c:numCache>
            </c:numRef>
          </c:yVal>
          <c:smooth val="0"/>
          <c:extLst>
            <c:ext xmlns:c16="http://schemas.microsoft.com/office/drawing/2014/chart" uri="{C3380CC4-5D6E-409C-BE32-E72D297353CC}">
              <c16:uniqueId val="{00000001-E6A3-4E87-A7B5-38173C54B81D}"/>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('CHN raw data'!$E$32:$E$34,'CHN raw data'!$E$36:$E$41,'CHN raw data'!$E$43:$E$49,'CHN raw data'!$E$51:$E$54,'CHN raw data'!$E$56:$E$58)</c:f>
              <c:numCache>
                <c:formatCode>0.00</c:formatCode>
                <c:ptCount val="23"/>
                <c:pt idx="0">
                  <c:v>0.93131935596466064</c:v>
                </c:pt>
                <c:pt idx="1">
                  <c:v>0.95144325494766235</c:v>
                </c:pt>
                <c:pt idx="2">
                  <c:v>0.74654889106750488</c:v>
                </c:pt>
                <c:pt idx="3">
                  <c:v>0.95399433374404907</c:v>
                </c:pt>
                <c:pt idx="4">
                  <c:v>0.84419530630111694</c:v>
                </c:pt>
                <c:pt idx="5">
                  <c:v>0.75590145587921143</c:v>
                </c:pt>
                <c:pt idx="6">
                  <c:v>0.89161521196365356</c:v>
                </c:pt>
                <c:pt idx="7">
                  <c:v>1.1395817995071411</c:v>
                </c:pt>
                <c:pt idx="8">
                  <c:v>1.3147323131561279</c:v>
                </c:pt>
                <c:pt idx="9">
                  <c:v>1.8598906993865967</c:v>
                </c:pt>
                <c:pt idx="10">
                  <c:v>1.3919014930725098</c:v>
                </c:pt>
                <c:pt idx="11">
                  <c:v>0.89746320247650146</c:v>
                </c:pt>
                <c:pt idx="12">
                  <c:v>0.77622455358505249</c:v>
                </c:pt>
                <c:pt idx="13">
                  <c:v>0.7489924430847168</c:v>
                </c:pt>
                <c:pt idx="14">
                  <c:v>1.1368647813796997</c:v>
                </c:pt>
                <c:pt idx="15">
                  <c:v>1.150365948677063</c:v>
                </c:pt>
                <c:pt idx="16">
                  <c:v>0.69302099943161011</c:v>
                </c:pt>
                <c:pt idx="17">
                  <c:v>0.71438348293304443</c:v>
                </c:pt>
                <c:pt idx="18">
                  <c:v>0.64206689596176147</c:v>
                </c:pt>
                <c:pt idx="19">
                  <c:v>0.59928643703460693</c:v>
                </c:pt>
                <c:pt idx="20">
                  <c:v>0.49330392479896545</c:v>
                </c:pt>
                <c:pt idx="21">
                  <c:v>0.68599343299865723</c:v>
                </c:pt>
                <c:pt idx="22">
                  <c:v>0.64265018701553345</c:v>
                </c:pt>
              </c:numCache>
            </c:numRef>
          </c:xVal>
          <c:yVal>
            <c:numRef>
              <c:f>('CHN raw data'!$C$32:$C$34,'CHN raw data'!$C$36:$C$41,'CHN raw data'!$C$43:$C$49,'CHN raw data'!$C$51:$C$54,'CHN raw data'!$C$56:$C$58)</c:f>
              <c:numCache>
                <c:formatCode>0.00</c:formatCode>
                <c:ptCount val="23"/>
                <c:pt idx="0">
                  <c:v>14.198935508728027</c:v>
                </c:pt>
                <c:pt idx="1">
                  <c:v>13.804064750671387</c:v>
                </c:pt>
                <c:pt idx="2">
                  <c:v>13.562370300292969</c:v>
                </c:pt>
                <c:pt idx="3">
                  <c:v>13.616997718811035</c:v>
                </c:pt>
                <c:pt idx="4">
                  <c:v>12.455282211303711</c:v>
                </c:pt>
                <c:pt idx="5">
                  <c:v>12.500893592834473</c:v>
                </c:pt>
                <c:pt idx="6">
                  <c:v>13.338446617126465</c:v>
                </c:pt>
                <c:pt idx="7">
                  <c:v>14.830756187438965</c:v>
                </c:pt>
                <c:pt idx="8">
                  <c:v>14.477551460266113</c:v>
                </c:pt>
                <c:pt idx="9">
                  <c:v>17.096782684326172</c:v>
                </c:pt>
                <c:pt idx="10">
                  <c:v>15.583263397216797</c:v>
                </c:pt>
                <c:pt idx="11">
                  <c:v>13.833269119262695</c:v>
                </c:pt>
                <c:pt idx="12">
                  <c:v>13.888647079467773</c:v>
                </c:pt>
                <c:pt idx="13">
                  <c:v>13.568583488464355</c:v>
                </c:pt>
                <c:pt idx="14">
                  <c:v>15.28265380859375</c:v>
                </c:pt>
                <c:pt idx="15">
                  <c:v>15.295933723449707</c:v>
                </c:pt>
                <c:pt idx="16">
                  <c:v>12.960940361022949</c:v>
                </c:pt>
                <c:pt idx="17">
                  <c:v>12.993682861328125</c:v>
                </c:pt>
                <c:pt idx="18">
                  <c:v>12.892779350280762</c:v>
                </c:pt>
                <c:pt idx="19">
                  <c:v>12.664422035217285</c:v>
                </c:pt>
                <c:pt idx="20">
                  <c:v>12.992489814758301</c:v>
                </c:pt>
                <c:pt idx="21">
                  <c:v>13.173738479614258</c:v>
                </c:pt>
                <c:pt idx="22">
                  <c:v>13.033105850219727</c:v>
                </c:pt>
              </c:numCache>
            </c:numRef>
          </c:yVal>
          <c:smooth val="0"/>
          <c:extLst>
            <c:ext xmlns:c16="http://schemas.microsoft.com/office/drawing/2014/chart" uri="{C3380CC4-5D6E-409C-BE32-E72D297353CC}">
              <c16:uniqueId val="{00000003-E6A3-4E87-A7B5-38173C54B81D}"/>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('CHN raw data'!$E$59:$E$67,'CHN raw data'!$E$70:$E$75,'CHN raw data'!$E$78:$E$80,'CHN raw data'!$E$82:$E$86)</c:f>
              <c:numCache>
                <c:formatCode>0.00</c:formatCode>
                <c:ptCount val="23"/>
                <c:pt idx="0">
                  <c:v>0.60141974687576294</c:v>
                </c:pt>
                <c:pt idx="1">
                  <c:v>0.58137589693069458</c:v>
                </c:pt>
                <c:pt idx="2">
                  <c:v>0.46230989694595337</c:v>
                </c:pt>
                <c:pt idx="3">
                  <c:v>0.70981037616729736</c:v>
                </c:pt>
                <c:pt idx="4">
                  <c:v>0.57995182275772095</c:v>
                </c:pt>
                <c:pt idx="5">
                  <c:v>0.55225098133087158</c:v>
                </c:pt>
                <c:pt idx="6">
                  <c:v>0.8281787633895874</c:v>
                </c:pt>
                <c:pt idx="7">
                  <c:v>1.0158618688583374</c:v>
                </c:pt>
                <c:pt idx="8">
                  <c:v>0.76806157827377319</c:v>
                </c:pt>
                <c:pt idx="9">
                  <c:v>0.56358444690704346</c:v>
                </c:pt>
                <c:pt idx="10">
                  <c:v>0.6108284592628479</c:v>
                </c:pt>
                <c:pt idx="11">
                  <c:v>0.51281875371932983</c:v>
                </c:pt>
                <c:pt idx="12">
                  <c:v>0.46044337749481201</c:v>
                </c:pt>
                <c:pt idx="13">
                  <c:v>0.5485919713973999</c:v>
                </c:pt>
                <c:pt idx="14">
                  <c:v>0.4789680540561676</c:v>
                </c:pt>
                <c:pt idx="15">
                  <c:v>0.40796807408332825</c:v>
                </c:pt>
                <c:pt idx="16">
                  <c:v>0.49224677681922913</c:v>
                </c:pt>
                <c:pt idx="17">
                  <c:v>0.50236707925796509</c:v>
                </c:pt>
                <c:pt idx="18">
                  <c:v>0.73102074861526489</c:v>
                </c:pt>
                <c:pt idx="19">
                  <c:v>0.78967905044555664</c:v>
                </c:pt>
                <c:pt idx="20">
                  <c:v>0.86416906118392944</c:v>
                </c:pt>
                <c:pt idx="21">
                  <c:v>1.0282250642776489</c:v>
                </c:pt>
                <c:pt idx="22">
                  <c:v>1.3026413917541504</c:v>
                </c:pt>
              </c:numCache>
            </c:numRef>
          </c:xVal>
          <c:yVal>
            <c:numRef>
              <c:f>('CHN raw data'!$C$59:$C$67,'CHN raw data'!$C$70:$C$75,'CHN raw data'!$C$78:$C$80,'CHN raw data'!$C$82:$C$86)</c:f>
              <c:numCache>
                <c:formatCode>0.00</c:formatCode>
                <c:ptCount val="23"/>
                <c:pt idx="0">
                  <c:v>13.055289268493652</c:v>
                </c:pt>
                <c:pt idx="1">
                  <c:v>12.797491073608398</c:v>
                </c:pt>
                <c:pt idx="2">
                  <c:v>12.487421035766602</c:v>
                </c:pt>
                <c:pt idx="3">
                  <c:v>13.564257621765137</c:v>
                </c:pt>
                <c:pt idx="4">
                  <c:v>11.722740173339844</c:v>
                </c:pt>
                <c:pt idx="5">
                  <c:v>11.60958194732666</c:v>
                </c:pt>
                <c:pt idx="6">
                  <c:v>12.970779418945313</c:v>
                </c:pt>
                <c:pt idx="7">
                  <c:v>14.143871307373047</c:v>
                </c:pt>
                <c:pt idx="8">
                  <c:v>13.044124603271484</c:v>
                </c:pt>
                <c:pt idx="9">
                  <c:v>12.409296989440918</c:v>
                </c:pt>
                <c:pt idx="10">
                  <c:v>12.423382759094238</c:v>
                </c:pt>
                <c:pt idx="11">
                  <c:v>12.684090614318848</c:v>
                </c:pt>
                <c:pt idx="12">
                  <c:v>12.727865219116211</c:v>
                </c:pt>
                <c:pt idx="13">
                  <c:v>11.639579772949219</c:v>
                </c:pt>
                <c:pt idx="14">
                  <c:v>12.496432304382324</c:v>
                </c:pt>
                <c:pt idx="15">
                  <c:v>11.975069046020508</c:v>
                </c:pt>
                <c:pt idx="16">
                  <c:v>10.919998168945313</c:v>
                </c:pt>
                <c:pt idx="17">
                  <c:v>10.936482429504395</c:v>
                </c:pt>
                <c:pt idx="18">
                  <c:v>12.625073432922363</c:v>
                </c:pt>
                <c:pt idx="19">
                  <c:v>12.991854667663574</c:v>
                </c:pt>
                <c:pt idx="20">
                  <c:v>13.750542640686035</c:v>
                </c:pt>
                <c:pt idx="21">
                  <c:v>14.902951240539551</c:v>
                </c:pt>
                <c:pt idx="22">
                  <c:v>16.612541198730469</c:v>
                </c:pt>
              </c:numCache>
            </c:numRef>
          </c:yVal>
          <c:smooth val="0"/>
          <c:extLst>
            <c:ext xmlns:c16="http://schemas.microsoft.com/office/drawing/2014/chart" uri="{C3380CC4-5D6E-409C-BE32-E72D297353CC}">
              <c16:uniqueId val="{00000005-E6A3-4E87-A7B5-38173C54B81D}"/>
            </c:ext>
          </c:extLst>
        </c:ser>
        <c:ser>
          <c:idx val="3"/>
          <c:order val="3"/>
          <c:tx>
            <c:v>PACS-2</c:v>
          </c:tx>
          <c:spPr>
            <a:ln w="25400" cap="rnd">
              <a:noFill/>
              <a:round/>
            </a:ln>
            <a:effectLst/>
          </c:spPr>
          <c:marker>
            <c:symbol val="circle"/>
            <c:size val="5"/>
            <c:spPr>
              <a:solidFill>
                <a:schemeClr val="accent4"/>
              </a:solidFill>
              <a:ln w="9525">
                <a:solidFill>
                  <a:schemeClr val="accent4"/>
                </a:solidFill>
              </a:ln>
              <a:effectLst/>
            </c:spPr>
          </c:marker>
          <c:xVal>
            <c:numRef>
              <c:f>('CHN raw data'!$E$23,'CHN raw data'!$E$35,'CHN raw data'!$E$76:$E$77)</c:f>
              <c:numCache>
                <c:formatCode>0.00</c:formatCode>
                <c:ptCount val="4"/>
                <c:pt idx="0">
                  <c:v>0.25890868902206421</c:v>
                </c:pt>
                <c:pt idx="1">
                  <c:v>0.25377848744392395</c:v>
                </c:pt>
                <c:pt idx="2">
                  <c:v>0.26515039801597595</c:v>
                </c:pt>
                <c:pt idx="3">
                  <c:v>0.25459614396095276</c:v>
                </c:pt>
              </c:numCache>
            </c:numRef>
          </c:xVal>
          <c:yVal>
            <c:numRef>
              <c:f>('CHN raw data'!$C$23,'CHN raw data'!$C$35,'CHN raw data'!$C$76:$C$77)</c:f>
              <c:numCache>
                <c:formatCode>0.00</c:formatCode>
                <c:ptCount val="4"/>
                <c:pt idx="0">
                  <c:v>3.1780283451080322</c:v>
                </c:pt>
                <c:pt idx="1">
                  <c:v>3.2243328094482422</c:v>
                </c:pt>
                <c:pt idx="2">
                  <c:v>3.2108063697814941</c:v>
                </c:pt>
                <c:pt idx="3">
                  <c:v>3.1933138370513916</c:v>
                </c:pt>
              </c:numCache>
            </c:numRef>
          </c:yVal>
          <c:smooth val="0"/>
          <c:extLst>
            <c:ext xmlns:c16="http://schemas.microsoft.com/office/drawing/2014/chart" uri="{C3380CC4-5D6E-409C-BE32-E72D297353CC}">
              <c16:uniqueId val="{00000006-E6A3-4E87-A7B5-38173C54B81D}"/>
            </c:ext>
          </c:extLst>
        </c:ser>
        <c:ser>
          <c:idx val="4"/>
          <c:order val="4"/>
          <c:tx>
            <c:v>PACS-2 from repeats</c:v>
          </c:tx>
          <c:spPr>
            <a:ln w="25400" cap="rnd">
              <a:noFill/>
              <a:round/>
            </a:ln>
            <a:effectLst/>
          </c:spPr>
          <c:marker>
            <c:symbol val="circle"/>
            <c:size val="5"/>
            <c:spPr>
              <a:solidFill>
                <a:schemeClr val="accent5"/>
              </a:solidFill>
              <a:ln w="9525">
                <a:solidFill>
                  <a:schemeClr val="accent5"/>
                </a:solidFill>
              </a:ln>
              <a:effectLst/>
            </c:spPr>
          </c:marker>
          <c:xVal>
            <c:numRef>
              <c:f>'CHN raw data'!$E$107:$E$108</c:f>
              <c:numCache>
                <c:formatCode>0.00</c:formatCode>
                <c:ptCount val="2"/>
                <c:pt idx="0">
                  <c:v>0.26912227272987366</c:v>
                </c:pt>
                <c:pt idx="1">
                  <c:v>0.26744484901428223</c:v>
                </c:pt>
              </c:numCache>
            </c:numRef>
          </c:xVal>
          <c:yVal>
            <c:numRef>
              <c:f>'CHN raw data'!$C$107:$C$108</c:f>
              <c:numCache>
                <c:formatCode>0.00</c:formatCode>
                <c:ptCount val="2"/>
                <c:pt idx="0">
                  <c:v>3.2224769592285156</c:v>
                </c:pt>
                <c:pt idx="1">
                  <c:v>3.1806583595275799</c:v>
                </c:pt>
              </c:numCache>
            </c:numRef>
          </c:yVal>
          <c:smooth val="0"/>
          <c:extLst>
            <c:ext xmlns:c16="http://schemas.microsoft.com/office/drawing/2014/chart" uri="{C3380CC4-5D6E-409C-BE32-E72D297353CC}">
              <c16:uniqueId val="{00000004-FF57-4577-9EF8-46D003B7AF1C}"/>
            </c:ext>
          </c:extLst>
        </c:ser>
        <c:ser>
          <c:idx val="5"/>
          <c:order val="5"/>
          <c:tx>
            <c:v>1000m Repeats</c:v>
          </c:tx>
          <c:spPr>
            <a:ln w="25400" cap="rnd">
              <a:noFill/>
              <a:round/>
            </a:ln>
            <a:effectLst/>
          </c:spPr>
          <c:marker>
            <c:symbol val="circle"/>
            <c:size val="5"/>
            <c:spPr>
              <a:solidFill>
                <a:schemeClr val="accent6"/>
              </a:solidFill>
              <a:ln w="9525">
                <a:solidFill>
                  <a:schemeClr val="accent6"/>
                </a:solidFill>
              </a:ln>
              <a:effectLst/>
            </c:spPr>
          </c:marker>
          <c:xVal>
            <c:numRef>
              <c:f>'CHN raw data'!$E$103:$E$106</c:f>
              <c:numCache>
                <c:formatCode>0.00</c:formatCode>
                <c:ptCount val="4"/>
                <c:pt idx="0">
                  <c:v>2.8811964988708496</c:v>
                </c:pt>
                <c:pt idx="1">
                  <c:v>1.5659939050674438</c:v>
                </c:pt>
                <c:pt idx="2">
                  <c:v>1.5542114973068237</c:v>
                </c:pt>
                <c:pt idx="3">
                  <c:v>0.57391709089279175</c:v>
                </c:pt>
              </c:numCache>
            </c:numRef>
          </c:xVal>
          <c:yVal>
            <c:numRef>
              <c:f>'CHN raw data'!$C$103:$C$106</c:f>
              <c:numCache>
                <c:formatCode>0.00</c:formatCode>
                <c:ptCount val="4"/>
                <c:pt idx="0">
                  <c:v>19.560874938964844</c:v>
                </c:pt>
                <c:pt idx="1">
                  <c:v>26.077967071533202</c:v>
                </c:pt>
                <c:pt idx="2">
                  <c:v>25.920955276489199</c:v>
                </c:pt>
                <c:pt idx="3">
                  <c:v>13.065495491027832</c:v>
                </c:pt>
              </c:numCache>
            </c:numRef>
          </c:yVal>
          <c:smooth val="0"/>
          <c:extLst>
            <c:ext xmlns:c16="http://schemas.microsoft.com/office/drawing/2014/chart" uri="{C3380CC4-5D6E-409C-BE32-E72D297353CC}">
              <c16:uniqueId val="{00000005-FF57-4577-9EF8-46D003B7AF1C}"/>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SAZ21 %PIC</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main!$AG$7:$AG$27</c:f>
              <c:numCache>
                <c:formatCode>General</c:formatCode>
                <c:ptCount val="21"/>
                <c:pt idx="0">
                  <c:v>7.0953188051727647</c:v>
                </c:pt>
                <c:pt idx="1">
                  <c:v>6.9097756332165385</c:v>
                </c:pt>
                <c:pt idx="2">
                  <c:v>8.612819565619052</c:v>
                </c:pt>
                <c:pt idx="3">
                  <c:v>6.5701110881880949</c:v>
                </c:pt>
                <c:pt idx="4">
                  <c:v>7.0867823211057637</c:v>
                </c:pt>
                <c:pt idx="5">
                  <c:v>6.4269744983762465</c:v>
                </c:pt>
                <c:pt idx="6">
                  <c:v>6.5803137120150454</c:v>
                </c:pt>
                <c:pt idx="7">
                  <c:v>5.6118000723875667</c:v>
                </c:pt>
                <c:pt idx="8">
                  <c:v>4.9654546677843969</c:v>
                </c:pt>
                <c:pt idx="9">
                  <c:v>6.9686666557959587</c:v>
                </c:pt>
                <c:pt idx="10">
                  <c:v>7.4096531011488622</c:v>
                </c:pt>
                <c:pt idx="11">
                  <c:v>8.230070796602428</c:v>
                </c:pt>
                <c:pt idx="12">
                  <c:v>8.8735734922399185</c:v>
                </c:pt>
                <c:pt idx="13">
                  <c:v>8.6559079902242111</c:v>
                </c:pt>
                <c:pt idx="14">
                  <c:v>7.9258890755292466</c:v>
                </c:pt>
                <c:pt idx="15">
                  <c:v>5.926833898546219</c:v>
                </c:pt>
                <c:pt idx="16">
                  <c:v>6.8775244496369581</c:v>
                </c:pt>
                <c:pt idx="17">
                  <c:v>6.1761507692080277</c:v>
                </c:pt>
                <c:pt idx="18">
                  <c:v>6.9236977144930139</c:v>
                </c:pt>
                <c:pt idx="19">
                  <c:v>6.2885715097761761</c:v>
                </c:pt>
                <c:pt idx="20">
                  <c:v>7.8428282732779335</c:v>
                </c:pt>
              </c:numCache>
            </c:numRef>
          </c:yVal>
          <c:smooth val="0"/>
          <c:extLst>
            <c:ext xmlns:c16="http://schemas.microsoft.com/office/drawing/2014/chart" uri="{C3380CC4-5D6E-409C-BE32-E72D297353CC}">
              <c16:uniqueId val="{00000000-80F2-43F8-8E0E-C83EE244BC1E}"/>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main!$AG$31:$AG$51</c:f>
              <c:numCache>
                <c:formatCode>General</c:formatCode>
                <c:ptCount val="21"/>
                <c:pt idx="0">
                  <c:v>7.845234217691849</c:v>
                </c:pt>
                <c:pt idx="1">
                  <c:v>7.7376497417930734</c:v>
                </c:pt>
                <c:pt idx="2">
                  <c:v>8.4654530531064207</c:v>
                </c:pt>
                <c:pt idx="3">
                  <c:v>7.0781426157906742</c:v>
                </c:pt>
                <c:pt idx="4">
                  <c:v>6.7161881406396127</c:v>
                </c:pt>
                <c:pt idx="5">
                  <c:v>7.1683120072082058</c:v>
                </c:pt>
                <c:pt idx="6">
                  <c:v>7.1832610398943633</c:v>
                </c:pt>
                <c:pt idx="7">
                  <c:v>7.4307294030034834</c:v>
                </c:pt>
                <c:pt idx="8">
                  <c:v>7.0228532411833084</c:v>
                </c:pt>
                <c:pt idx="9">
                  <c:v>6.7157379547132869</c:v>
                </c:pt>
                <c:pt idx="10">
                  <c:v>7.351442593719149</c:v>
                </c:pt>
                <c:pt idx="11">
                  <c:v>8.1536745705153226</c:v>
                </c:pt>
                <c:pt idx="12">
                  <c:v>8.5417419671584103</c:v>
                </c:pt>
                <c:pt idx="13">
                  <c:v>8.2813198494656337</c:v>
                </c:pt>
                <c:pt idx="14">
                  <c:v>8.1845821412327773</c:v>
                </c:pt>
                <c:pt idx="15">
                  <c:v>8.617923907566718</c:v>
                </c:pt>
                <c:pt idx="16">
                  <c:v>8.63825207525724</c:v>
                </c:pt>
                <c:pt idx="17">
                  <c:v>8.8132054197931549</c:v>
                </c:pt>
                <c:pt idx="18">
                  <c:v>9.4038338062413445</c:v>
                </c:pt>
                <c:pt idx="19">
                  <c:v>9.0321834229884193</c:v>
                </c:pt>
                <c:pt idx="20">
                  <c:v>9.4322275657152339</c:v>
                </c:pt>
              </c:numCache>
            </c:numRef>
          </c:yVal>
          <c:smooth val="0"/>
          <c:extLst>
            <c:ext xmlns:c16="http://schemas.microsoft.com/office/drawing/2014/chart" uri="{C3380CC4-5D6E-409C-BE32-E72D297353CC}">
              <c16:uniqueId val="{00000001-80F2-43F8-8E0E-C83EE244BC1E}"/>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main!$AG$55:$AG$75</c:f>
              <c:numCache>
                <c:formatCode>General</c:formatCode>
                <c:ptCount val="21"/>
                <c:pt idx="0">
                  <c:v>8.7176223298634277</c:v>
                </c:pt>
                <c:pt idx="1">
                  <c:v>8.6435837597587994</c:v>
                </c:pt>
                <c:pt idx="2">
                  <c:v>9.1346456337874375</c:v>
                </c:pt>
                <c:pt idx="3">
                  <c:v>8.7716812393849004</c:v>
                </c:pt>
                <c:pt idx="4">
                  <c:v>7.5831840307468061</c:v>
                </c:pt>
                <c:pt idx="5">
                  <c:v>7.8269694168504316</c:v>
                </c:pt>
                <c:pt idx="6">
                  <c:v>7.4348807834026491</c:v>
                </c:pt>
                <c:pt idx="7">
                  <c:v>7.5508193552275387</c:v>
                </c:pt>
                <c:pt idx="8">
                  <c:v>7.9032453419874882</c:v>
                </c:pt>
                <c:pt idx="9">
                  <c:v>8.3362431358906441</c:v>
                </c:pt>
                <c:pt idx="10">
                  <c:v>8.3741984040279416</c:v>
                </c:pt>
                <c:pt idx="11">
                  <c:v>8.8975218636906011</c:v>
                </c:pt>
                <c:pt idx="12">
                  <c:v>9.1620095801262522</c:v>
                </c:pt>
                <c:pt idx="13">
                  <c:v>8.8018797125700257</c:v>
                </c:pt>
                <c:pt idx="14">
                  <c:v>8.8765539405145937</c:v>
                </c:pt>
                <c:pt idx="15">
                  <c:v>7.1634108342189329</c:v>
                </c:pt>
                <c:pt idx="16">
                  <c:v>7.2553563044783322</c:v>
                </c:pt>
                <c:pt idx="17">
                  <c:v>7.6555045582093468</c:v>
                </c:pt>
                <c:pt idx="18">
                  <c:v>7.7197733244525555</c:v>
                </c:pt>
                <c:pt idx="19">
                  <c:v>7.6938813790057088</c:v>
                </c:pt>
                <c:pt idx="20">
                  <c:v>7.6304487568011723</c:v>
                </c:pt>
              </c:numCache>
            </c:numRef>
          </c:yVal>
          <c:smooth val="0"/>
          <c:extLst>
            <c:ext xmlns:c16="http://schemas.microsoft.com/office/drawing/2014/chart" uri="{C3380CC4-5D6E-409C-BE32-E72D297353CC}">
              <c16:uniqueId val="{00000002-80F2-43F8-8E0E-C83EE244BC1E}"/>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%PIC</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SAZ21 %POC</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main!$AH$7:$AH$27</c:f>
              <c:numCache>
                <c:formatCode>0.00</c:formatCode>
                <c:ptCount val="21"/>
                <c:pt idx="0">
                  <c:v>9.3986635098907119</c:v>
                </c:pt>
                <c:pt idx="1">
                  <c:v>8.5363689476245259</c:v>
                </c:pt>
                <c:pt idx="2">
                  <c:v>6.3484202491392487</c:v>
                </c:pt>
                <c:pt idx="3">
                  <c:v>8.5243017154618066</c:v>
                </c:pt>
                <c:pt idx="4">
                  <c:v>8.4842349442140605</c:v>
                </c:pt>
                <c:pt idx="5">
                  <c:v>8.6028602489382067</c:v>
                </c:pt>
                <c:pt idx="6">
                  <c:v>10.96097657118808</c:v>
                </c:pt>
                <c:pt idx="7">
                  <c:v>13.919951560302863</c:v>
                </c:pt>
                <c:pt idx="8">
                  <c:v>17.717414289735135</c:v>
                </c:pt>
                <c:pt idx="9">
                  <c:v>9.1900361945458382</c:v>
                </c:pt>
                <c:pt idx="10">
                  <c:v>7.5670715234849268</c:v>
                </c:pt>
                <c:pt idx="11">
                  <c:v>6.3210881084268689</c:v>
                </c:pt>
                <c:pt idx="12">
                  <c:v>4.1777213113794662</c:v>
                </c:pt>
                <c:pt idx="13">
                  <c:v>4.0322867615152909</c:v>
                </c:pt>
                <c:pt idx="14">
                  <c:v>4.2134036414507339</c:v>
                </c:pt>
                <c:pt idx="15">
                  <c:v>20.062352070488593</c:v>
                </c:pt>
                <c:pt idx="16">
                  <c:v>12.128045008370854</c:v>
                </c:pt>
                <c:pt idx="17">
                  <c:v>15.774214297320292</c:v>
                </c:pt>
                <c:pt idx="18">
                  <c:v>13.6299674466398</c:v>
                </c:pt>
                <c:pt idx="19">
                  <c:v>14.295317497792183</c:v>
                </c:pt>
                <c:pt idx="20">
                  <c:v>10.979631901282612</c:v>
                </c:pt>
              </c:numCache>
            </c:numRef>
          </c:yVal>
          <c:smooth val="0"/>
          <c:extLst>
            <c:ext xmlns:c16="http://schemas.microsoft.com/office/drawing/2014/chart" uri="{C3380CC4-5D6E-409C-BE32-E72D297353CC}">
              <c16:uniqueId val="{00000000-E521-40BF-B12E-4EFAE10A334E}"/>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main!$AH$31:$AH$51</c:f>
              <c:numCache>
                <c:formatCode>0.00</c:formatCode>
                <c:ptCount val="21"/>
                <c:pt idx="0">
                  <c:v>6.3537012910361783</c:v>
                </c:pt>
                <c:pt idx="1">
                  <c:v>6.0664150088783133</c:v>
                </c:pt>
                <c:pt idx="2">
                  <c:v>5.1000238412722414</c:v>
                </c:pt>
                <c:pt idx="3">
                  <c:v>6.538855103020361</c:v>
                </c:pt>
                <c:pt idx="4">
                  <c:v>5.7390940706640983</c:v>
                </c:pt>
                <c:pt idx="5">
                  <c:v>5.3325815856262668</c:v>
                </c:pt>
                <c:pt idx="6">
                  <c:v>6.1551855772321016</c:v>
                </c:pt>
                <c:pt idx="7">
                  <c:v>7.4000267844354815</c:v>
                </c:pt>
                <c:pt idx="8">
                  <c:v>7.4546982190828048</c:v>
                </c:pt>
                <c:pt idx="9">
                  <c:v>10.381044729612885</c:v>
                </c:pt>
                <c:pt idx="10">
                  <c:v>8.2318208034976479</c:v>
                </c:pt>
                <c:pt idx="11">
                  <c:v>5.6795945487473727</c:v>
                </c:pt>
                <c:pt idx="12">
                  <c:v>5.3469051123093632</c:v>
                </c:pt>
                <c:pt idx="13">
                  <c:v>7.0079739165560948</c:v>
                </c:pt>
                <c:pt idx="14">
                  <c:v>4.7763582197901719</c:v>
                </c:pt>
                <c:pt idx="15">
                  <c:v>4.375758953761407</c:v>
                </c:pt>
                <c:pt idx="16">
                  <c:v>4.2545272750235217</c:v>
                </c:pt>
                <c:pt idx="17">
                  <c:v>3.8512166154241303</c:v>
                </c:pt>
                <c:pt idx="18">
                  <c:v>3.5886560085169563</c:v>
                </c:pt>
                <c:pt idx="19">
                  <c:v>4.1415550566258386</c:v>
                </c:pt>
                <c:pt idx="20">
                  <c:v>3.6008782845044927</c:v>
                </c:pt>
              </c:numCache>
            </c:numRef>
          </c:yVal>
          <c:smooth val="0"/>
          <c:extLst>
            <c:ext xmlns:c16="http://schemas.microsoft.com/office/drawing/2014/chart" uri="{C3380CC4-5D6E-409C-BE32-E72D297353CC}">
              <c16:uniqueId val="{00000001-E521-40BF-B12E-4EFAE10A334E}"/>
            </c:ext>
          </c:extLst>
        </c:ser>
        <c:ser>
          <c:idx val="3"/>
          <c:order val="2"/>
          <c:tx>
            <c:v>47_3800</c:v>
          </c:tx>
          <c:spPr>
            <a:ln w="19050">
              <a:noFill/>
            </a:ln>
          </c:spPr>
          <c:marker>
            <c:symbol val="circle"/>
            <c:size val="5"/>
            <c:spPr>
              <a:solidFill>
                <a:srgbClr val="92D050"/>
              </a:solidFill>
              <a:ln>
                <a:no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main!$AH$55:$AH$75</c:f>
              <c:numCache>
                <c:formatCode>0.00</c:formatCode>
                <c:ptCount val="21"/>
                <c:pt idx="0">
                  <c:v>4.3376669386302247</c:v>
                </c:pt>
                <c:pt idx="1">
                  <c:v>4.153907313849599</c:v>
                </c:pt>
                <c:pt idx="2">
                  <c:v>3.352775401979164</c:v>
                </c:pt>
                <c:pt idx="3">
                  <c:v>4.7925763823802363</c:v>
                </c:pt>
                <c:pt idx="4">
                  <c:v>4.1395561425930376</c:v>
                </c:pt>
                <c:pt idx="5">
                  <c:v>3.7976114432875079</c:v>
                </c:pt>
                <c:pt idx="6">
                  <c:v>5.5358986355426634</c:v>
                </c:pt>
                <c:pt idx="7">
                  <c:v>6.5930519521455082</c:v>
                </c:pt>
                <c:pt idx="8">
                  <c:v>5.1408792612839962</c:v>
                </c:pt>
                <c:pt idx="9">
                  <c:v>4.0730538535502738</c:v>
                </c:pt>
                <c:pt idx="10">
                  <c:v>4.0491843550662967</c:v>
                </c:pt>
                <c:pt idx="11">
                  <c:v>3.7865687506282466</c:v>
                </c:pt>
                <c:pt idx="12">
                  <c:v>3.5658556389899587</c:v>
                </c:pt>
                <c:pt idx="13">
                  <c:v>3.6945525918122986</c:v>
                </c:pt>
                <c:pt idx="14">
                  <c:v>3.0985151055059141</c:v>
                </c:pt>
                <c:pt idx="15">
                  <c:v>3.7648294650059206</c:v>
                </c:pt>
                <c:pt idx="16">
                  <c:v>5.369717128444031</c:v>
                </c:pt>
                <c:pt idx="17">
                  <c:v>5.3363501094542274</c:v>
                </c:pt>
                <c:pt idx="18">
                  <c:v>6.0307693162334797</c:v>
                </c:pt>
                <c:pt idx="19">
                  <c:v>7.209069861533842</c:v>
                </c:pt>
                <c:pt idx="20">
                  <c:v>8.9820924419292965</c:v>
                </c:pt>
              </c:numCache>
            </c:numRef>
          </c:yVal>
          <c:smooth val="0"/>
          <c:extLst>
            <c:ext xmlns:c16="http://schemas.microsoft.com/office/drawing/2014/chart" uri="{C3380CC4-5D6E-409C-BE32-E72D297353CC}">
              <c16:uniqueId val="{00000002-E521-40BF-B12E-4EFAE10A334E}"/>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%POC</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Acetanilide</c:v>
          </c:tx>
          <c:spPr>
            <a:ln w="25400" cap="rnd">
              <a:noFill/>
              <a:round/>
            </a:ln>
            <a:effectLst/>
          </c:spPr>
          <c:marker>
            <c:symbol val="circle"/>
            <c:size val="5"/>
            <c:spPr>
              <a:solidFill>
                <a:schemeClr val="accent2"/>
              </a:solidFill>
              <a:ln w="9525">
                <a:solidFill>
                  <a:schemeClr val="accent2"/>
                </a:solidFill>
              </a:ln>
              <a:effectLst/>
            </c:spPr>
          </c:marker>
          <c:xVal>
            <c:numRef>
              <c:f>('CHN raw data'!$E$50,'CHN raw data'!$E$69,'CHN raw data'!$E$87:$E$88)</c:f>
              <c:numCache>
                <c:formatCode>0.00</c:formatCode>
                <c:ptCount val="4"/>
                <c:pt idx="0">
                  <c:v>10.377264976501465</c:v>
                </c:pt>
                <c:pt idx="1">
                  <c:v>10.286315536499</c:v>
                </c:pt>
                <c:pt idx="2">
                  <c:v>10.2909704208374</c:v>
                </c:pt>
                <c:pt idx="3">
                  <c:v>10.3032676696777</c:v>
                </c:pt>
              </c:numCache>
            </c:numRef>
          </c:xVal>
          <c:yVal>
            <c:numRef>
              <c:f>('CHN raw data'!$C$50,'CHN raw data'!$C$69,'CHN raw data'!$C$87:$C$88)</c:f>
              <c:numCache>
                <c:formatCode>0.00</c:formatCode>
                <c:ptCount val="4"/>
                <c:pt idx="0">
                  <c:v>71.177381896972605</c:v>
                </c:pt>
                <c:pt idx="1">
                  <c:v>71.183735656738193</c:v>
                </c:pt>
                <c:pt idx="2">
                  <c:v>71.106781005859375</c:v>
                </c:pt>
                <c:pt idx="3">
                  <c:v>71.058993530273398</c:v>
                </c:pt>
              </c:numCache>
            </c:numRef>
          </c:yVal>
          <c:smooth val="0"/>
          <c:extLst>
            <c:ext xmlns:c16="http://schemas.microsoft.com/office/drawing/2014/chart" uri="{C3380CC4-5D6E-409C-BE32-E72D297353CC}">
              <c16:uniqueId val="{00000000-8005-4701-8AA8-35B8023898CE}"/>
            </c:ext>
          </c:extLst>
        </c:ser>
        <c:ser>
          <c:idx val="0"/>
          <c:order val="1"/>
          <c:tx>
            <c:v>Acetanilide from repeats</c:v>
          </c:tx>
          <c:spPr>
            <a:ln w="25400" cap="rnd">
              <a:noFill/>
              <a:round/>
            </a:ln>
            <a:effectLst/>
          </c:spPr>
          <c:marker>
            <c:symbol val="circle"/>
            <c:size val="5"/>
            <c:spPr>
              <a:solidFill>
                <a:schemeClr val="accent1"/>
              </a:solidFill>
              <a:ln w="9525">
                <a:solidFill>
                  <a:schemeClr val="accent1"/>
                </a:solidFill>
              </a:ln>
              <a:effectLst/>
            </c:spPr>
          </c:marker>
          <c:xVal>
            <c:numRef>
              <c:f>'CHN raw data'!$E$109:$E$110</c:f>
              <c:numCache>
                <c:formatCode>0.00</c:formatCode>
                <c:ptCount val="2"/>
                <c:pt idx="0">
                  <c:v>10.286360740661621</c:v>
                </c:pt>
                <c:pt idx="1">
                  <c:v>10.296211433410599</c:v>
                </c:pt>
              </c:numCache>
            </c:numRef>
          </c:xVal>
          <c:yVal>
            <c:numRef>
              <c:f>'CHN raw data'!$C$109:$C$110</c:f>
              <c:numCache>
                <c:formatCode>0.00</c:formatCode>
                <c:ptCount val="2"/>
                <c:pt idx="0">
                  <c:v>71.152423095703099</c:v>
                </c:pt>
                <c:pt idx="1">
                  <c:v>71.005059814453105</c:v>
                </c:pt>
              </c:numCache>
            </c:numRef>
          </c:yVal>
          <c:smooth val="0"/>
          <c:extLst>
            <c:ext xmlns:c16="http://schemas.microsoft.com/office/drawing/2014/chart" uri="{C3380CC4-5D6E-409C-BE32-E72D297353CC}">
              <c16:uniqueId val="{00000001-1253-4CA6-8EE5-028BBB26E69A}"/>
            </c:ext>
          </c:extLst>
        </c:ser>
        <c:dLbls>
          <c:showLegendKey val="0"/>
          <c:showVal val="0"/>
          <c:showCatName val="0"/>
          <c:showSerName val="0"/>
          <c:showPercent val="0"/>
          <c:showBubbleSize val="0"/>
        </c:dLbls>
        <c:axId val="773778216"/>
        <c:axId val="773769688"/>
      </c:scatterChart>
      <c:valAx>
        <c:axId val="773778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69688"/>
        <c:crosses val="autoZero"/>
        <c:crossBetween val="midCat"/>
      </c:valAx>
      <c:valAx>
        <c:axId val="77376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78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main!$AB$7:$AB$27</c:f>
              <c:numCache>
                <c:formatCode>General</c:formatCode>
                <c:ptCount val="21"/>
                <c:pt idx="0">
                  <c:v>5.664912004871427</c:v>
                </c:pt>
                <c:pt idx="1">
                  <c:v>6.7708039015226298</c:v>
                </c:pt>
                <c:pt idx="2">
                  <c:v>2.4583744291810152</c:v>
                </c:pt>
                <c:pt idx="3">
                  <c:v>7.6747303186504228</c:v>
                </c:pt>
                <c:pt idx="4">
                  <c:v>5.9290617535420971</c:v>
                </c:pt>
                <c:pt idx="5">
                  <c:v>7.242673023264584</c:v>
                </c:pt>
                <c:pt idx="6">
                  <c:v>4.5906897305674033</c:v>
                </c:pt>
                <c:pt idx="7">
                  <c:v>0.79303484245507505</c:v>
                </c:pt>
                <c:pt idx="8">
                  <c:v>3.6381105650844869</c:v>
                </c:pt>
                <c:pt idx="9">
                  <c:v>5.7476750669045495</c:v>
                </c:pt>
                <c:pt idx="10">
                  <c:v>5.12804146556525</c:v>
                </c:pt>
                <c:pt idx="11">
                  <c:v>3.8631501693818517</c:v>
                </c:pt>
                <c:pt idx="12">
                  <c:v>4.2807181844419544</c:v>
                </c:pt>
                <c:pt idx="13">
                  <c:v>5.288354221217431</c:v>
                </c:pt>
                <c:pt idx="14">
                  <c:v>7.6518266658560306</c:v>
                </c:pt>
                <c:pt idx="15">
                  <c:v>3.9140199454516917</c:v>
                </c:pt>
                <c:pt idx="16">
                  <c:v>2.4305946955235274</c:v>
                </c:pt>
                <c:pt idx="17">
                  <c:v>2.3985475407432224</c:v>
                </c:pt>
                <c:pt idx="18">
                  <c:v>1.5691584583196199</c:v>
                </c:pt>
                <c:pt idx="19">
                  <c:v>0.75516641537555029</c:v>
                </c:pt>
                <c:pt idx="20">
                  <c:v>1.020350993602831</c:v>
                </c:pt>
              </c:numCache>
            </c:numRef>
          </c:yVal>
          <c:smooth val="0"/>
          <c:extLst>
            <c:ext xmlns:c16="http://schemas.microsoft.com/office/drawing/2014/chart" uri="{C3380CC4-5D6E-409C-BE32-E72D297353CC}">
              <c16:uniqueId val="{00000000-348A-439B-8741-28CDE1D8BA13}"/>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main!$AB$31:$AB$51</c:f>
              <c:numCache>
                <c:formatCode>General</c:formatCode>
                <c:ptCount val="21"/>
                <c:pt idx="0">
                  <c:v>6.2644264321701808</c:v>
                </c:pt>
                <c:pt idx="1">
                  <c:v>5.9935820888151392</c:v>
                </c:pt>
                <c:pt idx="2">
                  <c:v>5.099775777298702</c:v>
                </c:pt>
                <c:pt idx="3">
                  <c:v>7.317298668261242</c:v>
                </c:pt>
                <c:pt idx="4">
                  <c:v>9.70295532287669</c:v>
                </c:pt>
                <c:pt idx="5">
                  <c:v>8.1104690463792934</c:v>
                </c:pt>
                <c:pt idx="6">
                  <c:v>8.0625322500000021</c:v>
                </c:pt>
                <c:pt idx="7">
                  <c:v>4.8121528229478336</c:v>
                </c:pt>
                <c:pt idx="8">
                  <c:v>6.369878975265018</c:v>
                </c:pt>
                <c:pt idx="9">
                  <c:v>5.1565464751486489</c:v>
                </c:pt>
                <c:pt idx="10">
                  <c:v>4.9774126103555245</c:v>
                </c:pt>
                <c:pt idx="11">
                  <c:v>4.4784842696844365</c:v>
                </c:pt>
                <c:pt idx="12">
                  <c:v>3.988528666468568</c:v>
                </c:pt>
                <c:pt idx="13">
                  <c:v>3.1380471593172921</c:v>
                </c:pt>
                <c:pt idx="14">
                  <c:v>4.3831768129147601</c:v>
                </c:pt>
                <c:pt idx="15">
                  <c:v>3.9213613945274872</c:v>
                </c:pt>
                <c:pt idx="16">
                  <c:v>3.8958825459317588</c:v>
                </c:pt>
                <c:pt idx="17">
                  <c:v>3.8027351974390924</c:v>
                </c:pt>
                <c:pt idx="18">
                  <c:v>2.7632717056102476</c:v>
                </c:pt>
                <c:pt idx="19">
                  <c:v>3.6548186050461693</c:v>
                </c:pt>
                <c:pt idx="20">
                  <c:v>2.5850371754915278</c:v>
                </c:pt>
              </c:numCache>
            </c:numRef>
          </c:yVal>
          <c:smooth val="0"/>
          <c:extLst>
            <c:ext xmlns:c16="http://schemas.microsoft.com/office/drawing/2014/chart" uri="{C3380CC4-5D6E-409C-BE32-E72D297353CC}">
              <c16:uniqueId val="{00000001-348A-439B-8741-28CDE1D8BA13}"/>
            </c:ext>
          </c:extLst>
        </c:ser>
        <c:ser>
          <c:idx val="3"/>
          <c:order val="2"/>
          <c:tx>
            <c:v>47_3800</c:v>
          </c:tx>
          <c:spPr>
            <a:ln w="28575">
              <a:noFill/>
            </a:ln>
          </c:spPr>
          <c:marker>
            <c:symbol val="circle"/>
            <c:size val="5"/>
            <c:spPr>
              <a:solidFill>
                <a:srgbClr val="92D050"/>
              </a:solidFill>
              <a:ln>
                <a:no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main!$AB$55:$AB$75</c:f>
              <c:numCache>
                <c:formatCode>General</c:formatCode>
                <c:ptCount val="21"/>
                <c:pt idx="0">
                  <c:v>5.1667728038568033</c:v>
                </c:pt>
                <c:pt idx="1">
                  <c:v>5.6638638636652274</c:v>
                </c:pt>
                <c:pt idx="2">
                  <c:v>4.5255555414250361</c:v>
                </c:pt>
                <c:pt idx="3">
                  <c:v>3.7846157726085918</c:v>
                </c:pt>
                <c:pt idx="4">
                  <c:v>8.6192449095022639</c:v>
                </c:pt>
                <c:pt idx="5">
                  <c:v>8.4156802240685327</c:v>
                </c:pt>
                <c:pt idx="6">
                  <c:v>7.1214219775711172</c:v>
                </c:pt>
                <c:pt idx="7">
                  <c:v>5.3266660496948237</c:v>
                </c:pt>
                <c:pt idx="8">
                  <c:v>5.7845349384794211</c:v>
                </c:pt>
                <c:pt idx="9">
                  <c:v>5.4663861001862966</c:v>
                </c:pt>
                <c:pt idx="10">
                  <c:v>5.4356102358007838</c:v>
                </c:pt>
                <c:pt idx="11">
                  <c:v>4.4600336487826038</c:v>
                </c:pt>
                <c:pt idx="12">
                  <c:v>4.1708679035596736</c:v>
                </c:pt>
                <c:pt idx="13">
                  <c:v>4.5698320920170428</c:v>
                </c:pt>
                <c:pt idx="14">
                  <c:v>5.0643975583864114</c:v>
                </c:pt>
                <c:pt idx="15">
                  <c:v>10.387694920487846</c:v>
                </c:pt>
                <c:pt idx="16">
                  <c:v>8.3547865833080248</c:v>
                </c:pt>
                <c:pt idx="17">
                  <c:v>6.8789247337390655</c:v>
                </c:pt>
                <c:pt idx="18">
                  <c:v>6.0026564819396357</c:v>
                </c:pt>
                <c:pt idx="19">
                  <c:v>5.2626009753707041</c:v>
                </c:pt>
                <c:pt idx="20">
                  <c:v>4.3070993226785186</c:v>
                </c:pt>
              </c:numCache>
            </c:numRef>
          </c:yVal>
          <c:smooth val="0"/>
          <c:extLst>
            <c:ext xmlns:c16="http://schemas.microsoft.com/office/drawing/2014/chart" uri="{C3380CC4-5D6E-409C-BE32-E72D297353CC}">
              <c16:uniqueId val="{00000002-348A-439B-8741-28CDE1D8BA13}"/>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SAZ21 %CaCO3</a:t>
            </a:r>
          </a:p>
        </c:rich>
      </c:tx>
      <c:overlay val="0"/>
      <c:spPr>
        <a:noFill/>
        <a:ln w="25400">
          <a:noFill/>
        </a:ln>
      </c:spPr>
    </c:title>
    <c:autoTitleDeleted val="0"/>
    <c:plotArea>
      <c:layout/>
      <c:scatterChart>
        <c:scatterStyle val="lineMarker"/>
        <c:varyColors val="0"/>
        <c:ser>
          <c:idx val="0"/>
          <c:order val="0"/>
          <c:tx>
            <c:v>47_1000</c:v>
          </c:tx>
          <c:spPr>
            <a:ln w="19050">
              <a:noFill/>
            </a:ln>
          </c:spPr>
          <c:marker>
            <c:symbol val="circle"/>
            <c:size val="5"/>
            <c:spPr>
              <a:solidFill>
                <a:srgbClr val="00B050"/>
              </a:solidFill>
              <a:ln>
                <a:solidFill>
                  <a:srgbClr val="00B050"/>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'PIC data'!$AF$8:$AF$28</c:f>
              <c:numCache>
                <c:formatCode>0.00</c:formatCode>
                <c:ptCount val="21"/>
                <c:pt idx="0">
                  <c:v>59.129763840253617</c:v>
                </c:pt>
                <c:pt idx="1">
                  <c:v>57.583515638982547</c:v>
                </c:pt>
                <c:pt idx="2">
                  <c:v>71.776054170038094</c:v>
                </c:pt>
                <c:pt idx="3">
                  <c:v>54.752876891954458</c:v>
                </c:pt>
                <c:pt idx="4">
                  <c:v>59.05862393790845</c:v>
                </c:pt>
                <c:pt idx="5">
                  <c:v>53.560029468903714</c:v>
                </c:pt>
                <c:pt idx="6">
                  <c:v>54.837901787100641</c:v>
                </c:pt>
                <c:pt idx="7">
                  <c:v>46.766667166115496</c:v>
                </c:pt>
                <c:pt idx="8">
                  <c:v>41.380263512828492</c:v>
                </c:pt>
                <c:pt idx="9">
                  <c:v>58.07429164962403</c:v>
                </c:pt>
                <c:pt idx="10">
                  <c:v>61.74930965606795</c:v>
                </c:pt>
                <c:pt idx="11">
                  <c:v>68.586367428182143</c:v>
                </c:pt>
                <c:pt idx="12">
                  <c:v>73.949080995875718</c:v>
                </c:pt>
                <c:pt idx="13">
                  <c:v>72.135137171254925</c:v>
                </c:pt>
                <c:pt idx="14">
                  <c:v>66.051429418283774</c:v>
                </c:pt>
                <c:pt idx="15">
                  <c:v>49.392042607860581</c:v>
                </c:pt>
                <c:pt idx="16">
                  <c:v>57.31474619803241</c:v>
                </c:pt>
                <c:pt idx="17">
                  <c:v>51.46975723752265</c:v>
                </c:pt>
                <c:pt idx="18">
                  <c:v>57.699537117459684</c:v>
                </c:pt>
                <c:pt idx="19">
                  <c:v>52.406630128377785</c:v>
                </c:pt>
                <c:pt idx="20">
                  <c:v>65.359231399229074</c:v>
                </c:pt>
              </c:numCache>
            </c:numRef>
          </c:yVal>
          <c:smooth val="0"/>
          <c:extLst>
            <c:ext xmlns:c16="http://schemas.microsoft.com/office/drawing/2014/chart" uri="{C3380CC4-5D6E-409C-BE32-E72D297353CC}">
              <c16:uniqueId val="{00000000-7ED1-4695-B89F-6413372D7DE2}"/>
            </c:ext>
          </c:extLst>
        </c:ser>
        <c:ser>
          <c:idx val="1"/>
          <c:order val="1"/>
          <c:tx>
            <c:v>47_2000</c:v>
          </c:tx>
          <c:spPr>
            <a:ln w="19050">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'PIC data'!$AF$29:$AF$49</c:f>
              <c:numCache>
                <c:formatCode>0.00</c:formatCode>
                <c:ptCount val="21"/>
                <c:pt idx="0">
                  <c:v>65.379281650516432</c:v>
                </c:pt>
                <c:pt idx="1">
                  <c:v>64.482712401487859</c:v>
                </c:pt>
                <c:pt idx="2">
                  <c:v>70.547956134967279</c:v>
                </c:pt>
                <c:pt idx="3">
                  <c:v>58.986623827841768</c:v>
                </c:pt>
                <c:pt idx="4">
                  <c:v>55.970229043578925</c:v>
                </c:pt>
                <c:pt idx="5">
                  <c:v>59.738062201019737</c:v>
                </c:pt>
                <c:pt idx="6">
                  <c:v>59.862641912889522</c:v>
                </c:pt>
                <c:pt idx="7">
                  <c:v>61.924951763985788</c:v>
                </c:pt>
                <c:pt idx="8">
                  <c:v>58.525862619899229</c:v>
                </c:pt>
                <c:pt idx="9">
                  <c:v>55.96647736049902</c:v>
                </c:pt>
                <c:pt idx="10">
                  <c:v>61.26420480710317</c:v>
                </c:pt>
                <c:pt idx="11">
                  <c:v>67.949709523039971</c:v>
                </c:pt>
                <c:pt idx="12">
                  <c:v>71.183719741281195</c:v>
                </c:pt>
                <c:pt idx="13">
                  <c:v>69.013458088383175</c:v>
                </c:pt>
                <c:pt idx="14">
                  <c:v>68.207281791119982</c:v>
                </c:pt>
                <c:pt idx="15">
                  <c:v>71.818591868795949</c:v>
                </c:pt>
                <c:pt idx="16">
                  <c:v>71.987999303169346</c:v>
                </c:pt>
                <c:pt idx="17">
                  <c:v>73.445995797693215</c:v>
                </c:pt>
                <c:pt idx="18">
                  <c:v>78.368074419808238</c:v>
                </c:pt>
                <c:pt idx="19">
                  <c:v>75.270877521923367</c:v>
                </c:pt>
                <c:pt idx="20">
                  <c:v>78.604697514320065</c:v>
                </c:pt>
              </c:numCache>
            </c:numRef>
          </c:yVal>
          <c:smooth val="0"/>
          <c:extLst>
            <c:ext xmlns:c16="http://schemas.microsoft.com/office/drawing/2014/chart" uri="{C3380CC4-5D6E-409C-BE32-E72D297353CC}">
              <c16:uniqueId val="{00000001-7ED1-4695-B89F-6413372D7DE2}"/>
            </c:ext>
          </c:extLst>
        </c:ser>
        <c:ser>
          <c:idx val="3"/>
          <c:order val="2"/>
          <c:tx>
            <c:v>47_3800</c:v>
          </c:tx>
          <c:spPr>
            <a:ln w="19050">
              <a:noFill/>
            </a:ln>
          </c:spPr>
          <c:marker>
            <c:symbol val="circle"/>
            <c:size val="5"/>
            <c:spPr>
              <a:solidFill>
                <a:srgbClr val="8064A2"/>
              </a:solidFill>
              <a:ln>
                <a:solidFill>
                  <a:srgbClr val="666699"/>
                </a:solid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'PIC data'!$AF$50:$AF$70</c:f>
              <c:numCache>
                <c:formatCode>0.00</c:formatCode>
                <c:ptCount val="21"/>
                <c:pt idx="0">
                  <c:v>72.64944166251523</c:v>
                </c:pt>
                <c:pt idx="1">
                  <c:v>72.032431590724656</c:v>
                </c:pt>
                <c:pt idx="2">
                  <c:v>76.124759707270599</c:v>
                </c:pt>
                <c:pt idx="3">
                  <c:v>73.099948629324942</c:v>
                </c:pt>
                <c:pt idx="4">
                  <c:v>63.195452270354082</c:v>
                </c:pt>
                <c:pt idx="5">
                  <c:v>65.227069552653404</c:v>
                </c:pt>
                <c:pt idx="6">
                  <c:v>61.959547833500636</c:v>
                </c:pt>
                <c:pt idx="7">
                  <c:v>62.925737029535647</c:v>
                </c:pt>
                <c:pt idx="8">
                  <c:v>65.862724914152167</c:v>
                </c:pt>
                <c:pt idx="9">
                  <c:v>69.471168452753815</c:v>
                </c:pt>
                <c:pt idx="10">
                  <c:v>69.787473625653973</c:v>
                </c:pt>
                <c:pt idx="11">
                  <c:v>74.148657870026213</c:v>
                </c:pt>
                <c:pt idx="12">
                  <c:v>76.352800719828323</c:v>
                </c:pt>
                <c:pt idx="13">
                  <c:v>73.351611540718139</c:v>
                </c:pt>
                <c:pt idx="14">
                  <c:v>73.973918949949208</c:v>
                </c:pt>
                <c:pt idx="15">
                  <c:v>59.6972176372512</c:v>
                </c:pt>
                <c:pt idx="16">
                  <c:v>60.463457194895284</c:v>
                </c:pt>
                <c:pt idx="17">
                  <c:v>63.798144809911996</c:v>
                </c:pt>
                <c:pt idx="18">
                  <c:v>64.333736948139091</c:v>
                </c:pt>
                <c:pt idx="19">
                  <c:v>64.11796304682818</c:v>
                </c:pt>
                <c:pt idx="20">
                  <c:v>63.58933902390369</c:v>
                </c:pt>
              </c:numCache>
            </c:numRef>
          </c:yVal>
          <c:smooth val="0"/>
          <c:extLst>
            <c:ext xmlns:c16="http://schemas.microsoft.com/office/drawing/2014/chart" uri="{C3380CC4-5D6E-409C-BE32-E72D297353CC}">
              <c16:uniqueId val="{00000002-7ED1-4695-B89F-6413372D7DE2}"/>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%CaCO3</a:t>
                </a:r>
              </a:p>
            </c:rich>
          </c:tx>
          <c:overlay val="0"/>
          <c:spPr>
            <a:noFill/>
            <a:ln w="25400">
              <a:noFill/>
            </a:ln>
          </c:spPr>
        </c:title>
        <c:numFmt formatCode="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main!$D$7:$D$27</c:f>
              <c:numCache>
                <c:formatCode>General</c:formatCode>
                <c:ptCount val="21"/>
                <c:pt idx="0">
                  <c:v>8</c:v>
                </c:pt>
                <c:pt idx="1">
                  <c:v>6</c:v>
                </c:pt>
                <c:pt idx="2">
                  <c:v>2</c:v>
                </c:pt>
                <c:pt idx="3">
                  <c:v>10</c:v>
                </c:pt>
                <c:pt idx="4">
                  <c:v>6</c:v>
                </c:pt>
                <c:pt idx="5">
                  <c:v>5</c:v>
                </c:pt>
                <c:pt idx="6">
                  <c:v>5</c:v>
                </c:pt>
                <c:pt idx="7">
                  <c:v>0</c:v>
                </c:pt>
                <c:pt idx="8">
                  <c:v>3</c:v>
                </c:pt>
                <c:pt idx="9">
                  <c:v>3</c:v>
                </c:pt>
                <c:pt idx="10">
                  <c:v>5</c:v>
                </c:pt>
                <c:pt idx="11">
                  <c:v>5</c:v>
                </c:pt>
                <c:pt idx="12">
                  <c:v>15</c:v>
                </c:pt>
                <c:pt idx="13">
                  <c:v>10</c:v>
                </c:pt>
                <c:pt idx="14">
                  <c:v>10</c:v>
                </c:pt>
                <c:pt idx="15">
                  <c:v>4</c:v>
                </c:pt>
                <c:pt idx="16">
                  <c:v>5</c:v>
                </c:pt>
                <c:pt idx="17">
                  <c:v>8</c:v>
                </c:pt>
                <c:pt idx="18">
                  <c:v>10</c:v>
                </c:pt>
                <c:pt idx="19">
                  <c:v>9</c:v>
                </c:pt>
                <c:pt idx="20">
                  <c:v>7</c:v>
                </c:pt>
              </c:numCache>
            </c:numRef>
          </c:yVal>
          <c:smooth val="0"/>
          <c:extLst>
            <c:ext xmlns:c16="http://schemas.microsoft.com/office/drawing/2014/chart" uri="{C3380CC4-5D6E-409C-BE32-E72D297353CC}">
              <c16:uniqueId val="{00000000-F3C7-47CF-9CB0-923D73B966E7}"/>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main!$D$31:$D$51</c:f>
              <c:numCache>
                <c:formatCode>General</c:formatCode>
                <c:ptCount val="21"/>
                <c:pt idx="0">
                  <c:v>8</c:v>
                </c:pt>
                <c:pt idx="1">
                  <c:v>8</c:v>
                </c:pt>
                <c:pt idx="2">
                  <c:v>5</c:v>
                </c:pt>
                <c:pt idx="3">
                  <c:v>12</c:v>
                </c:pt>
                <c:pt idx="4">
                  <c:v>9</c:v>
                </c:pt>
                <c:pt idx="5">
                  <c:v>8</c:v>
                </c:pt>
                <c:pt idx="6">
                  <c:v>5</c:v>
                </c:pt>
                <c:pt idx="7">
                  <c:v>2</c:v>
                </c:pt>
                <c:pt idx="8">
                  <c:v>1</c:v>
                </c:pt>
                <c:pt idx="9">
                  <c:v>1</c:v>
                </c:pt>
                <c:pt idx="10">
                  <c:v>1</c:v>
                </c:pt>
                <c:pt idx="11">
                  <c:v>2</c:v>
                </c:pt>
                <c:pt idx="12">
                  <c:v>30</c:v>
                </c:pt>
                <c:pt idx="13">
                  <c:v>25</c:v>
                </c:pt>
                <c:pt idx="14">
                  <c:v>3</c:v>
                </c:pt>
                <c:pt idx="15">
                  <c:v>1</c:v>
                </c:pt>
                <c:pt idx="16">
                  <c:v>0</c:v>
                </c:pt>
                <c:pt idx="17">
                  <c:v>0</c:v>
                </c:pt>
                <c:pt idx="18">
                  <c:v>0</c:v>
                </c:pt>
                <c:pt idx="19">
                  <c:v>2</c:v>
                </c:pt>
                <c:pt idx="20">
                  <c:v>1</c:v>
                </c:pt>
              </c:numCache>
            </c:numRef>
          </c:yVal>
          <c:smooth val="0"/>
          <c:extLst>
            <c:ext xmlns:c16="http://schemas.microsoft.com/office/drawing/2014/chart" uri="{C3380CC4-5D6E-409C-BE32-E72D297353CC}">
              <c16:uniqueId val="{00000002-F3C7-47CF-9CB0-923D73B966E7}"/>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main!$D$55:$D$75</c:f>
              <c:numCache>
                <c:formatCode>General</c:formatCode>
                <c:ptCount val="21"/>
                <c:pt idx="0">
                  <c:v>5</c:v>
                </c:pt>
                <c:pt idx="1">
                  <c:v>5</c:v>
                </c:pt>
                <c:pt idx="2">
                  <c:v>3</c:v>
                </c:pt>
                <c:pt idx="3">
                  <c:v>4</c:v>
                </c:pt>
                <c:pt idx="4">
                  <c:v>10</c:v>
                </c:pt>
                <c:pt idx="5">
                  <c:v>9</c:v>
                </c:pt>
                <c:pt idx="6">
                  <c:v>5</c:v>
                </c:pt>
                <c:pt idx="7">
                  <c:v>6</c:v>
                </c:pt>
                <c:pt idx="8">
                  <c:v>2</c:v>
                </c:pt>
                <c:pt idx="9">
                  <c:v>2</c:v>
                </c:pt>
                <c:pt idx="10">
                  <c:v>4</c:v>
                </c:pt>
                <c:pt idx="11">
                  <c:v>5</c:v>
                </c:pt>
                <c:pt idx="12">
                  <c:v>5</c:v>
                </c:pt>
                <c:pt idx="13">
                  <c:v>5</c:v>
                </c:pt>
                <c:pt idx="14">
                  <c:v>5</c:v>
                </c:pt>
                <c:pt idx="15">
                  <c:v>50</c:v>
                </c:pt>
                <c:pt idx="16">
                  <c:v>30</c:v>
                </c:pt>
                <c:pt idx="17">
                  <c:v>25</c:v>
                </c:pt>
                <c:pt idx="18">
                  <c:v>20</c:v>
                </c:pt>
                <c:pt idx="19">
                  <c:v>10</c:v>
                </c:pt>
                <c:pt idx="20">
                  <c:v>8</c:v>
                </c:pt>
              </c:numCache>
            </c:numRef>
          </c:yVal>
          <c:smooth val="0"/>
          <c:extLst>
            <c:ext xmlns:c16="http://schemas.microsoft.com/office/drawing/2014/chart" uri="{C3380CC4-5D6E-409C-BE32-E72D297353CC}">
              <c16:uniqueId val="{00000003-F3C7-47CF-9CB0-923D73B966E7}"/>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Height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main!$S$7:$S$27</c:f>
              <c:numCache>
                <c:formatCode>0.00</c:formatCode>
                <c:ptCount val="21"/>
                <c:pt idx="0">
                  <c:v>8.2010000000000005</c:v>
                </c:pt>
                <c:pt idx="1">
                  <c:v>8.3559999999999999</c:v>
                </c:pt>
                <c:pt idx="2">
                  <c:v>8.3520000000000003</c:v>
                </c:pt>
                <c:pt idx="3">
                  <c:v>8.3249999999999993</c:v>
                </c:pt>
                <c:pt idx="4">
                  <c:v>8.343</c:v>
                </c:pt>
                <c:pt idx="5">
                  <c:v>8.52</c:v>
                </c:pt>
                <c:pt idx="6">
                  <c:v>8.4239999999999995</c:v>
                </c:pt>
                <c:pt idx="7">
                  <c:v>8.1969999999999992</c:v>
                </c:pt>
                <c:pt idx="8">
                  <c:v>8.5779999999999994</c:v>
                </c:pt>
                <c:pt idx="9">
                  <c:v>8.5760000000000005</c:v>
                </c:pt>
                <c:pt idx="10">
                  <c:v>8.4469999999999992</c:v>
                </c:pt>
                <c:pt idx="11">
                  <c:v>8.275500000000001</c:v>
                </c:pt>
                <c:pt idx="12">
                  <c:v>8.3469999999999995</c:v>
                </c:pt>
                <c:pt idx="13">
                  <c:v>8.1660000000000004</c:v>
                </c:pt>
                <c:pt idx="14">
                  <c:v>8.4149999999999991</c:v>
                </c:pt>
                <c:pt idx="15">
                  <c:v>8.2210000000000001</c:v>
                </c:pt>
                <c:pt idx="16">
                  <c:v>8.4359999999999999</c:v>
                </c:pt>
                <c:pt idx="17">
                  <c:v>8.3320000000000007</c:v>
                </c:pt>
                <c:pt idx="18">
                  <c:v>8.2759999999999998</c:v>
                </c:pt>
                <c:pt idx="19">
                  <c:v>8.2949999999999999</c:v>
                </c:pt>
                <c:pt idx="20">
                  <c:v>8.1739999999999995</c:v>
                </c:pt>
              </c:numCache>
            </c:numRef>
          </c:yVal>
          <c:smooth val="0"/>
          <c:extLst>
            <c:ext xmlns:c16="http://schemas.microsoft.com/office/drawing/2014/chart" uri="{C3380CC4-5D6E-409C-BE32-E72D297353CC}">
              <c16:uniqueId val="{00000000-DEF6-4B21-80AE-E859B682CB90}"/>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main!$S$31:$S$51</c:f>
              <c:numCache>
                <c:formatCode>0.00</c:formatCode>
                <c:ptCount val="21"/>
                <c:pt idx="0">
                  <c:v>8.59</c:v>
                </c:pt>
                <c:pt idx="1">
                  <c:v>8.4640000000000004</c:v>
                </c:pt>
                <c:pt idx="2">
                  <c:v>8.5419999999999998</c:v>
                </c:pt>
                <c:pt idx="3">
                  <c:v>8.4610000000000003</c:v>
                </c:pt>
                <c:pt idx="4">
                  <c:v>8.5920000000000005</c:v>
                </c:pt>
                <c:pt idx="5">
                  <c:v>8.6199999999999992</c:v>
                </c:pt>
                <c:pt idx="6">
                  <c:v>8.6470000000000002</c:v>
                </c:pt>
                <c:pt idx="7">
                  <c:v>8.5459999999999994</c:v>
                </c:pt>
                <c:pt idx="8">
                  <c:v>8.6379999999999999</c:v>
                </c:pt>
                <c:pt idx="9">
                  <c:v>8.5950000000000006</c:v>
                </c:pt>
                <c:pt idx="10">
                  <c:v>8.4849999999999994</c:v>
                </c:pt>
                <c:pt idx="11">
                  <c:v>8.6095000000000006</c:v>
                </c:pt>
                <c:pt idx="12">
                  <c:v>8.0850000000000009</c:v>
                </c:pt>
                <c:pt idx="13">
                  <c:v>8.4030000000000005</c:v>
                </c:pt>
                <c:pt idx="14">
                  <c:v>8.5139999999999993</c:v>
                </c:pt>
                <c:pt idx="15">
                  <c:v>8.657</c:v>
                </c:pt>
                <c:pt idx="16">
                  <c:v>8.6980000000000004</c:v>
                </c:pt>
                <c:pt idx="17">
                  <c:v>8.6669999999999998</c:v>
                </c:pt>
                <c:pt idx="18">
                  <c:v>8.6869999999999994</c:v>
                </c:pt>
                <c:pt idx="19">
                  <c:v>8.6300000000000008</c:v>
                </c:pt>
                <c:pt idx="20">
                  <c:v>8.6950000000000003</c:v>
                </c:pt>
              </c:numCache>
            </c:numRef>
          </c:yVal>
          <c:smooth val="0"/>
          <c:extLst>
            <c:ext xmlns:c16="http://schemas.microsoft.com/office/drawing/2014/chart" uri="{C3380CC4-5D6E-409C-BE32-E72D297353CC}">
              <c16:uniqueId val="{00000001-DEF6-4B21-80AE-E859B682CB90}"/>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main!$S$55:$S$75</c:f>
              <c:numCache>
                <c:formatCode>0.00</c:formatCode>
                <c:ptCount val="21"/>
                <c:pt idx="0">
                  <c:v>8.5830000000000002</c:v>
                </c:pt>
                <c:pt idx="1">
                  <c:v>8.5850000000000009</c:v>
                </c:pt>
                <c:pt idx="2">
                  <c:v>8.5940000000000012</c:v>
                </c:pt>
                <c:pt idx="3">
                  <c:v>8.5359999999999996</c:v>
                </c:pt>
                <c:pt idx="4">
                  <c:v>8.5649999999999995</c:v>
                </c:pt>
                <c:pt idx="5">
                  <c:v>8.5969999999999995</c:v>
                </c:pt>
                <c:pt idx="6">
                  <c:v>8.5809999999999995</c:v>
                </c:pt>
                <c:pt idx="7">
                  <c:v>8.5589999999999993</c:v>
                </c:pt>
                <c:pt idx="8">
                  <c:v>8.6219999999999999</c:v>
                </c:pt>
                <c:pt idx="9">
                  <c:v>8.64</c:v>
                </c:pt>
                <c:pt idx="10">
                  <c:v>8.6449999999999996</c:v>
                </c:pt>
                <c:pt idx="11">
                  <c:v>8.6240000000000006</c:v>
                </c:pt>
                <c:pt idx="12">
                  <c:v>8.5790000000000006</c:v>
                </c:pt>
                <c:pt idx="13">
                  <c:v>8.5860000000000003</c:v>
                </c:pt>
                <c:pt idx="14">
                  <c:v>8.6010000000000009</c:v>
                </c:pt>
                <c:pt idx="15">
                  <c:v>8.532</c:v>
                </c:pt>
                <c:pt idx="16">
                  <c:v>8.5739999999999998</c:v>
                </c:pt>
                <c:pt idx="17">
                  <c:v>8.5380000000000003</c:v>
                </c:pt>
                <c:pt idx="18">
                  <c:v>8.49</c:v>
                </c:pt>
                <c:pt idx="19">
                  <c:v>8.5730000000000004</c:v>
                </c:pt>
                <c:pt idx="20">
                  <c:v>8.57</c:v>
                </c:pt>
              </c:numCache>
            </c:numRef>
          </c:yVal>
          <c:smooth val="0"/>
          <c:extLst>
            <c:ext xmlns:c16="http://schemas.microsoft.com/office/drawing/2014/chart" uri="{C3380CC4-5D6E-409C-BE32-E72D297353CC}">
              <c16:uniqueId val="{00000002-DEF6-4B21-80AE-E859B682CB90}"/>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pH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main!$R$7:$R$27</c:f>
              <c:numCache>
                <c:formatCode>0.00</c:formatCode>
                <c:ptCount val="21"/>
                <c:pt idx="0">
                  <c:v>39.15</c:v>
                </c:pt>
                <c:pt idx="1">
                  <c:v>39.03</c:v>
                </c:pt>
                <c:pt idx="2">
                  <c:v>37.659999999999997</c:v>
                </c:pt>
                <c:pt idx="3">
                  <c:v>38.39</c:v>
                </c:pt>
                <c:pt idx="4">
                  <c:v>39.22</c:v>
                </c:pt>
                <c:pt idx="5">
                  <c:v>39.24</c:v>
                </c:pt>
                <c:pt idx="6">
                  <c:v>38.200000000000003</c:v>
                </c:pt>
                <c:pt idx="7">
                  <c:v>37.549999999999997</c:v>
                </c:pt>
                <c:pt idx="8">
                  <c:v>39.17</c:v>
                </c:pt>
                <c:pt idx="9">
                  <c:v>39.520000000000003</c:v>
                </c:pt>
                <c:pt idx="10">
                  <c:v>39.520000000000003</c:v>
                </c:pt>
                <c:pt idx="11">
                  <c:v>38.729999999999997</c:v>
                </c:pt>
                <c:pt idx="12">
                  <c:v>39.090000000000003</c:v>
                </c:pt>
                <c:pt idx="13">
                  <c:v>38.979999999999997</c:v>
                </c:pt>
                <c:pt idx="14">
                  <c:v>39.25</c:v>
                </c:pt>
                <c:pt idx="15">
                  <c:v>38.270000000000003</c:v>
                </c:pt>
                <c:pt idx="16">
                  <c:v>38.770000000000003</c:v>
                </c:pt>
                <c:pt idx="17">
                  <c:v>37.840000000000003</c:v>
                </c:pt>
                <c:pt idx="18">
                  <c:v>37.85</c:v>
                </c:pt>
                <c:pt idx="19">
                  <c:v>37.33</c:v>
                </c:pt>
                <c:pt idx="20">
                  <c:v>37.64</c:v>
                </c:pt>
              </c:numCache>
            </c:numRef>
          </c:yVal>
          <c:smooth val="0"/>
          <c:extLst>
            <c:ext xmlns:c16="http://schemas.microsoft.com/office/drawing/2014/chart" uri="{C3380CC4-5D6E-409C-BE32-E72D297353CC}">
              <c16:uniqueId val="{00000000-0263-484D-95D8-F3C722A41288}"/>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main!$R$31:$R$51</c:f>
              <c:numCache>
                <c:formatCode>General</c:formatCode>
                <c:ptCount val="21"/>
                <c:pt idx="0">
                  <c:v>39.31</c:v>
                </c:pt>
                <c:pt idx="1">
                  <c:v>38.46</c:v>
                </c:pt>
                <c:pt idx="2">
                  <c:v>36.72</c:v>
                </c:pt>
                <c:pt idx="3">
                  <c:v>37.83</c:v>
                </c:pt>
                <c:pt idx="4">
                  <c:v>39.18</c:v>
                </c:pt>
                <c:pt idx="5">
                  <c:v>39.04</c:v>
                </c:pt>
                <c:pt idx="6">
                  <c:v>38.479999999999997</c:v>
                </c:pt>
                <c:pt idx="7">
                  <c:v>35.619999999999997</c:v>
                </c:pt>
                <c:pt idx="8">
                  <c:v>37.47</c:v>
                </c:pt>
                <c:pt idx="9">
                  <c:v>37.43</c:v>
                </c:pt>
                <c:pt idx="10">
                  <c:v>37.75</c:v>
                </c:pt>
                <c:pt idx="11">
                  <c:v>37.299999999999997</c:v>
                </c:pt>
                <c:pt idx="12">
                  <c:v>37.86</c:v>
                </c:pt>
                <c:pt idx="13">
                  <c:v>36.950000000000003</c:v>
                </c:pt>
                <c:pt idx="14">
                  <c:v>36.68</c:v>
                </c:pt>
                <c:pt idx="15">
                  <c:v>39.450000000000003</c:v>
                </c:pt>
                <c:pt idx="16">
                  <c:v>39.46</c:v>
                </c:pt>
                <c:pt idx="17">
                  <c:v>39.869999999999997</c:v>
                </c:pt>
                <c:pt idx="18">
                  <c:v>39.83</c:v>
                </c:pt>
                <c:pt idx="19">
                  <c:v>39.26</c:v>
                </c:pt>
                <c:pt idx="20">
                  <c:v>39.520000000000003</c:v>
                </c:pt>
              </c:numCache>
            </c:numRef>
          </c:yVal>
          <c:smooth val="0"/>
          <c:extLst>
            <c:ext xmlns:c16="http://schemas.microsoft.com/office/drawing/2014/chart" uri="{C3380CC4-5D6E-409C-BE32-E72D297353CC}">
              <c16:uniqueId val="{00000001-0263-484D-95D8-F3C722A41288}"/>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main!$R$55:$R$75</c:f>
              <c:numCache>
                <c:formatCode>General</c:formatCode>
                <c:ptCount val="21"/>
                <c:pt idx="0">
                  <c:v>39.840000000000003</c:v>
                </c:pt>
                <c:pt idx="1">
                  <c:v>39.57</c:v>
                </c:pt>
                <c:pt idx="2">
                  <c:v>38.290000000000006</c:v>
                </c:pt>
                <c:pt idx="3">
                  <c:v>38.229999999999997</c:v>
                </c:pt>
                <c:pt idx="4">
                  <c:v>39.08</c:v>
                </c:pt>
                <c:pt idx="5">
                  <c:v>39.630000000000003</c:v>
                </c:pt>
                <c:pt idx="6">
                  <c:v>39.67</c:v>
                </c:pt>
                <c:pt idx="7">
                  <c:v>39.89</c:v>
                </c:pt>
                <c:pt idx="8">
                  <c:v>39.979999999999997</c:v>
                </c:pt>
                <c:pt idx="9">
                  <c:v>40</c:v>
                </c:pt>
                <c:pt idx="10">
                  <c:v>40.15</c:v>
                </c:pt>
                <c:pt idx="11">
                  <c:v>39.935000000000002</c:v>
                </c:pt>
                <c:pt idx="12">
                  <c:v>39.78</c:v>
                </c:pt>
                <c:pt idx="13">
                  <c:v>39.82</c:v>
                </c:pt>
                <c:pt idx="14">
                  <c:v>39.78</c:v>
                </c:pt>
                <c:pt idx="15">
                  <c:v>39.19</c:v>
                </c:pt>
                <c:pt idx="16">
                  <c:v>39.54</c:v>
                </c:pt>
                <c:pt idx="17">
                  <c:v>39.32</c:v>
                </c:pt>
                <c:pt idx="18">
                  <c:v>38.68</c:v>
                </c:pt>
                <c:pt idx="19">
                  <c:v>39.31</c:v>
                </c:pt>
                <c:pt idx="20">
                  <c:v>39.729999999999997</c:v>
                </c:pt>
              </c:numCache>
            </c:numRef>
          </c:yVal>
          <c:smooth val="0"/>
          <c:extLst>
            <c:ext xmlns:c16="http://schemas.microsoft.com/office/drawing/2014/chart" uri="{C3380CC4-5D6E-409C-BE32-E72D297353CC}">
              <c16:uniqueId val="{00000002-0263-484D-95D8-F3C722A41288}"/>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psu salinity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328380928875E-2"/>
          <c:y val="3.329549357292106E-2"/>
          <c:w val="0.86136163016288991"/>
          <c:h val="0.76306192699635322"/>
        </c:manualLayout>
      </c:layout>
      <c:scatterChart>
        <c:scatterStyle val="lineMarker"/>
        <c:varyColors val="0"/>
        <c:ser>
          <c:idx val="0"/>
          <c:order val="0"/>
          <c:tx>
            <c:v>1000m</c:v>
          </c:tx>
          <c:spPr>
            <a:ln w="25400" cap="rnd">
              <a:noFill/>
              <a:round/>
            </a:ln>
            <a:effectLst/>
          </c:spPr>
          <c:marker>
            <c:symbol val="circle"/>
            <c:size val="5"/>
            <c:spPr>
              <a:solidFill>
                <a:schemeClr val="accent1"/>
              </a:solidFill>
              <a:ln w="9525">
                <a:solidFill>
                  <a:schemeClr val="accent1"/>
                </a:solidFill>
              </a:ln>
              <a:effectLst/>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main!$I$7:$I$27</c:f>
              <c:numCache>
                <c:formatCode>0.00</c:formatCode>
                <c:ptCount val="21"/>
                <c:pt idx="0">
                  <c:v>92.332330827067665</c:v>
                </c:pt>
                <c:pt idx="1">
                  <c:v>56.593984962406026</c:v>
                </c:pt>
                <c:pt idx="2">
                  <c:v>24.493233082706762</c:v>
                </c:pt>
                <c:pt idx="3">
                  <c:v>41.993984962406017</c:v>
                </c:pt>
                <c:pt idx="4">
                  <c:v>30.18796992481203</c:v>
                </c:pt>
                <c:pt idx="5">
                  <c:v>34.550375939849623</c:v>
                </c:pt>
                <c:pt idx="6">
                  <c:v>19.279699248120298</c:v>
                </c:pt>
                <c:pt idx="7">
                  <c:v>9.4210526315789469</c:v>
                </c:pt>
                <c:pt idx="8">
                  <c:v>9.3548872180451124</c:v>
                </c:pt>
                <c:pt idx="9">
                  <c:v>18.524812030075189</c:v>
                </c:pt>
                <c:pt idx="10">
                  <c:v>58.41503759398497</c:v>
                </c:pt>
                <c:pt idx="11">
                  <c:v>90.93834586466167</c:v>
                </c:pt>
                <c:pt idx="12">
                  <c:v>220.87067669172933</c:v>
                </c:pt>
                <c:pt idx="13">
                  <c:v>206.19398496240601</c:v>
                </c:pt>
                <c:pt idx="14">
                  <c:v>91.175939849624072</c:v>
                </c:pt>
                <c:pt idx="15">
                  <c:v>41.118796992481201</c:v>
                </c:pt>
                <c:pt idx="16">
                  <c:v>24.657142857142855</c:v>
                </c:pt>
                <c:pt idx="17">
                  <c:v>26.350375939849631</c:v>
                </c:pt>
                <c:pt idx="18">
                  <c:v>34.114285714285714</c:v>
                </c:pt>
                <c:pt idx="19">
                  <c:v>25.099248120300754</c:v>
                </c:pt>
                <c:pt idx="20">
                  <c:v>43.771428571428579</c:v>
                </c:pt>
              </c:numCache>
            </c:numRef>
          </c:yVal>
          <c:smooth val="0"/>
          <c:extLst>
            <c:ext xmlns:c16="http://schemas.microsoft.com/office/drawing/2014/chart" uri="{C3380CC4-5D6E-409C-BE32-E72D297353CC}">
              <c16:uniqueId val="{00000000-B97B-413C-87D9-CDF9D31A9132}"/>
            </c:ext>
          </c:extLst>
        </c:ser>
        <c:ser>
          <c:idx val="1"/>
          <c:order val="1"/>
          <c:tx>
            <c:v>2000m</c:v>
          </c:tx>
          <c:spPr>
            <a:ln w="25400" cap="rnd">
              <a:noFill/>
              <a:round/>
            </a:ln>
            <a:effectLst/>
          </c:spPr>
          <c:marker>
            <c:symbol val="circle"/>
            <c:size val="5"/>
            <c:spPr>
              <a:solidFill>
                <a:schemeClr val="accent2"/>
              </a:solidFill>
              <a:ln w="9525">
                <a:solidFill>
                  <a:schemeClr val="accent2"/>
                </a:solidFill>
              </a:ln>
              <a:effectLst/>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main!$I$31:$I$51</c:f>
              <c:numCache>
                <c:formatCode>0.00</c:formatCode>
                <c:ptCount val="21"/>
                <c:pt idx="0">
                  <c:v>77.547368421052639</c:v>
                </c:pt>
                <c:pt idx="1">
                  <c:v>75.309774436090223</c:v>
                </c:pt>
                <c:pt idx="2">
                  <c:v>50.172932330827066</c:v>
                </c:pt>
                <c:pt idx="3">
                  <c:v>104.11278195488721</c:v>
                </c:pt>
                <c:pt idx="4">
                  <c:v>42.917293233082702</c:v>
                </c:pt>
                <c:pt idx="5">
                  <c:v>44.013533834586461</c:v>
                </c:pt>
                <c:pt idx="6">
                  <c:v>29.222556390977449</c:v>
                </c:pt>
                <c:pt idx="7">
                  <c:v>18.130827067669173</c:v>
                </c:pt>
                <c:pt idx="8">
                  <c:v>15.436090225563909</c:v>
                </c:pt>
                <c:pt idx="9">
                  <c:v>19.968421052631577</c:v>
                </c:pt>
                <c:pt idx="10">
                  <c:v>20.777443609022551</c:v>
                </c:pt>
                <c:pt idx="11">
                  <c:v>37.724812030075185</c:v>
                </c:pt>
                <c:pt idx="12">
                  <c:v>77.863157894736844</c:v>
                </c:pt>
                <c:pt idx="13">
                  <c:v>155.36390977443605</c:v>
                </c:pt>
                <c:pt idx="14">
                  <c:v>87.562406015037581</c:v>
                </c:pt>
                <c:pt idx="15">
                  <c:v>13.181954887218046</c:v>
                </c:pt>
                <c:pt idx="16">
                  <c:v>7.8992481203007507</c:v>
                </c:pt>
                <c:pt idx="17">
                  <c:v>12.190977443609023</c:v>
                </c:pt>
                <c:pt idx="18">
                  <c:v>3.3639097744360895</c:v>
                </c:pt>
                <c:pt idx="19">
                  <c:v>24.711278195488717</c:v>
                </c:pt>
                <c:pt idx="20">
                  <c:v>13.386466165413536</c:v>
                </c:pt>
              </c:numCache>
            </c:numRef>
          </c:yVal>
          <c:smooth val="0"/>
          <c:extLst>
            <c:ext xmlns:c16="http://schemas.microsoft.com/office/drawing/2014/chart" uri="{C3380CC4-5D6E-409C-BE32-E72D297353CC}">
              <c16:uniqueId val="{00000001-B97B-413C-87D9-CDF9D31A9132}"/>
            </c:ext>
          </c:extLst>
        </c:ser>
        <c:ser>
          <c:idx val="2"/>
          <c:order val="2"/>
          <c:tx>
            <c:v>3800m</c:v>
          </c:tx>
          <c:spPr>
            <a:ln w="25400" cap="rnd">
              <a:noFill/>
              <a:round/>
            </a:ln>
            <a:effectLst/>
          </c:spPr>
          <c:marker>
            <c:symbol val="circle"/>
            <c:size val="5"/>
            <c:spPr>
              <a:solidFill>
                <a:schemeClr val="accent3"/>
              </a:solidFill>
              <a:ln w="9525">
                <a:solidFill>
                  <a:schemeClr val="accent3"/>
                </a:solidFill>
              </a:ln>
              <a:effectLst/>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main!$I$55:$I$75</c:f>
              <c:numCache>
                <c:formatCode>0.00</c:formatCode>
                <c:ptCount val="21"/>
                <c:pt idx="0">
                  <c:v>64.633082706766913</c:v>
                </c:pt>
                <c:pt idx="1">
                  <c:v>60.485714285714288</c:v>
                </c:pt>
                <c:pt idx="2">
                  <c:v>48.757894736842104</c:v>
                </c:pt>
                <c:pt idx="3">
                  <c:v>52.306766917293231</c:v>
                </c:pt>
                <c:pt idx="4">
                  <c:v>55.387969924812033</c:v>
                </c:pt>
                <c:pt idx="5">
                  <c:v>53.207518796992474</c:v>
                </c:pt>
                <c:pt idx="6">
                  <c:v>38.479699248120298</c:v>
                </c:pt>
                <c:pt idx="7">
                  <c:v>40.708270676691733</c:v>
                </c:pt>
                <c:pt idx="8">
                  <c:v>34.04661654135338</c:v>
                </c:pt>
                <c:pt idx="9">
                  <c:v>26.849624060150376</c:v>
                </c:pt>
                <c:pt idx="10">
                  <c:v>28.578947368421051</c:v>
                </c:pt>
                <c:pt idx="11">
                  <c:v>51.264661654135331</c:v>
                </c:pt>
                <c:pt idx="12">
                  <c:v>86.329323308270673</c:v>
                </c:pt>
                <c:pt idx="13">
                  <c:v>72.857142857142847</c:v>
                </c:pt>
                <c:pt idx="14">
                  <c:v>67.317293233082708</c:v>
                </c:pt>
                <c:pt idx="15">
                  <c:v>142.16090225563912</c:v>
                </c:pt>
                <c:pt idx="16">
                  <c:v>84.320300751879699</c:v>
                </c:pt>
                <c:pt idx="17">
                  <c:v>68.357894736842113</c:v>
                </c:pt>
                <c:pt idx="18">
                  <c:v>91.541353383458642</c:v>
                </c:pt>
                <c:pt idx="19">
                  <c:v>74.960902255639098</c:v>
                </c:pt>
                <c:pt idx="20">
                  <c:v>44.669172932330831</c:v>
                </c:pt>
              </c:numCache>
            </c:numRef>
          </c:yVal>
          <c:smooth val="0"/>
          <c:extLst>
            <c:ext xmlns:c16="http://schemas.microsoft.com/office/drawing/2014/chart" uri="{C3380CC4-5D6E-409C-BE32-E72D297353CC}">
              <c16:uniqueId val="{00000002-B97B-413C-87D9-CDF9D31A9132}"/>
            </c:ext>
          </c:extLst>
        </c:ser>
        <c:dLbls>
          <c:showLegendKey val="0"/>
          <c:showVal val="0"/>
          <c:showCatName val="0"/>
          <c:showSerName val="0"/>
          <c:showPercent val="0"/>
          <c:showBubbleSize val="0"/>
        </c:dLbls>
        <c:axId val="558992408"/>
        <c:axId val="559004872"/>
      </c:scatterChart>
      <c:valAx>
        <c:axId val="55899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mid</a:t>
                </a:r>
                <a:r>
                  <a:rPr lang="en-AU" baseline="0"/>
                  <a:t> point</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04872"/>
        <c:crosses val="autoZero"/>
        <c:crossBetween val="midCat"/>
      </c:valAx>
      <c:valAx>
        <c:axId val="55900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Mass flux [mg m-2</a:t>
                </a:r>
                <a:r>
                  <a:rPr lang="en-AU" b="1" baseline="0"/>
                  <a:t> d-1]</a:t>
                </a:r>
                <a:endParaRPr lang="en-AU"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2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SAZ21 %BSi</a:t>
            </a:r>
          </a:p>
        </c:rich>
      </c:tx>
      <c:overlay val="0"/>
      <c:spPr>
        <a:noFill/>
        <a:ln w="25400">
          <a:noFill/>
        </a:ln>
      </c:spPr>
    </c:title>
    <c:autoTitleDeleted val="0"/>
    <c:plotArea>
      <c:layout/>
      <c:scatterChart>
        <c:scatterStyle val="lineMarker"/>
        <c:varyColors val="0"/>
        <c:ser>
          <c:idx val="0"/>
          <c:order val="0"/>
          <c:tx>
            <c:v>47_1000</c:v>
          </c:tx>
          <c:spPr>
            <a:ln w="28575">
              <a:noFill/>
            </a:ln>
          </c:spPr>
          <c:marker>
            <c:symbol val="circle"/>
            <c:size val="5"/>
            <c:spPr>
              <a:solidFill>
                <a:srgbClr val="4F81BD"/>
              </a:solidFill>
              <a:ln>
                <a:solidFill>
                  <a:srgbClr val="666699"/>
                </a:solidFill>
                <a:prstDash val="solid"/>
              </a:ln>
            </c:spPr>
          </c:marker>
          <c:xVal>
            <c:numRef>
              <c:f>main!$V$7:$V$27</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main!$AB$7:$AB$27</c:f>
              <c:numCache>
                <c:formatCode>General</c:formatCode>
                <c:ptCount val="21"/>
                <c:pt idx="0">
                  <c:v>5.664912004871427</c:v>
                </c:pt>
                <c:pt idx="1">
                  <c:v>6.7708039015226298</c:v>
                </c:pt>
                <c:pt idx="2">
                  <c:v>2.4583744291810152</c:v>
                </c:pt>
                <c:pt idx="3">
                  <c:v>7.6747303186504228</c:v>
                </c:pt>
                <c:pt idx="4">
                  <c:v>5.9290617535420971</c:v>
                </c:pt>
                <c:pt idx="5">
                  <c:v>7.242673023264584</c:v>
                </c:pt>
                <c:pt idx="6">
                  <c:v>4.5906897305674033</c:v>
                </c:pt>
                <c:pt idx="7">
                  <c:v>0.79303484245507505</c:v>
                </c:pt>
                <c:pt idx="8">
                  <c:v>3.6381105650844869</c:v>
                </c:pt>
                <c:pt idx="9">
                  <c:v>5.7476750669045495</c:v>
                </c:pt>
                <c:pt idx="10">
                  <c:v>5.12804146556525</c:v>
                </c:pt>
                <c:pt idx="11">
                  <c:v>3.8631501693818517</c:v>
                </c:pt>
                <c:pt idx="12">
                  <c:v>4.2807181844419544</c:v>
                </c:pt>
                <c:pt idx="13">
                  <c:v>5.288354221217431</c:v>
                </c:pt>
                <c:pt idx="14">
                  <c:v>7.6518266658560306</c:v>
                </c:pt>
                <c:pt idx="15">
                  <c:v>3.9140199454516917</c:v>
                </c:pt>
                <c:pt idx="16">
                  <c:v>2.4305946955235274</c:v>
                </c:pt>
                <c:pt idx="17">
                  <c:v>2.3985475407432224</c:v>
                </c:pt>
                <c:pt idx="18">
                  <c:v>1.5691584583196199</c:v>
                </c:pt>
                <c:pt idx="19">
                  <c:v>0.75516641537555029</c:v>
                </c:pt>
                <c:pt idx="20">
                  <c:v>1.020350993602831</c:v>
                </c:pt>
              </c:numCache>
            </c:numRef>
          </c:yVal>
          <c:smooth val="0"/>
          <c:extLst>
            <c:ext xmlns:c16="http://schemas.microsoft.com/office/drawing/2014/chart" uri="{C3380CC4-5D6E-409C-BE32-E72D297353CC}">
              <c16:uniqueId val="{00000000-23A6-47D2-B623-8EF44EB40AA5}"/>
            </c:ext>
          </c:extLst>
        </c:ser>
        <c:ser>
          <c:idx val="1"/>
          <c:order val="1"/>
          <c:tx>
            <c:v>47_2000</c:v>
          </c:tx>
          <c:spPr>
            <a:ln w="28575">
              <a:noFill/>
            </a:ln>
          </c:spPr>
          <c:marker>
            <c:symbol val="circle"/>
            <c:size val="5"/>
            <c:spPr>
              <a:solidFill>
                <a:srgbClr val="C0504D"/>
              </a:solidFill>
              <a:ln>
                <a:solidFill>
                  <a:srgbClr val="993366"/>
                </a:solidFill>
                <a:prstDash val="solid"/>
              </a:ln>
            </c:spPr>
          </c:marker>
          <c:xVal>
            <c:numRef>
              <c:f>main!$V$31:$V$51</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main!$AB$31:$AB$51</c:f>
              <c:numCache>
                <c:formatCode>General</c:formatCode>
                <c:ptCount val="21"/>
                <c:pt idx="0">
                  <c:v>6.2644264321701808</c:v>
                </c:pt>
                <c:pt idx="1">
                  <c:v>5.9935820888151392</c:v>
                </c:pt>
                <c:pt idx="2">
                  <c:v>5.099775777298702</c:v>
                </c:pt>
                <c:pt idx="3">
                  <c:v>7.317298668261242</c:v>
                </c:pt>
                <c:pt idx="4">
                  <c:v>9.70295532287669</c:v>
                </c:pt>
                <c:pt idx="5">
                  <c:v>8.1104690463792934</c:v>
                </c:pt>
                <c:pt idx="6">
                  <c:v>8.0625322500000021</c:v>
                </c:pt>
                <c:pt idx="7">
                  <c:v>4.8121528229478336</c:v>
                </c:pt>
                <c:pt idx="8">
                  <c:v>6.369878975265018</c:v>
                </c:pt>
                <c:pt idx="9">
                  <c:v>5.1565464751486489</c:v>
                </c:pt>
                <c:pt idx="10">
                  <c:v>4.9774126103555245</c:v>
                </c:pt>
                <c:pt idx="11">
                  <c:v>4.4784842696844365</c:v>
                </c:pt>
                <c:pt idx="12">
                  <c:v>3.988528666468568</c:v>
                </c:pt>
                <c:pt idx="13">
                  <c:v>3.1380471593172921</c:v>
                </c:pt>
                <c:pt idx="14">
                  <c:v>4.3831768129147601</c:v>
                </c:pt>
                <c:pt idx="15">
                  <c:v>3.9213613945274872</c:v>
                </c:pt>
                <c:pt idx="16">
                  <c:v>3.8958825459317588</c:v>
                </c:pt>
                <c:pt idx="17">
                  <c:v>3.8027351974390924</c:v>
                </c:pt>
                <c:pt idx="18">
                  <c:v>2.7632717056102476</c:v>
                </c:pt>
                <c:pt idx="19">
                  <c:v>3.6548186050461693</c:v>
                </c:pt>
                <c:pt idx="20">
                  <c:v>2.5850371754915278</c:v>
                </c:pt>
              </c:numCache>
            </c:numRef>
          </c:yVal>
          <c:smooth val="0"/>
          <c:extLst>
            <c:ext xmlns:c16="http://schemas.microsoft.com/office/drawing/2014/chart" uri="{C3380CC4-5D6E-409C-BE32-E72D297353CC}">
              <c16:uniqueId val="{00000001-23A6-47D2-B623-8EF44EB40AA5}"/>
            </c:ext>
          </c:extLst>
        </c:ser>
        <c:ser>
          <c:idx val="3"/>
          <c:order val="2"/>
          <c:tx>
            <c:v>47_3800</c:v>
          </c:tx>
          <c:spPr>
            <a:ln w="28575">
              <a:noFill/>
            </a:ln>
          </c:spPr>
          <c:marker>
            <c:symbol val="circle"/>
            <c:size val="5"/>
            <c:spPr>
              <a:solidFill>
                <a:srgbClr val="92D050"/>
              </a:solidFill>
              <a:ln>
                <a:noFill/>
                <a:prstDash val="solid"/>
              </a:ln>
            </c:spPr>
          </c:marker>
          <c:xVal>
            <c:numRef>
              <c:f>main!$V$55:$V$75</c:f>
              <c:numCache>
                <c:formatCode>m/d/yyyy</c:formatCode>
                <c:ptCount val="21"/>
                <c:pt idx="0">
                  <c:v>43559.5</c:v>
                </c:pt>
                <c:pt idx="1">
                  <c:v>43578.5</c:v>
                </c:pt>
                <c:pt idx="2">
                  <c:v>43597.5</c:v>
                </c:pt>
                <c:pt idx="3">
                  <c:v>43616.5</c:v>
                </c:pt>
                <c:pt idx="4">
                  <c:v>43635.5</c:v>
                </c:pt>
                <c:pt idx="5">
                  <c:v>43654.5</c:v>
                </c:pt>
                <c:pt idx="6">
                  <c:v>43673.5</c:v>
                </c:pt>
                <c:pt idx="7">
                  <c:v>43692.5</c:v>
                </c:pt>
                <c:pt idx="8">
                  <c:v>43711.5</c:v>
                </c:pt>
                <c:pt idx="9">
                  <c:v>43730.5</c:v>
                </c:pt>
                <c:pt idx="10">
                  <c:v>43749.5</c:v>
                </c:pt>
                <c:pt idx="11">
                  <c:v>43768.5</c:v>
                </c:pt>
                <c:pt idx="12">
                  <c:v>43787.5</c:v>
                </c:pt>
                <c:pt idx="13">
                  <c:v>43806.5</c:v>
                </c:pt>
                <c:pt idx="14">
                  <c:v>43825.5</c:v>
                </c:pt>
                <c:pt idx="15">
                  <c:v>43844.5</c:v>
                </c:pt>
                <c:pt idx="16">
                  <c:v>43863.5</c:v>
                </c:pt>
                <c:pt idx="17">
                  <c:v>43882.5</c:v>
                </c:pt>
                <c:pt idx="18">
                  <c:v>43901.5</c:v>
                </c:pt>
                <c:pt idx="19">
                  <c:v>43920.5</c:v>
                </c:pt>
                <c:pt idx="20">
                  <c:v>43939.5</c:v>
                </c:pt>
              </c:numCache>
            </c:numRef>
          </c:xVal>
          <c:yVal>
            <c:numRef>
              <c:f>main!$AB$55:$AB$75</c:f>
              <c:numCache>
                <c:formatCode>General</c:formatCode>
                <c:ptCount val="21"/>
                <c:pt idx="0">
                  <c:v>5.1667728038568033</c:v>
                </c:pt>
                <c:pt idx="1">
                  <c:v>5.6638638636652274</c:v>
                </c:pt>
                <c:pt idx="2">
                  <c:v>4.5255555414250361</c:v>
                </c:pt>
                <c:pt idx="3">
                  <c:v>3.7846157726085918</c:v>
                </c:pt>
                <c:pt idx="4">
                  <c:v>8.6192449095022639</c:v>
                </c:pt>
                <c:pt idx="5">
                  <c:v>8.4156802240685327</c:v>
                </c:pt>
                <c:pt idx="6">
                  <c:v>7.1214219775711172</c:v>
                </c:pt>
                <c:pt idx="7">
                  <c:v>5.3266660496948237</c:v>
                </c:pt>
                <c:pt idx="8">
                  <c:v>5.7845349384794211</c:v>
                </c:pt>
                <c:pt idx="9">
                  <c:v>5.4663861001862966</c:v>
                </c:pt>
                <c:pt idx="10">
                  <c:v>5.4356102358007838</c:v>
                </c:pt>
                <c:pt idx="11">
                  <c:v>4.4600336487826038</c:v>
                </c:pt>
                <c:pt idx="12">
                  <c:v>4.1708679035596736</c:v>
                </c:pt>
                <c:pt idx="13">
                  <c:v>4.5698320920170428</c:v>
                </c:pt>
                <c:pt idx="14">
                  <c:v>5.0643975583864114</c:v>
                </c:pt>
                <c:pt idx="15">
                  <c:v>10.387694920487846</c:v>
                </c:pt>
                <c:pt idx="16">
                  <c:v>8.3547865833080248</c:v>
                </c:pt>
                <c:pt idx="17">
                  <c:v>6.8789247337390655</c:v>
                </c:pt>
                <c:pt idx="18">
                  <c:v>6.0026564819396357</c:v>
                </c:pt>
                <c:pt idx="19">
                  <c:v>5.2626009753707041</c:v>
                </c:pt>
                <c:pt idx="20">
                  <c:v>4.3070993226785186</c:v>
                </c:pt>
              </c:numCache>
            </c:numRef>
          </c:yVal>
          <c:smooth val="0"/>
          <c:extLst>
            <c:ext xmlns:c16="http://schemas.microsoft.com/office/drawing/2014/chart" uri="{C3380CC4-5D6E-409C-BE32-E72D297353CC}">
              <c16:uniqueId val="{00000002-23A6-47D2-B623-8EF44EB40AA5}"/>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m/d/yy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ustomXml" Target="../ink/ink1.xml"/><Relationship Id="rId7" Type="http://schemas.openxmlformats.org/officeDocument/2006/relationships/customXml" Target="../ink/ink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ustomXml" Target="../ink/ink2.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ustomXml" Target="../ink/ink5.xml"/><Relationship Id="rId3" Type="http://schemas.openxmlformats.org/officeDocument/2006/relationships/chart" Target="../charts/chart7.xml"/><Relationship Id="rId7"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ustomXml" Target="../ink/ink4.xml"/><Relationship Id="rId11" Type="http://schemas.openxmlformats.org/officeDocument/2006/relationships/chart" Target="../charts/chart11.xml"/><Relationship Id="rId5" Type="http://schemas.openxmlformats.org/officeDocument/2006/relationships/chart" Target="../charts/chart9.xml"/><Relationship Id="rId10" Type="http://schemas.openxmlformats.org/officeDocument/2006/relationships/chart" Target="../charts/chart10.xml"/><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16</xdr:col>
      <xdr:colOff>0</xdr:colOff>
      <xdr:row>4</xdr:row>
      <xdr:rowOff>0</xdr:rowOff>
    </xdr:from>
    <xdr:to>
      <xdr:col>27</xdr:col>
      <xdr:colOff>280988</xdr:colOff>
      <xdr:row>23</xdr:row>
      <xdr:rowOff>14287</xdr:rowOff>
    </xdr:to>
    <xdr:graphicFrame macro="">
      <xdr:nvGraphicFramePr>
        <xdr:cNvPr id="2" name="Chart 1">
          <a:extLst>
            <a:ext uri="{FF2B5EF4-FFF2-40B4-BE49-F238E27FC236}">
              <a16:creationId xmlns:a16="http://schemas.microsoft.com/office/drawing/2014/main" id="{06BB800B-A3CF-4CD5-8986-7147C6EED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24</xdr:row>
      <xdr:rowOff>0</xdr:rowOff>
    </xdr:from>
    <xdr:to>
      <xdr:col>27</xdr:col>
      <xdr:colOff>280988</xdr:colOff>
      <xdr:row>43</xdr:row>
      <xdr:rowOff>4762</xdr:rowOff>
    </xdr:to>
    <xdr:graphicFrame macro="">
      <xdr:nvGraphicFramePr>
        <xdr:cNvPr id="3" name="Chart 2">
          <a:extLst>
            <a:ext uri="{FF2B5EF4-FFF2-40B4-BE49-F238E27FC236}">
              <a16:creationId xmlns:a16="http://schemas.microsoft.com/office/drawing/2014/main" id="{19DE0A6A-0F41-4C4B-ACBF-7EA6F1BA3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284943</xdr:colOff>
      <xdr:row>7</xdr:row>
      <xdr:rowOff>79932</xdr:rowOff>
    </xdr:from>
    <xdr:to>
      <xdr:col>20</xdr:col>
      <xdr:colOff>603322</xdr:colOff>
      <xdr:row>8</xdr:row>
      <xdr:rowOff>178252</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Ink 3">
              <a:extLst>
                <a:ext uri="{FF2B5EF4-FFF2-40B4-BE49-F238E27FC236}">
                  <a16:creationId xmlns:a16="http://schemas.microsoft.com/office/drawing/2014/main" id="{15FA6522-FBA7-455B-8E1B-B9C37B54A185}"/>
                </a:ext>
              </a:extLst>
            </xdr14:cNvPr>
            <xdr14:cNvContentPartPr/>
          </xdr14:nvContentPartPr>
          <xdr14:nvPr macro=""/>
          <xdr14:xfrm>
            <a:off x="12607912" y="1425338"/>
            <a:ext cx="318379" cy="288820"/>
          </xdr14:xfrm>
        </xdr:contentPart>
      </mc:Choice>
      <mc:Fallback xmlns="">
        <xdr:pic>
          <xdr:nvPicPr>
            <xdr:cNvPr id="4" name="Ink 3">
              <a:extLst>
                <a:ext uri="{FF2B5EF4-FFF2-40B4-BE49-F238E27FC236}">
                  <a16:creationId xmlns:a16="http://schemas.microsoft.com/office/drawing/2014/main" id="{15FA6522-FBA7-455B-8E1B-B9C37B54A185}"/>
                </a:ext>
              </a:extLst>
            </xdr:cNvPr>
            <xdr:cNvPicPr/>
          </xdr:nvPicPr>
          <xdr:blipFill>
            <a:blip xmlns:r="http://schemas.openxmlformats.org/officeDocument/2006/relationships" r:embed="rId4"/>
            <a:stretch>
              <a:fillRect/>
            </a:stretch>
          </xdr:blipFill>
          <xdr:spPr>
            <a:xfrm>
              <a:off x="12372260" y="1444120"/>
              <a:ext cx="338400" cy="293760"/>
            </a:xfrm>
            <a:prstGeom prst="rect">
              <a:avLst/>
            </a:prstGeom>
          </xdr:spPr>
        </xdr:pic>
      </mc:Fallback>
    </mc:AlternateContent>
    <xdr:clientData/>
  </xdr:twoCellAnchor>
  <xdr:twoCellAnchor editAs="oneCell">
    <xdr:from>
      <xdr:col>21</xdr:col>
      <xdr:colOff>1350296</xdr:colOff>
      <xdr:row>10</xdr:row>
      <xdr:rowOff>107266</xdr:rowOff>
    </xdr:from>
    <xdr:to>
      <xdr:col>22</xdr:col>
      <xdr:colOff>208702</xdr:colOff>
      <xdr:row>11</xdr:row>
      <xdr:rowOff>159276</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D6D7561F-A51E-47D4-9E19-29CE4FBD63E2}"/>
                </a:ext>
              </a:extLst>
            </xdr14:cNvPr>
            <xdr14:cNvContentPartPr/>
          </xdr14:nvContentPartPr>
          <xdr14:nvPr macro=""/>
          <xdr14:xfrm>
            <a:off x="14363827" y="2024172"/>
            <a:ext cx="406219" cy="242510"/>
          </xdr14:xfrm>
        </xdr:contentPart>
      </mc:Choice>
      <mc:Fallback xmlns="">
        <xdr:pic>
          <xdr:nvPicPr>
            <xdr:cNvPr id="5" name="Ink 4">
              <a:extLst>
                <a:ext uri="{FF2B5EF4-FFF2-40B4-BE49-F238E27FC236}">
                  <a16:creationId xmlns:a16="http://schemas.microsoft.com/office/drawing/2014/main" id="{D6D7561F-A51E-47D4-9E19-29CE4FBD63E2}"/>
                </a:ext>
              </a:extLst>
            </xdr:cNvPr>
            <xdr:cNvPicPr/>
          </xdr:nvPicPr>
          <xdr:blipFill>
            <a:blip xmlns:r="http://schemas.openxmlformats.org/officeDocument/2006/relationships" r:embed="rId6"/>
            <a:stretch>
              <a:fillRect/>
            </a:stretch>
          </xdr:blipFill>
          <xdr:spPr>
            <a:xfrm>
              <a:off x="13909100" y="1940560"/>
              <a:ext cx="426240" cy="253800"/>
            </a:xfrm>
            <a:prstGeom prst="rect">
              <a:avLst/>
            </a:prstGeom>
          </xdr:spPr>
        </xdr:pic>
      </mc:Fallback>
    </mc:AlternateContent>
    <xdr:clientData/>
  </xdr:twoCellAnchor>
  <xdr:twoCellAnchor editAs="oneCell">
    <xdr:from>
      <xdr:col>14</xdr:col>
      <xdr:colOff>590400</xdr:colOff>
      <xdr:row>11</xdr:row>
      <xdr:rowOff>165010</xdr:rowOff>
    </xdr:from>
    <xdr:to>
      <xdr:col>14</xdr:col>
      <xdr:colOff>590760</xdr:colOff>
      <xdr:row>11</xdr:row>
      <xdr:rowOff>165370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5">
              <a:extLst>
                <a:ext uri="{FF2B5EF4-FFF2-40B4-BE49-F238E27FC236}">
                  <a16:creationId xmlns:a16="http://schemas.microsoft.com/office/drawing/2014/main" id="{CDCF9F43-6CEE-483D-99CD-C076324AAC37}"/>
                </a:ext>
              </a:extLst>
            </xdr14:cNvPr>
            <xdr14:cNvContentPartPr/>
          </xdr14:nvContentPartPr>
          <xdr14:nvPr macro=""/>
          <xdr14:xfrm>
            <a:off x="9340700" y="2203360"/>
            <a:ext cx="360" cy="360"/>
          </xdr14:xfrm>
        </xdr:contentPart>
      </mc:Choice>
      <mc:Fallback xmlns="">
        <xdr:pic>
          <xdr:nvPicPr>
            <xdr:cNvPr id="6" name="Ink 5">
              <a:extLst>
                <a:ext uri="{FF2B5EF4-FFF2-40B4-BE49-F238E27FC236}">
                  <a16:creationId xmlns:a16="http://schemas.microsoft.com/office/drawing/2014/main" id="{CDCF9F43-6CEE-483D-99CD-C076324AAC37}"/>
                </a:ext>
              </a:extLst>
            </xdr:cNvPr>
            <xdr:cNvPicPr/>
          </xdr:nvPicPr>
          <xdr:blipFill>
            <a:blip xmlns:r="http://schemas.openxmlformats.org/officeDocument/2006/relationships" r:embed="rId8"/>
            <a:stretch>
              <a:fillRect/>
            </a:stretch>
          </xdr:blipFill>
          <xdr:spPr>
            <a:xfrm>
              <a:off x="9331700" y="219436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12</xdr:row>
      <xdr:rowOff>0</xdr:rowOff>
    </xdr:from>
    <xdr:to>
      <xdr:col>35</xdr:col>
      <xdr:colOff>80962</xdr:colOff>
      <xdr:row>34</xdr:row>
      <xdr:rowOff>26987</xdr:rowOff>
    </xdr:to>
    <xdr:graphicFrame macro="">
      <xdr:nvGraphicFramePr>
        <xdr:cNvPr id="2" name="Chart 1">
          <a:extLst>
            <a:ext uri="{FF2B5EF4-FFF2-40B4-BE49-F238E27FC236}">
              <a16:creationId xmlns:a16="http://schemas.microsoft.com/office/drawing/2014/main" id="{7690E8F8-BB5E-413C-906E-AB955E0FC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95250</xdr:colOff>
      <xdr:row>11</xdr:row>
      <xdr:rowOff>76200</xdr:rowOff>
    </xdr:from>
    <xdr:to>
      <xdr:col>51</xdr:col>
      <xdr:colOff>234074</xdr:colOff>
      <xdr:row>32</xdr:row>
      <xdr:rowOff>99630</xdr:rowOff>
    </xdr:to>
    <xdr:graphicFrame macro="">
      <xdr:nvGraphicFramePr>
        <xdr:cNvPr id="2" name="Chart 1">
          <a:extLst>
            <a:ext uri="{FF2B5EF4-FFF2-40B4-BE49-F238E27FC236}">
              <a16:creationId xmlns:a16="http://schemas.microsoft.com/office/drawing/2014/main" id="{BD0D061F-4BB0-45E7-A635-2902C5A0E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161924</xdr:colOff>
      <xdr:row>0</xdr:row>
      <xdr:rowOff>119061</xdr:rowOff>
    </xdr:from>
    <xdr:to>
      <xdr:col>13</xdr:col>
      <xdr:colOff>0</xdr:colOff>
      <xdr:row>25</xdr:row>
      <xdr:rowOff>0</xdr:rowOff>
    </xdr:to>
    <xdr:graphicFrame macro="">
      <xdr:nvGraphicFramePr>
        <xdr:cNvPr id="2" name="Chart 1">
          <a:extLst>
            <a:ext uri="{FF2B5EF4-FFF2-40B4-BE49-F238E27FC236}">
              <a16:creationId xmlns:a16="http://schemas.microsoft.com/office/drawing/2014/main" id="{00EFAF3A-A5BA-46B2-ADA7-A54B9E788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xdr:row>
      <xdr:rowOff>0</xdr:rowOff>
    </xdr:from>
    <xdr:to>
      <xdr:col>26</xdr:col>
      <xdr:colOff>447676</xdr:colOff>
      <xdr:row>25</xdr:row>
      <xdr:rowOff>71439</xdr:rowOff>
    </xdr:to>
    <xdr:graphicFrame macro="">
      <xdr:nvGraphicFramePr>
        <xdr:cNvPr id="3" name="Chart 2">
          <a:extLst>
            <a:ext uri="{FF2B5EF4-FFF2-40B4-BE49-F238E27FC236}">
              <a16:creationId xmlns:a16="http://schemas.microsoft.com/office/drawing/2014/main" id="{92A5BAB0-4B33-4CC2-8055-03A2AEF95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26</xdr:row>
      <xdr:rowOff>0</xdr:rowOff>
    </xdr:from>
    <xdr:to>
      <xdr:col>26</xdr:col>
      <xdr:colOff>447676</xdr:colOff>
      <xdr:row>50</xdr:row>
      <xdr:rowOff>71439</xdr:rowOff>
    </xdr:to>
    <xdr:graphicFrame macro="">
      <xdr:nvGraphicFramePr>
        <xdr:cNvPr id="4" name="Chart 3">
          <a:extLst>
            <a:ext uri="{FF2B5EF4-FFF2-40B4-BE49-F238E27FC236}">
              <a16:creationId xmlns:a16="http://schemas.microsoft.com/office/drawing/2014/main" id="{A85F29A2-2E1E-4A7A-8838-6C7829D4A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0</xdr:rowOff>
    </xdr:from>
    <xdr:to>
      <xdr:col>12</xdr:col>
      <xdr:colOff>447676</xdr:colOff>
      <xdr:row>50</xdr:row>
      <xdr:rowOff>71439</xdr:rowOff>
    </xdr:to>
    <xdr:graphicFrame macro="">
      <xdr:nvGraphicFramePr>
        <xdr:cNvPr id="5" name="Chart 4">
          <a:extLst>
            <a:ext uri="{FF2B5EF4-FFF2-40B4-BE49-F238E27FC236}">
              <a16:creationId xmlns:a16="http://schemas.microsoft.com/office/drawing/2014/main" id="{AA8D6F41-2331-4B03-9BB9-080323BAA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51</xdr:row>
      <xdr:rowOff>0</xdr:rowOff>
    </xdr:from>
    <xdr:to>
      <xdr:col>13</xdr:col>
      <xdr:colOff>125186</xdr:colOff>
      <xdr:row>73</xdr:row>
      <xdr:rowOff>91621</xdr:rowOff>
    </xdr:to>
    <xdr:graphicFrame macro="">
      <xdr:nvGraphicFramePr>
        <xdr:cNvPr id="6" name="Chart 5">
          <a:extLst>
            <a:ext uri="{FF2B5EF4-FFF2-40B4-BE49-F238E27FC236}">
              <a16:creationId xmlns:a16="http://schemas.microsoft.com/office/drawing/2014/main" id="{E5E53461-919D-42DA-982B-FA74A351F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487526</xdr:colOff>
      <xdr:row>27</xdr:row>
      <xdr:rowOff>124595</xdr:rowOff>
    </xdr:from>
    <xdr:to>
      <xdr:col>8</xdr:col>
      <xdr:colOff>119754</xdr:colOff>
      <xdr:row>30</xdr:row>
      <xdr:rowOff>144789</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7" name="Ink 6">
              <a:extLst>
                <a:ext uri="{FF2B5EF4-FFF2-40B4-BE49-F238E27FC236}">
                  <a16:creationId xmlns:a16="http://schemas.microsoft.com/office/drawing/2014/main" id="{FDAAFB1C-7336-434E-BA40-3CD5FF70D1DC}"/>
                </a:ext>
              </a:extLst>
            </xdr14:cNvPr>
            <xdr14:cNvContentPartPr/>
          </xdr14:nvContentPartPr>
          <xdr14:nvPr macro=""/>
          <xdr14:xfrm>
            <a:off x="4134240" y="5023166"/>
            <a:ext cx="847800" cy="564480"/>
          </xdr14:xfrm>
        </xdr:contentPart>
      </mc:Choice>
      <mc:Fallback xmlns="">
        <xdr:pic>
          <xdr:nvPicPr>
            <xdr:cNvPr id="7" name="Ink 6">
              <a:extLst>
                <a:ext uri="{FF2B5EF4-FFF2-40B4-BE49-F238E27FC236}">
                  <a16:creationId xmlns:a16="http://schemas.microsoft.com/office/drawing/2014/main" id="{FDAAFB1C-7336-434E-BA40-3CD5FF70D1DC}"/>
                </a:ext>
              </a:extLst>
            </xdr:cNvPr>
            <xdr:cNvPicPr/>
          </xdr:nvPicPr>
          <xdr:blipFill>
            <a:blip xmlns:r="http://schemas.openxmlformats.org/officeDocument/2006/relationships" r:embed="rId7"/>
            <a:stretch>
              <a:fillRect/>
            </a:stretch>
          </xdr:blipFill>
          <xdr:spPr>
            <a:xfrm>
              <a:off x="4125240" y="5014526"/>
              <a:ext cx="865440" cy="582120"/>
            </a:xfrm>
            <a:prstGeom prst="rect">
              <a:avLst/>
            </a:prstGeom>
          </xdr:spPr>
        </xdr:pic>
      </mc:Fallback>
    </mc:AlternateContent>
    <xdr:clientData/>
  </xdr:twoCellAnchor>
  <xdr:twoCellAnchor editAs="oneCell">
    <xdr:from>
      <xdr:col>3</xdr:col>
      <xdr:colOff>213523</xdr:colOff>
      <xdr:row>36</xdr:row>
      <xdr:rowOff>68468</xdr:rowOff>
    </xdr:from>
    <xdr:to>
      <xdr:col>4</xdr:col>
      <xdr:colOff>1737</xdr:colOff>
      <xdr:row>38</xdr:row>
      <xdr:rowOff>58411</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D9844A71-CD30-4AD4-9A22-EEBAD8E79A15}"/>
                </a:ext>
              </a:extLst>
            </xdr14:cNvPr>
            <xdr14:cNvContentPartPr/>
          </xdr14:nvContentPartPr>
          <xdr14:nvPr macro=""/>
          <xdr14:xfrm>
            <a:off x="2036880" y="6599897"/>
            <a:ext cx="396000" cy="352800"/>
          </xdr14:xfrm>
        </xdr:contentPart>
      </mc:Choice>
      <mc:Fallback xmlns="">
        <xdr:pic>
          <xdr:nvPicPr>
            <xdr:cNvPr id="8" name="Ink 7">
              <a:extLst>
                <a:ext uri="{FF2B5EF4-FFF2-40B4-BE49-F238E27FC236}">
                  <a16:creationId xmlns:a16="http://schemas.microsoft.com/office/drawing/2014/main" id="{D9844A71-CD30-4AD4-9A22-EEBAD8E79A15}"/>
                </a:ext>
              </a:extLst>
            </xdr:cNvPr>
            <xdr:cNvPicPr/>
          </xdr:nvPicPr>
          <xdr:blipFill>
            <a:blip xmlns:r="http://schemas.openxmlformats.org/officeDocument/2006/relationships" r:embed="rId9"/>
            <a:stretch>
              <a:fillRect/>
            </a:stretch>
          </xdr:blipFill>
          <xdr:spPr>
            <a:xfrm>
              <a:off x="2027880" y="6590897"/>
              <a:ext cx="413640" cy="370440"/>
            </a:xfrm>
            <a:prstGeom prst="rect">
              <a:avLst/>
            </a:prstGeom>
          </xdr:spPr>
        </xdr:pic>
      </mc:Fallback>
    </mc:AlternateContent>
    <xdr:clientData/>
  </xdr:twoCellAnchor>
  <xdr:twoCellAnchor>
    <xdr:from>
      <xdr:col>13</xdr:col>
      <xdr:colOff>353786</xdr:colOff>
      <xdr:row>50</xdr:row>
      <xdr:rowOff>163286</xdr:rowOff>
    </xdr:from>
    <xdr:to>
      <xdr:col>26</xdr:col>
      <xdr:colOff>478971</xdr:colOff>
      <xdr:row>73</xdr:row>
      <xdr:rowOff>73479</xdr:rowOff>
    </xdr:to>
    <xdr:graphicFrame macro="">
      <xdr:nvGraphicFramePr>
        <xdr:cNvPr id="9" name="Chart 8">
          <a:extLst>
            <a:ext uri="{FF2B5EF4-FFF2-40B4-BE49-F238E27FC236}">
              <a16:creationId xmlns:a16="http://schemas.microsoft.com/office/drawing/2014/main" id="{0EF75B4E-029C-40F8-B6C8-530794943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75</xdr:row>
      <xdr:rowOff>0</xdr:rowOff>
    </xdr:from>
    <xdr:to>
      <xdr:col>13</xdr:col>
      <xdr:colOff>125186</xdr:colOff>
      <xdr:row>97</xdr:row>
      <xdr:rowOff>91622</xdr:rowOff>
    </xdr:to>
    <xdr:graphicFrame macro="">
      <xdr:nvGraphicFramePr>
        <xdr:cNvPr id="10" name="Chart 9">
          <a:extLst>
            <a:ext uri="{FF2B5EF4-FFF2-40B4-BE49-F238E27FC236}">
              <a16:creationId xmlns:a16="http://schemas.microsoft.com/office/drawing/2014/main" id="{867B6718-54D9-4AEF-B169-6EBCBE378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0:31.055"/>
    </inkml:context>
    <inkml:brush xml:id="br0">
      <inkml:brushProperty name="width" value="0.05" units="cm"/>
      <inkml:brushProperty name="height" value="0.05" units="cm"/>
      <inkml:brushProperty name="ignorePressure" value="1"/>
    </inkml:brush>
  </inkml:definitions>
  <inkml:trace contextRef="#ctx0" brushRef="#br0">516 20,'-191'-11,"133"5,-1 3,-78 6,134-3,0 0,0 0,0 0,0 1,0 0,1-1,-1 1,0 0,1 0,-1 1,0-1,1 0,0 1,-1 0,1-1,0 1,0 0,0 0,0 0,-2 3,1 0,1 0,0 0,0 0,1 0,-1 0,1 0,0 1,0-1,1 0,0 7,1 143,2-46,-3-96,1 1,0 0,1-1,1 1,0-1,1 0,0 0,1 0,0-1,1 1,1-1,0-1,10 15,-11-19,1 5,1-1,1 1,0-2,1 1,-1-1,2-1,0 0,0 0,13 7,22 8,82 32,-109-51,0 0,1-2,-1 0,1-1,0-1,0 0,0-2,-1-1,1 0,0-1,25-8,-21 2,-1 0,0-2,-1-1,0 0,-1-2,-1 0,26-23,-40 31,0 1,0-1,0-1,-1 1,0-1,0 0,-1 0,0-1,0 1,0-1,-1 0,-1 0,1 0,-1 0,0 0,-1-1,0 1,-1 0,1-1,-1 1,-1-1,0 1,-2-9,-6-37,-25-85,26 116,-2 1,0 0,-2 1,-13-20,21 36,-1 0,1 0,-1 0,0 1,0 0,-1 0,1 0,-1 1,0 0,0 0,0 0,0 1,0 0,-1 0,1 0,-9 0,-13-1,1 0,-45 3,45 0,3 1,2-1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0:37.601"/>
    </inkml:context>
    <inkml:brush xml:id="br0">
      <inkml:brushProperty name="width" value="0.05" units="cm"/>
      <inkml:brushProperty name="height" value="0.05" units="cm"/>
      <inkml:brushProperty name="ignorePressure" value="1"/>
    </inkml:brush>
  </inkml:definitions>
  <inkml:trace contextRef="#ctx0" brushRef="#br0">603 17,'-137'-8,"26"0,93 7,-1 1,0 1,0 0,-29 6,40-5,0 0,1 0,-1 1,1 0,0 0,0 0,0 1,0 0,1 0,-1 1,1-1,0 1,-5 6,-17 17,11-12,2 0,1 1,-23 33,33-44,2 0,-1 0,1 0,0 0,1 1,-1-1,0 12,2-15,0-1,0 1,0 0,1 0,-1 0,1 0,1 0,-1 0,0-1,0 1,0 0,2-1,-2 1,1-1,0 1,1-1,-1 0,0 0,4 3,180 112,-167-106,1-1,36 14,-34-15,-1 0,26 15,-4 3,2-3,48 21,-73-37,0-1,1-1,-1 0,1-1,1-1,-1-1,39 2,205-8,-247 0,-1 0,0 0,0-1,-1-1,1-1,-1 0,-1 0,1-2,-1 0,14-9,-22 13,-1 0,0 0,1-1,-3 0,2 0,0 0,-1-1,-1 0,0 0,1 0,-2 0,1 0,-1-1,-1 1,1-1,-1 0,-1 0,0 0,2-11,-3 10,0 0,0 0,-1 1,-1-1,0 1,0-1,-1 1,1-1,-1 1,-1 0,1 0,-2 0,0 0,1 0,-2 1,0 0,-7-7,-14-7,-1 1,-1 2,-2 1,1 0,-55-20,40 18,31 10,0 1,0-2,1 0,0 0,-20-20,16 14,-30-20,40 31,-1-1,1 1,-1 1,0-1,0 1,-1 0,-16-3,8 3,0 2,0 0,-18 0,13 2</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0:40.037"/>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4:32.565"/>
    </inkml:context>
    <inkml:brush xml:id="br0">
      <inkml:brushProperty name="width" value="0.05" units="cm"/>
      <inkml:brushProperty name="height" value="0.05" units="cm"/>
      <inkml:brushProperty name="ignorePressure" value="1"/>
    </inkml:brush>
  </inkml:definitions>
  <inkml:trace contextRef="#ctx0" brushRef="#br0">1366 182,'-3'-1,"-1"0,1-1,-1 1,1-1,0 1,0-1,0 0,0 0,0-1,-3-2,-6-4,-5-1,0 1,-1 0,-34-12,-62-10,34 9,29 8,0 2,-54-5,78 14,0 1,0 2,1 0,-1 2,-48 10,64-9,1 0,-1 1,1 0,0 1,1 0,-16 11,-50 45,32-23,14-13,1 2,2 1,0 1,-39 62,-68 141,130-226,-12 22,2 0,1 1,1 1,1 0,2 0,1 1,-2 31,7-47,1 0,1 1,1-1,0 0,1 1,0-1,1 0,1 0,1-1,0 1,0-1,2 0,0 0,0-1,1 0,14 17,-9-15,0-1,1-1,1 0,0-1,0-1,2 0,-1-1,1-1,31 12,61 17,1-4,144 23,-180-42,133 46,-152-42,0-3,2-2,78 10,-38-15,118-3,51 6,-180-4,168-7,-249-1,-1-1,1 1,-1-1,0 0,1-1,-1 1,0-1,0 0,0 0,0 0,0 0,0-1,-1 0,5-3,-4 1,0 0,0 0,0 0,0-1,-1 1,0-1,0 0,-1 0,2-6,1-8,0-1,-2-1,0 1,-2-41,-1 45,-2 0,0 0,-1 0,0 0,-2 1,0-1,-1 1,0 0,-1 0,-1 1,-1 0,-11-14,-5-6,-3 3,0 0,-57-48,-13-16,70 66,0 2,-2 0,-58-40,-59-40,18 12,105 81,-26-10,26 13,-30-19,47 26,0 0,0-1,0 0,0 0,1-1,0 0,-9-14,8 7,1 0,0-1,1 0,0-1,1 1,1-1,-2-23,0 7,0-2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3-09T04:35:10.653"/>
    </inkml:context>
    <inkml:brush xml:id="br0">
      <inkml:brushProperty name="width" value="0.05" units="cm"/>
      <inkml:brushProperty name="height" value="0.05" units="cm"/>
      <inkml:brushProperty name="ignorePressure" value="1"/>
    </inkml:brush>
  </inkml:definitions>
  <inkml:trace contextRef="#ctx0" brushRef="#br0">716 36,'0'3,"-1"-1,0 1,0 0,0-1,0 1,-1-1,1 0,-1 1,1-1,-1 0,0 0,0 0,0 0,0 0,-3 2,-13 15,2 4,-28 33,36-47,-1-1,0 0,0-1,-1 0,0 0,-14 7,-67 23,13-7,49-16,-1 1,0-1,-1-2,0-1,0-1,-44 7,66-16,0 0,1 1,0 0,-14 5,20-6,-1 1,1-1,-1 1,1-1,0 1,-1 0,1 0,0-1,0 2,0-1,0 0,1 0,-1 1,1-1,-1 1,1-1,0 1,-1 3,-3 17,1 0,2 1,0-1,1 1,5 41,-2-16,-1-42,-1 16,6 37,-4-53,-1 0,1 0,0 0,1-1,0 1,0 0,0-1,1 0,7 10,-2-5,2-1,0 0,0 0,0-1,1-1,21 12,-3-5,59 20,-81-33,0 0,0-1,0 0,0-1,0 0,0 0,0-1,0 0,0 0,-1-1,1 0,0 0,-1-1,1 0,8-5,10-6,1-1,38-29,-33 18,55-59,-57 54,49-40,-28 35,-34 25,-1 0,0-1,25-25,-15 7,-1 0,-1-2,-2-1,26-51,-36 60,-1-1,-1-1,-1 1,-2-2,0 1,-2-1,3-38,-8 56,0 1,0-1,0 1,-3-14,2 20,1 0,-1-1,0 1,0 0,0 0,0 0,0 0,0 0,0 0,-1 0,1 0,-1 0,0 1,1-1,-1 1,0-1,0 1,0 0,0-1,0 1,-4-1,-4-1,-1 0,1 1,-1 0,0 0,-16 1,-60 5,37-1,-144 16,165-14</inkml:trace>
</inkml:ink>
</file>

<file path=xl/persons/person.xml><?xml version="1.0" encoding="utf-8"?>
<personList xmlns="http://schemas.microsoft.com/office/spreadsheetml/2018/threadedcomments" xmlns:x="http://schemas.openxmlformats.org/spreadsheetml/2006/main">
  <person displayName="Cathryn Wynn-Edwards" id="{A24C0F2A-F71F-4848-9699-975FA80E88ED}" userId="S::Cathryn.WynnEdwards@utas.edu.au::9c2180b6-ad09-41fe-a2e9-98fe686191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52" dT="2020-09-15T22:24:55.38" personId="{A24C0F2A-F71F-4848-9699-975FA80E88ED}" id="{31A4C68F-040F-49BB-B313-8DB2325F4276}">
    <text>cups L3 and L13 had their labels changed from green to blue. Talking to Tom, who took the cups off at sea, he didn't do that and the cups were in the bucket in sequence. I surmise that I put them on the traps wrong and noticed before deployment, at which point I changed the numbers to the correct ones in sequence</text>
  </threadedComment>
</ThreadedComments>
</file>

<file path=xl/threadedComments/threadedComment2.xml><?xml version="1.0" encoding="utf-8"?>
<ThreadedComments xmlns="http://schemas.microsoft.com/office/spreadsheetml/2018/threadedcomments" xmlns:x="http://schemas.openxmlformats.org/spreadsheetml/2006/main">
  <threadedComment ref="R9" dT="2020-09-23T02:17:49.12" personId="{A24C0F2A-F71F-4848-9699-975FA80E88ED}" id="{8DF8BB19-32CF-4190-A65C-DCC8663B8894}">
    <text>average of duplicates</text>
  </threadedComment>
  <threadedComment ref="R18" dT="2020-09-23T02:18:07.35" personId="{A24C0F2A-F71F-4848-9699-975FA80E88ED}" id="{F5273A4B-B657-404A-8EF0-7EA96A3642D6}">
    <text>average of duplicates</text>
  </threadedComment>
  <threadedComment ref="S22" dT="2020-09-23T02:19:02.00" personId="{A24C0F2A-F71F-4848-9699-975FA80E88ED}" id="{305270CE-3D7C-4DB4-8282-15A442D2972F}">
    <text>from first set of measurements, flag 2, since calibration wasn't as good</text>
  </threadedComment>
  <threadedComment ref="R33" dT="2020-09-23T02:21:04.15" personId="{A24C0F2A-F71F-4848-9699-975FA80E88ED}" id="{703E9F98-C7B7-45A7-81DA-6296838340A0}">
    <text>average of duplicates</text>
  </threadedComment>
  <threadedComment ref="S33" dT="2020-09-23T02:21:09.68" personId="{A24C0F2A-F71F-4848-9699-975FA80E88ED}" id="{6B28CC58-67A6-4911-8A29-E520A8C694CE}">
    <text>average of duplicates</text>
  </threadedComment>
  <threadedComment ref="R42" dT="2020-09-23T02:21:15.18" personId="{A24C0F2A-F71F-4848-9699-975FA80E88ED}" id="{41496F80-1C44-452D-A86D-5808A3970D90}">
    <text>average of duplicates</text>
  </threadedComment>
  <threadedComment ref="S42" dT="2020-09-23T02:21:20.22" personId="{A24C0F2A-F71F-4848-9699-975FA80E88ED}" id="{1A0C090B-0960-4AE8-822D-24C1B20EFD41}">
    <text>average of duplicates</text>
  </threadedComment>
  <threadedComment ref="C57" dT="2020-09-15T22:24:55.38" personId="{A24C0F2A-F71F-4848-9699-975FA80E88ED}" id="{05BF75A0-4754-480B-8D92-5A95154A08CB}">
    <text>cups L3 and L13 had their labels changed from green to blue. Talking to Tom, who took the cups off at sea, he didn't do that and the cups were in the bucket in sequence. I surmise that I put them on the traps wrong and noticed before deployment, at which point I changed the numbers to the correct ones in sequence</text>
  </threadedComment>
  <threadedComment ref="R57" dT="2020-09-23T02:22:10.98" personId="{A24C0F2A-F71F-4848-9699-975FA80E88ED}" id="{3D825EEB-8BD9-498F-904E-A8EEC8BDDECC}">
    <text>average of duplicates</text>
  </threadedComment>
  <threadedComment ref="S57" dT="2020-09-23T02:22:28.54" personId="{A24C0F2A-F71F-4848-9699-975FA80E88ED}" id="{A06512E2-A0D7-4ECD-8CC7-9178D75CA175}">
    <text>average of duplicates</text>
  </threadedComment>
  <threadedComment ref="R66" dT="2020-09-23T02:22:43.59" personId="{A24C0F2A-F71F-4848-9699-975FA80E88ED}" id="{A42BAB95-3D65-488B-A6F2-3BCC7F1CCDD9}">
    <text>average of duplicates</text>
  </threadedComment>
  <threadedComment ref="S66" dT="2020-09-23T02:22:57.52" personId="{A24C0F2A-F71F-4848-9699-975FA80E88ED}" id="{0A0CAD17-8EE0-4506-9C44-EC8F2DDC9199}">
    <text>average of duplicates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0C27-045A-4A02-AC0B-D4024938E067}">
  <dimension ref="A1:L42"/>
  <sheetViews>
    <sheetView zoomScaleNormal="100" workbookViewId="0">
      <selection activeCell="P21" sqref="P21"/>
    </sheetView>
  </sheetViews>
  <sheetFormatPr defaultColWidth="10.1796875" defaultRowHeight="14.5"/>
  <cols>
    <col min="1" max="1" width="13.1796875" customWidth="1"/>
    <col min="2" max="2" width="9.81640625" customWidth="1"/>
    <col min="3" max="3" width="9.1796875" customWidth="1"/>
    <col min="4" max="4" width="12.453125" customWidth="1"/>
    <col min="5" max="5" width="13" customWidth="1"/>
    <col min="6" max="6" width="10.81640625" customWidth="1"/>
    <col min="7" max="7" width="9.54296875" customWidth="1"/>
    <col min="8" max="8" width="12.54296875" customWidth="1"/>
    <col min="9" max="9" width="13.81640625" customWidth="1"/>
    <col min="10" max="10" width="10.453125" customWidth="1"/>
    <col min="11" max="11" width="10.81640625" customWidth="1"/>
    <col min="12" max="12" width="9.1796875" customWidth="1"/>
  </cols>
  <sheetData>
    <row r="1" spans="1:12" ht="39.65" customHeight="1">
      <c r="A1" s="91" t="s">
        <v>144</v>
      </c>
      <c r="B1" s="92" t="s">
        <v>98</v>
      </c>
      <c r="C1" s="93" t="s">
        <v>99</v>
      </c>
      <c r="D1" s="94" t="s">
        <v>100</v>
      </c>
      <c r="E1" s="91" t="s">
        <v>144</v>
      </c>
      <c r="F1" s="95" t="s">
        <v>101</v>
      </c>
      <c r="G1" s="93" t="s">
        <v>99</v>
      </c>
      <c r="H1" s="94" t="s">
        <v>100</v>
      </c>
      <c r="I1" s="91" t="s">
        <v>144</v>
      </c>
      <c r="J1" s="95" t="s">
        <v>102</v>
      </c>
      <c r="K1" s="93" t="s">
        <v>99</v>
      </c>
      <c r="L1" s="94" t="s">
        <v>100</v>
      </c>
    </row>
    <row r="2" spans="1:12" ht="39.65" customHeight="1">
      <c r="A2" s="91" t="s">
        <v>144</v>
      </c>
      <c r="B2" s="92" t="s">
        <v>98</v>
      </c>
      <c r="C2" s="93" t="s">
        <v>103</v>
      </c>
      <c r="D2" s="94" t="s">
        <v>100</v>
      </c>
      <c r="E2" s="91" t="s">
        <v>144</v>
      </c>
      <c r="F2" s="95" t="s">
        <v>101</v>
      </c>
      <c r="G2" s="93" t="s">
        <v>103</v>
      </c>
      <c r="H2" s="94" t="s">
        <v>100</v>
      </c>
      <c r="I2" s="91" t="s">
        <v>144</v>
      </c>
      <c r="J2" s="95" t="s">
        <v>102</v>
      </c>
      <c r="K2" s="93" t="s">
        <v>103</v>
      </c>
      <c r="L2" s="94" t="s">
        <v>100</v>
      </c>
    </row>
    <row r="3" spans="1:12" ht="39.65" customHeight="1">
      <c r="A3" s="91" t="s">
        <v>144</v>
      </c>
      <c r="B3" s="92" t="s">
        <v>98</v>
      </c>
      <c r="C3" s="93" t="s">
        <v>104</v>
      </c>
      <c r="D3" s="94" t="s">
        <v>100</v>
      </c>
      <c r="E3" s="91" t="s">
        <v>144</v>
      </c>
      <c r="F3" s="95" t="s">
        <v>101</v>
      </c>
      <c r="G3" s="93" t="s">
        <v>104</v>
      </c>
      <c r="H3" s="94" t="s">
        <v>100</v>
      </c>
      <c r="I3" s="91" t="s">
        <v>144</v>
      </c>
      <c r="J3" s="95" t="s">
        <v>102</v>
      </c>
      <c r="K3" s="93" t="s">
        <v>104</v>
      </c>
      <c r="L3" s="94" t="s">
        <v>100</v>
      </c>
    </row>
    <row r="4" spans="1:12" ht="39.65" customHeight="1">
      <c r="A4" s="91" t="s">
        <v>144</v>
      </c>
      <c r="B4" s="92" t="s">
        <v>98</v>
      </c>
      <c r="C4" s="93" t="s">
        <v>105</v>
      </c>
      <c r="D4" s="94" t="s">
        <v>100</v>
      </c>
      <c r="E4" s="91" t="s">
        <v>144</v>
      </c>
      <c r="F4" s="95" t="s">
        <v>101</v>
      </c>
      <c r="G4" s="93" t="s">
        <v>105</v>
      </c>
      <c r="H4" s="94" t="s">
        <v>100</v>
      </c>
      <c r="I4" s="91" t="s">
        <v>144</v>
      </c>
      <c r="J4" s="95" t="s">
        <v>102</v>
      </c>
      <c r="K4" s="93" t="s">
        <v>105</v>
      </c>
      <c r="L4" s="94" t="s">
        <v>100</v>
      </c>
    </row>
    <row r="5" spans="1:12" ht="39.65" customHeight="1">
      <c r="A5" s="91" t="s">
        <v>144</v>
      </c>
      <c r="B5" s="92" t="s">
        <v>98</v>
      </c>
      <c r="C5" s="93" t="s">
        <v>106</v>
      </c>
      <c r="D5" s="94" t="s">
        <v>100</v>
      </c>
      <c r="E5" s="91" t="s">
        <v>144</v>
      </c>
      <c r="F5" s="95" t="s">
        <v>101</v>
      </c>
      <c r="G5" s="93" t="s">
        <v>106</v>
      </c>
      <c r="H5" s="94" t="s">
        <v>100</v>
      </c>
      <c r="I5" s="91" t="s">
        <v>144</v>
      </c>
      <c r="J5" s="95" t="s">
        <v>102</v>
      </c>
      <c r="K5" s="93" t="s">
        <v>106</v>
      </c>
      <c r="L5" s="94" t="s">
        <v>100</v>
      </c>
    </row>
    <row r="6" spans="1:12" ht="39.65" customHeight="1">
      <c r="A6" s="91" t="s">
        <v>144</v>
      </c>
      <c r="B6" s="92" t="s">
        <v>98</v>
      </c>
      <c r="C6" s="93" t="s">
        <v>107</v>
      </c>
      <c r="D6" s="94" t="s">
        <v>100</v>
      </c>
      <c r="E6" s="91" t="s">
        <v>144</v>
      </c>
      <c r="F6" s="95" t="s">
        <v>101</v>
      </c>
      <c r="G6" s="93" t="s">
        <v>107</v>
      </c>
      <c r="H6" s="94" t="s">
        <v>100</v>
      </c>
      <c r="I6" s="91" t="s">
        <v>144</v>
      </c>
      <c r="J6" s="95" t="s">
        <v>102</v>
      </c>
      <c r="K6" s="93" t="s">
        <v>107</v>
      </c>
      <c r="L6" s="94" t="s">
        <v>100</v>
      </c>
    </row>
    <row r="7" spans="1:12" ht="39.65" customHeight="1">
      <c r="A7" s="91" t="s">
        <v>144</v>
      </c>
      <c r="B7" s="92" t="s">
        <v>98</v>
      </c>
      <c r="C7" s="93" t="s">
        <v>108</v>
      </c>
      <c r="D7" s="94" t="s">
        <v>100</v>
      </c>
      <c r="E7" s="91" t="s">
        <v>144</v>
      </c>
      <c r="F7" s="95" t="s">
        <v>101</v>
      </c>
      <c r="G7" s="93" t="s">
        <v>108</v>
      </c>
      <c r="H7" s="94" t="s">
        <v>100</v>
      </c>
      <c r="I7" s="91" t="s">
        <v>144</v>
      </c>
      <c r="J7" s="95" t="s">
        <v>102</v>
      </c>
      <c r="K7" s="93" t="s">
        <v>108</v>
      </c>
      <c r="L7" s="94" t="s">
        <v>100</v>
      </c>
    </row>
    <row r="8" spans="1:12" ht="39.65" customHeight="1">
      <c r="A8" s="91" t="s">
        <v>144</v>
      </c>
      <c r="B8" s="92" t="s">
        <v>98</v>
      </c>
      <c r="C8" s="93" t="s">
        <v>109</v>
      </c>
      <c r="D8" s="94" t="s">
        <v>100</v>
      </c>
      <c r="E8" s="91" t="s">
        <v>144</v>
      </c>
      <c r="F8" s="95" t="s">
        <v>101</v>
      </c>
      <c r="G8" s="93" t="s">
        <v>109</v>
      </c>
      <c r="H8" s="94" t="s">
        <v>100</v>
      </c>
      <c r="I8" s="91" t="s">
        <v>144</v>
      </c>
      <c r="J8" s="95" t="s">
        <v>102</v>
      </c>
      <c r="K8" s="93" t="s">
        <v>109</v>
      </c>
      <c r="L8" s="94" t="s">
        <v>100</v>
      </c>
    </row>
    <row r="9" spans="1:12" ht="39.65" customHeight="1">
      <c r="A9" s="91" t="s">
        <v>144</v>
      </c>
      <c r="B9" s="92" t="s">
        <v>98</v>
      </c>
      <c r="C9" s="93" t="s">
        <v>110</v>
      </c>
      <c r="D9" s="94" t="s">
        <v>100</v>
      </c>
      <c r="E9" s="91" t="s">
        <v>144</v>
      </c>
      <c r="F9" s="95" t="s">
        <v>101</v>
      </c>
      <c r="G9" s="93" t="s">
        <v>110</v>
      </c>
      <c r="H9" s="94" t="s">
        <v>100</v>
      </c>
      <c r="I9" s="91" t="s">
        <v>144</v>
      </c>
      <c r="J9" s="95" t="s">
        <v>102</v>
      </c>
      <c r="K9" s="93" t="s">
        <v>110</v>
      </c>
      <c r="L9" s="94" t="s">
        <v>100</v>
      </c>
    </row>
    <row r="10" spans="1:12" ht="39.65" customHeight="1">
      <c r="A10" s="91" t="s">
        <v>144</v>
      </c>
      <c r="B10" s="92" t="s">
        <v>98</v>
      </c>
      <c r="C10" s="93" t="s">
        <v>111</v>
      </c>
      <c r="D10" s="94" t="s">
        <v>100</v>
      </c>
      <c r="E10" s="91" t="s">
        <v>144</v>
      </c>
      <c r="F10" s="95" t="s">
        <v>101</v>
      </c>
      <c r="G10" s="93" t="s">
        <v>111</v>
      </c>
      <c r="H10" s="94" t="s">
        <v>100</v>
      </c>
      <c r="I10" s="91" t="s">
        <v>144</v>
      </c>
      <c r="J10" s="95" t="s">
        <v>102</v>
      </c>
      <c r="K10" s="93" t="s">
        <v>111</v>
      </c>
      <c r="L10" s="94" t="s">
        <v>100</v>
      </c>
    </row>
    <row r="11" spans="1:12" ht="39.65" customHeight="1">
      <c r="A11" s="91" t="s">
        <v>144</v>
      </c>
      <c r="B11" s="92" t="s">
        <v>98</v>
      </c>
      <c r="C11" s="93" t="s">
        <v>112</v>
      </c>
      <c r="D11" s="94" t="s">
        <v>100</v>
      </c>
      <c r="E11" s="91" t="s">
        <v>144</v>
      </c>
      <c r="F11" s="95" t="s">
        <v>101</v>
      </c>
      <c r="G11" s="93" t="s">
        <v>112</v>
      </c>
      <c r="H11" s="94" t="s">
        <v>100</v>
      </c>
      <c r="I11" s="91" t="s">
        <v>144</v>
      </c>
      <c r="J11" s="95" t="s">
        <v>102</v>
      </c>
      <c r="K11" s="93" t="s">
        <v>112</v>
      </c>
      <c r="L11" s="94" t="s">
        <v>100</v>
      </c>
    </row>
    <row r="12" spans="1:12" ht="39.65" customHeight="1">
      <c r="A12" s="91" t="s">
        <v>144</v>
      </c>
      <c r="B12" s="92" t="s">
        <v>98</v>
      </c>
      <c r="C12" s="93" t="s">
        <v>113</v>
      </c>
      <c r="D12" s="94" t="s">
        <v>100</v>
      </c>
      <c r="E12" s="91" t="s">
        <v>144</v>
      </c>
      <c r="F12" s="95" t="s">
        <v>101</v>
      </c>
      <c r="G12" s="93" t="s">
        <v>113</v>
      </c>
      <c r="H12" s="94" t="s">
        <v>100</v>
      </c>
      <c r="I12" s="91" t="s">
        <v>144</v>
      </c>
      <c r="J12" s="95" t="s">
        <v>102</v>
      </c>
      <c r="K12" s="93" t="s">
        <v>113</v>
      </c>
      <c r="L12" s="94" t="s">
        <v>100</v>
      </c>
    </row>
    <row r="13" spans="1:12" ht="39.65" customHeight="1">
      <c r="A13" s="91" t="s">
        <v>144</v>
      </c>
      <c r="B13" s="92" t="s">
        <v>98</v>
      </c>
      <c r="C13" s="93" t="s">
        <v>114</v>
      </c>
      <c r="D13" s="94" t="s">
        <v>100</v>
      </c>
      <c r="E13" s="91" t="s">
        <v>144</v>
      </c>
      <c r="F13" s="95" t="s">
        <v>101</v>
      </c>
      <c r="G13" s="93" t="s">
        <v>114</v>
      </c>
      <c r="H13" s="94" t="s">
        <v>100</v>
      </c>
      <c r="I13" s="91" t="s">
        <v>144</v>
      </c>
      <c r="J13" s="95" t="s">
        <v>102</v>
      </c>
      <c r="K13" s="93" t="s">
        <v>114</v>
      </c>
      <c r="L13" s="94" t="s">
        <v>100</v>
      </c>
    </row>
    <row r="14" spans="1:12" ht="39.65" customHeight="1">
      <c r="A14" s="91" t="s">
        <v>144</v>
      </c>
      <c r="B14" s="92" t="s">
        <v>98</v>
      </c>
      <c r="C14" s="93" t="s">
        <v>115</v>
      </c>
      <c r="D14" s="94" t="s">
        <v>100</v>
      </c>
      <c r="E14" s="91" t="s">
        <v>144</v>
      </c>
      <c r="F14" s="95" t="s">
        <v>101</v>
      </c>
      <c r="G14" s="93" t="s">
        <v>115</v>
      </c>
      <c r="H14" s="94" t="s">
        <v>100</v>
      </c>
      <c r="I14" s="91" t="s">
        <v>144</v>
      </c>
      <c r="J14" s="95" t="s">
        <v>102</v>
      </c>
      <c r="K14" s="93" t="s">
        <v>115</v>
      </c>
      <c r="L14" s="94" t="s">
        <v>100</v>
      </c>
    </row>
    <row r="15" spans="1:12" ht="39.65" customHeight="1">
      <c r="A15" s="91" t="s">
        <v>144</v>
      </c>
      <c r="B15" s="92" t="s">
        <v>98</v>
      </c>
      <c r="C15" s="93" t="s">
        <v>116</v>
      </c>
      <c r="D15" s="94" t="s">
        <v>100</v>
      </c>
      <c r="E15" s="91" t="s">
        <v>144</v>
      </c>
      <c r="F15" s="95" t="s">
        <v>101</v>
      </c>
      <c r="G15" s="93" t="s">
        <v>116</v>
      </c>
      <c r="H15" s="94" t="s">
        <v>100</v>
      </c>
      <c r="I15" s="91" t="s">
        <v>144</v>
      </c>
      <c r="J15" s="95" t="s">
        <v>102</v>
      </c>
      <c r="K15" s="93" t="s">
        <v>116</v>
      </c>
      <c r="L15" s="94" t="s">
        <v>100</v>
      </c>
    </row>
    <row r="16" spans="1:12" ht="39.65" customHeight="1">
      <c r="A16" s="91" t="s">
        <v>144</v>
      </c>
      <c r="B16" s="92" t="s">
        <v>98</v>
      </c>
      <c r="C16" s="93" t="s">
        <v>117</v>
      </c>
      <c r="D16" s="94" t="s">
        <v>100</v>
      </c>
      <c r="E16" s="91" t="s">
        <v>144</v>
      </c>
      <c r="F16" s="95" t="s">
        <v>101</v>
      </c>
      <c r="G16" s="93" t="s">
        <v>117</v>
      </c>
      <c r="H16" s="94" t="s">
        <v>100</v>
      </c>
      <c r="I16" s="91" t="s">
        <v>144</v>
      </c>
      <c r="J16" s="95" t="s">
        <v>102</v>
      </c>
      <c r="K16" s="93" t="s">
        <v>117</v>
      </c>
      <c r="L16" s="94" t="s">
        <v>100</v>
      </c>
    </row>
    <row r="17" spans="1:12" ht="39.65" customHeight="1">
      <c r="A17" s="91" t="s">
        <v>144</v>
      </c>
      <c r="B17" s="92" t="s">
        <v>98</v>
      </c>
      <c r="C17" s="93" t="s">
        <v>118</v>
      </c>
      <c r="D17" s="94" t="s">
        <v>100</v>
      </c>
      <c r="E17" s="91" t="s">
        <v>144</v>
      </c>
      <c r="F17" s="95" t="s">
        <v>101</v>
      </c>
      <c r="G17" s="93" t="s">
        <v>118</v>
      </c>
      <c r="H17" s="94" t="s">
        <v>100</v>
      </c>
      <c r="I17" s="91" t="s">
        <v>144</v>
      </c>
      <c r="J17" s="95" t="s">
        <v>102</v>
      </c>
      <c r="K17" s="93" t="s">
        <v>118</v>
      </c>
      <c r="L17" s="94" t="s">
        <v>100</v>
      </c>
    </row>
    <row r="18" spans="1:12" ht="39.65" customHeight="1">
      <c r="A18" s="91" t="s">
        <v>144</v>
      </c>
      <c r="B18" s="92" t="s">
        <v>98</v>
      </c>
      <c r="C18" s="93" t="s">
        <v>119</v>
      </c>
      <c r="D18" s="94" t="s">
        <v>100</v>
      </c>
      <c r="E18" s="91" t="s">
        <v>144</v>
      </c>
      <c r="F18" s="95" t="s">
        <v>101</v>
      </c>
      <c r="G18" s="93" t="s">
        <v>119</v>
      </c>
      <c r="H18" s="94" t="s">
        <v>100</v>
      </c>
      <c r="I18" s="91" t="s">
        <v>144</v>
      </c>
      <c r="J18" s="95" t="s">
        <v>102</v>
      </c>
      <c r="K18" s="93" t="s">
        <v>119</v>
      </c>
      <c r="L18" s="94" t="s">
        <v>100</v>
      </c>
    </row>
    <row r="19" spans="1:12" ht="39.65" customHeight="1">
      <c r="A19" s="91" t="s">
        <v>144</v>
      </c>
      <c r="B19" s="92" t="s">
        <v>98</v>
      </c>
      <c r="C19" s="93" t="s">
        <v>120</v>
      </c>
      <c r="D19" s="94" t="s">
        <v>100</v>
      </c>
      <c r="E19" s="91" t="s">
        <v>144</v>
      </c>
      <c r="F19" s="95" t="s">
        <v>101</v>
      </c>
      <c r="G19" s="93" t="s">
        <v>120</v>
      </c>
      <c r="H19" s="94" t="s">
        <v>100</v>
      </c>
      <c r="I19" s="91" t="s">
        <v>144</v>
      </c>
      <c r="J19" s="95" t="s">
        <v>102</v>
      </c>
      <c r="K19" s="93" t="s">
        <v>120</v>
      </c>
      <c r="L19" s="94" t="s">
        <v>100</v>
      </c>
    </row>
    <row r="20" spans="1:12" ht="39.65" customHeight="1">
      <c r="A20" s="91" t="s">
        <v>144</v>
      </c>
      <c r="B20" s="92" t="s">
        <v>98</v>
      </c>
      <c r="C20" s="93" t="s">
        <v>121</v>
      </c>
      <c r="D20" s="94" t="s">
        <v>100</v>
      </c>
      <c r="E20" s="91" t="s">
        <v>144</v>
      </c>
      <c r="F20" s="95" t="s">
        <v>101</v>
      </c>
      <c r="G20" s="93" t="s">
        <v>121</v>
      </c>
      <c r="H20" s="94" t="s">
        <v>100</v>
      </c>
      <c r="I20" s="91" t="s">
        <v>144</v>
      </c>
      <c r="J20" s="95" t="s">
        <v>102</v>
      </c>
      <c r="K20" s="93" t="s">
        <v>121</v>
      </c>
      <c r="L20" s="94" t="s">
        <v>100</v>
      </c>
    </row>
    <row r="21" spans="1:12" ht="39.65" customHeight="1">
      <c r="A21" s="91" t="s">
        <v>144</v>
      </c>
      <c r="B21" s="92" t="s">
        <v>98</v>
      </c>
      <c r="C21" s="93" t="s">
        <v>122</v>
      </c>
      <c r="D21" s="94" t="s">
        <v>100</v>
      </c>
      <c r="E21" s="91" t="s">
        <v>144</v>
      </c>
      <c r="F21" s="95" t="s">
        <v>101</v>
      </c>
      <c r="G21" s="93" t="s">
        <v>122</v>
      </c>
      <c r="H21" s="94" t="s">
        <v>100</v>
      </c>
      <c r="I21" s="91" t="s">
        <v>144</v>
      </c>
      <c r="J21" s="95" t="s">
        <v>102</v>
      </c>
      <c r="K21" s="93" t="s">
        <v>122</v>
      </c>
      <c r="L21" s="94" t="s">
        <v>100</v>
      </c>
    </row>
    <row r="22" spans="1:12" ht="39.65" customHeight="1">
      <c r="A22" s="91" t="s">
        <v>144</v>
      </c>
      <c r="B22" s="92" t="s">
        <v>98</v>
      </c>
      <c r="C22" s="93" t="s">
        <v>123</v>
      </c>
      <c r="D22" s="94" t="s">
        <v>100</v>
      </c>
      <c r="E22" s="91" t="s">
        <v>144</v>
      </c>
      <c r="F22" s="95" t="s">
        <v>101</v>
      </c>
      <c r="G22" s="93" t="s">
        <v>123</v>
      </c>
      <c r="H22" s="94" t="s">
        <v>100</v>
      </c>
      <c r="I22" s="91" t="s">
        <v>144</v>
      </c>
      <c r="J22" s="95" t="s">
        <v>102</v>
      </c>
      <c r="K22" s="93" t="s">
        <v>123</v>
      </c>
      <c r="L22" s="94" t="s">
        <v>100</v>
      </c>
    </row>
    <row r="23" spans="1:12" ht="39.65" customHeight="1">
      <c r="A23" s="91" t="s">
        <v>144</v>
      </c>
      <c r="B23" s="92" t="s">
        <v>98</v>
      </c>
      <c r="C23" s="93" t="s">
        <v>124</v>
      </c>
      <c r="D23" s="94" t="s">
        <v>100</v>
      </c>
      <c r="E23" s="91" t="s">
        <v>144</v>
      </c>
      <c r="F23" s="95" t="s">
        <v>101</v>
      </c>
      <c r="G23" s="93" t="s">
        <v>124</v>
      </c>
      <c r="H23" s="94" t="s">
        <v>100</v>
      </c>
      <c r="I23" s="91" t="s">
        <v>144</v>
      </c>
      <c r="J23" s="95" t="s">
        <v>102</v>
      </c>
      <c r="K23" s="93" t="s">
        <v>124</v>
      </c>
      <c r="L23" s="94" t="s">
        <v>100</v>
      </c>
    </row>
    <row r="24" spans="1:12" ht="39.65" customHeight="1">
      <c r="A24" s="91" t="s">
        <v>144</v>
      </c>
      <c r="B24" s="92" t="s">
        <v>98</v>
      </c>
      <c r="C24" s="93" t="s">
        <v>125</v>
      </c>
      <c r="D24" s="94" t="s">
        <v>100</v>
      </c>
      <c r="E24" s="91" t="s">
        <v>144</v>
      </c>
      <c r="F24" s="95" t="s">
        <v>101</v>
      </c>
      <c r="G24" s="93" t="s">
        <v>125</v>
      </c>
      <c r="H24" s="94" t="s">
        <v>100</v>
      </c>
      <c r="I24" s="91" t="s">
        <v>144</v>
      </c>
      <c r="J24" s="95" t="s">
        <v>102</v>
      </c>
      <c r="K24" s="93" t="s">
        <v>125</v>
      </c>
      <c r="L24" s="94" t="s">
        <v>100</v>
      </c>
    </row>
    <row r="25" spans="1:12" ht="39.65" customHeight="1">
      <c r="A25" s="91" t="s">
        <v>144</v>
      </c>
      <c r="B25" s="92" t="s">
        <v>98</v>
      </c>
      <c r="C25" s="93" t="s">
        <v>126</v>
      </c>
      <c r="D25" s="94" t="s">
        <v>100</v>
      </c>
      <c r="E25" s="91" t="s">
        <v>144</v>
      </c>
      <c r="F25" s="95" t="s">
        <v>101</v>
      </c>
      <c r="G25" s="93" t="s">
        <v>126</v>
      </c>
      <c r="H25" s="94" t="s">
        <v>100</v>
      </c>
      <c r="I25" s="91" t="s">
        <v>144</v>
      </c>
      <c r="J25" s="95" t="s">
        <v>102</v>
      </c>
      <c r="K25" s="93" t="s">
        <v>126</v>
      </c>
      <c r="L25" s="94" t="s">
        <v>100</v>
      </c>
    </row>
    <row r="26" spans="1:12" ht="39.65" customHeight="1">
      <c r="A26" s="91" t="s">
        <v>144</v>
      </c>
      <c r="B26" s="92" t="s">
        <v>98</v>
      </c>
      <c r="C26" s="93" t="s">
        <v>127</v>
      </c>
      <c r="D26" s="94" t="s">
        <v>100</v>
      </c>
      <c r="E26" s="91" t="s">
        <v>144</v>
      </c>
      <c r="F26" s="95" t="s">
        <v>101</v>
      </c>
      <c r="G26" s="93" t="s">
        <v>127</v>
      </c>
      <c r="H26" s="94" t="s">
        <v>100</v>
      </c>
      <c r="I26" s="91" t="s">
        <v>144</v>
      </c>
      <c r="J26" s="95" t="s">
        <v>102</v>
      </c>
      <c r="K26" s="93" t="s">
        <v>127</v>
      </c>
      <c r="L26" s="94" t="s">
        <v>100</v>
      </c>
    </row>
    <row r="27" spans="1:12" ht="39.65" customHeight="1">
      <c r="A27" s="91" t="s">
        <v>144</v>
      </c>
      <c r="B27" s="92" t="s">
        <v>98</v>
      </c>
      <c r="C27" s="93" t="s">
        <v>128</v>
      </c>
      <c r="D27" s="94" t="s">
        <v>100</v>
      </c>
      <c r="E27" s="91" t="s">
        <v>144</v>
      </c>
      <c r="F27" s="95" t="s">
        <v>101</v>
      </c>
      <c r="G27" s="93" t="s">
        <v>128</v>
      </c>
      <c r="H27" s="94" t="s">
        <v>100</v>
      </c>
      <c r="I27" s="91" t="s">
        <v>144</v>
      </c>
      <c r="J27" s="95" t="s">
        <v>102</v>
      </c>
      <c r="K27" s="93" t="s">
        <v>128</v>
      </c>
      <c r="L27" s="94" t="s">
        <v>100</v>
      </c>
    </row>
    <row r="28" spans="1:12" ht="39.65" customHeight="1">
      <c r="A28" s="91" t="s">
        <v>144</v>
      </c>
      <c r="B28" s="92" t="s">
        <v>98</v>
      </c>
      <c r="C28" s="93" t="s">
        <v>129</v>
      </c>
      <c r="D28" s="94" t="s">
        <v>100</v>
      </c>
      <c r="E28" s="91" t="s">
        <v>144</v>
      </c>
      <c r="F28" s="95" t="s">
        <v>101</v>
      </c>
      <c r="G28" s="93" t="s">
        <v>129</v>
      </c>
      <c r="H28" s="94" t="s">
        <v>100</v>
      </c>
      <c r="I28" s="91" t="s">
        <v>144</v>
      </c>
      <c r="J28" s="95" t="s">
        <v>102</v>
      </c>
      <c r="K28" s="93" t="s">
        <v>129</v>
      </c>
      <c r="L28" s="94" t="s">
        <v>100</v>
      </c>
    </row>
    <row r="29" spans="1:12" ht="39.65" customHeight="1">
      <c r="A29" s="91" t="s">
        <v>144</v>
      </c>
      <c r="B29" s="92" t="s">
        <v>98</v>
      </c>
      <c r="C29" s="93" t="s">
        <v>130</v>
      </c>
      <c r="D29" s="94" t="s">
        <v>100</v>
      </c>
      <c r="E29" s="91" t="s">
        <v>144</v>
      </c>
      <c r="F29" s="95" t="s">
        <v>101</v>
      </c>
      <c r="G29" s="93" t="s">
        <v>130</v>
      </c>
      <c r="H29" s="94" t="s">
        <v>100</v>
      </c>
      <c r="I29" s="91" t="s">
        <v>144</v>
      </c>
      <c r="J29" s="95" t="s">
        <v>102</v>
      </c>
      <c r="K29" s="93" t="s">
        <v>130</v>
      </c>
      <c r="L29" s="94" t="s">
        <v>100</v>
      </c>
    </row>
    <row r="30" spans="1:12" ht="39.65" customHeight="1">
      <c r="A30" s="91" t="s">
        <v>144</v>
      </c>
      <c r="B30" s="92" t="s">
        <v>98</v>
      </c>
      <c r="C30" s="93" t="s">
        <v>131</v>
      </c>
      <c r="D30" s="94" t="s">
        <v>100</v>
      </c>
      <c r="E30" s="91" t="s">
        <v>144</v>
      </c>
      <c r="F30" s="95" t="s">
        <v>101</v>
      </c>
      <c r="G30" s="93" t="s">
        <v>131</v>
      </c>
      <c r="H30" s="94" t="s">
        <v>100</v>
      </c>
      <c r="I30" s="91" t="s">
        <v>144</v>
      </c>
      <c r="J30" s="95" t="s">
        <v>102</v>
      </c>
      <c r="K30" s="93" t="s">
        <v>131</v>
      </c>
      <c r="L30" s="94" t="s">
        <v>100</v>
      </c>
    </row>
    <row r="31" spans="1:12" ht="39.65" customHeight="1">
      <c r="A31" s="91" t="s">
        <v>144</v>
      </c>
      <c r="B31" s="92" t="s">
        <v>98</v>
      </c>
      <c r="C31" s="93" t="s">
        <v>132</v>
      </c>
      <c r="D31" s="94" t="s">
        <v>100</v>
      </c>
      <c r="E31" s="91" t="s">
        <v>144</v>
      </c>
      <c r="F31" s="95" t="s">
        <v>101</v>
      </c>
      <c r="G31" s="93" t="s">
        <v>132</v>
      </c>
      <c r="H31" s="94" t="s">
        <v>100</v>
      </c>
      <c r="I31" s="91" t="s">
        <v>144</v>
      </c>
      <c r="J31" s="95" t="s">
        <v>102</v>
      </c>
      <c r="K31" s="93" t="s">
        <v>132</v>
      </c>
      <c r="L31" s="94" t="s">
        <v>100</v>
      </c>
    </row>
    <row r="32" spans="1:12" ht="39.65" customHeight="1">
      <c r="A32" s="91" t="s">
        <v>144</v>
      </c>
      <c r="B32" s="92" t="s">
        <v>98</v>
      </c>
      <c r="C32" s="93" t="s">
        <v>133</v>
      </c>
      <c r="D32" s="94" t="s">
        <v>100</v>
      </c>
      <c r="E32" s="91" t="s">
        <v>144</v>
      </c>
      <c r="F32" s="95" t="s">
        <v>101</v>
      </c>
      <c r="G32" s="93" t="s">
        <v>133</v>
      </c>
      <c r="H32" s="94" t="s">
        <v>100</v>
      </c>
      <c r="I32" s="91" t="s">
        <v>144</v>
      </c>
      <c r="J32" s="95" t="s">
        <v>102</v>
      </c>
      <c r="K32" s="93" t="s">
        <v>133</v>
      </c>
      <c r="L32" s="94" t="s">
        <v>100</v>
      </c>
    </row>
    <row r="33" spans="1:12" ht="39.65" customHeight="1">
      <c r="A33" s="91" t="s">
        <v>144</v>
      </c>
      <c r="B33" s="92" t="s">
        <v>98</v>
      </c>
      <c r="C33" s="93" t="s">
        <v>134</v>
      </c>
      <c r="D33" s="94" t="s">
        <v>100</v>
      </c>
      <c r="E33" s="91" t="s">
        <v>144</v>
      </c>
      <c r="F33" s="95" t="s">
        <v>101</v>
      </c>
      <c r="G33" s="93" t="s">
        <v>134</v>
      </c>
      <c r="H33" s="94" t="s">
        <v>100</v>
      </c>
      <c r="I33" s="91" t="s">
        <v>144</v>
      </c>
      <c r="J33" s="95" t="s">
        <v>102</v>
      </c>
      <c r="K33" s="93" t="s">
        <v>134</v>
      </c>
      <c r="L33" s="94" t="s">
        <v>100</v>
      </c>
    </row>
    <row r="34" spans="1:12" ht="39.65" customHeight="1">
      <c r="A34" s="91" t="s">
        <v>144</v>
      </c>
      <c r="B34" s="92" t="s">
        <v>98</v>
      </c>
      <c r="C34" s="93" t="s">
        <v>135</v>
      </c>
      <c r="D34" s="94" t="s">
        <v>100</v>
      </c>
      <c r="E34" s="91" t="s">
        <v>144</v>
      </c>
      <c r="F34" s="95" t="s">
        <v>101</v>
      </c>
      <c r="G34" s="93" t="s">
        <v>135</v>
      </c>
      <c r="H34" s="94" t="s">
        <v>100</v>
      </c>
      <c r="I34" s="91" t="s">
        <v>144</v>
      </c>
      <c r="J34" s="95" t="s">
        <v>102</v>
      </c>
      <c r="K34" s="93" t="s">
        <v>135</v>
      </c>
      <c r="L34" s="94" t="s">
        <v>100</v>
      </c>
    </row>
    <row r="35" spans="1:12" ht="39.65" customHeight="1">
      <c r="A35" s="91" t="s">
        <v>144</v>
      </c>
      <c r="B35" s="92" t="s">
        <v>98</v>
      </c>
      <c r="C35" s="93" t="s">
        <v>136</v>
      </c>
      <c r="D35" s="94" t="s">
        <v>100</v>
      </c>
      <c r="E35" s="91" t="s">
        <v>144</v>
      </c>
      <c r="F35" s="95" t="s">
        <v>101</v>
      </c>
      <c r="G35" s="93" t="s">
        <v>136</v>
      </c>
      <c r="H35" s="94" t="s">
        <v>100</v>
      </c>
      <c r="I35" s="91" t="s">
        <v>144</v>
      </c>
      <c r="J35" s="95" t="s">
        <v>102</v>
      </c>
      <c r="K35" s="93" t="s">
        <v>136</v>
      </c>
      <c r="L35" s="94" t="s">
        <v>100</v>
      </c>
    </row>
    <row r="36" spans="1:12" ht="39.65" customHeight="1">
      <c r="A36" s="91" t="s">
        <v>144</v>
      </c>
      <c r="B36" s="92" t="s">
        <v>98</v>
      </c>
      <c r="C36" s="93" t="s">
        <v>137</v>
      </c>
      <c r="D36" s="94" t="s">
        <v>100</v>
      </c>
      <c r="E36" s="91" t="s">
        <v>144</v>
      </c>
      <c r="F36" s="95" t="s">
        <v>101</v>
      </c>
      <c r="G36" s="93" t="s">
        <v>137</v>
      </c>
      <c r="H36" s="94" t="s">
        <v>100</v>
      </c>
      <c r="I36" s="91" t="s">
        <v>144</v>
      </c>
      <c r="J36" s="95" t="s">
        <v>102</v>
      </c>
      <c r="K36" s="93" t="s">
        <v>137</v>
      </c>
      <c r="L36" s="94" t="s">
        <v>100</v>
      </c>
    </row>
    <row r="37" spans="1:12" ht="39.65" customHeight="1">
      <c r="A37" s="91" t="s">
        <v>144</v>
      </c>
      <c r="B37" s="92" t="s">
        <v>98</v>
      </c>
      <c r="C37" s="93" t="s">
        <v>138</v>
      </c>
      <c r="D37" s="94" t="s">
        <v>100</v>
      </c>
      <c r="E37" s="91" t="s">
        <v>144</v>
      </c>
      <c r="F37" s="95" t="s">
        <v>101</v>
      </c>
      <c r="G37" s="93" t="s">
        <v>138</v>
      </c>
      <c r="H37" s="94" t="s">
        <v>100</v>
      </c>
      <c r="I37" s="91" t="s">
        <v>144</v>
      </c>
      <c r="J37" s="95" t="s">
        <v>102</v>
      </c>
      <c r="K37" s="93" t="s">
        <v>138</v>
      </c>
      <c r="L37" s="94" t="s">
        <v>100</v>
      </c>
    </row>
    <row r="38" spans="1:12" ht="39.65" customHeight="1">
      <c r="A38" s="91" t="s">
        <v>144</v>
      </c>
      <c r="B38" s="92" t="s">
        <v>98</v>
      </c>
      <c r="C38" s="93" t="s">
        <v>139</v>
      </c>
      <c r="D38" s="94" t="s">
        <v>100</v>
      </c>
      <c r="E38" s="91" t="s">
        <v>144</v>
      </c>
      <c r="F38" s="95" t="s">
        <v>101</v>
      </c>
      <c r="G38" s="93" t="s">
        <v>139</v>
      </c>
      <c r="H38" s="94" t="s">
        <v>100</v>
      </c>
      <c r="I38" s="91" t="s">
        <v>144</v>
      </c>
      <c r="J38" s="95" t="s">
        <v>102</v>
      </c>
      <c r="K38" s="93" t="s">
        <v>139</v>
      </c>
      <c r="L38" s="94" t="s">
        <v>100</v>
      </c>
    </row>
    <row r="39" spans="1:12" ht="39.65" customHeight="1">
      <c r="A39" s="91" t="s">
        <v>144</v>
      </c>
      <c r="B39" s="92" t="s">
        <v>98</v>
      </c>
      <c r="C39" s="93" t="s">
        <v>140</v>
      </c>
      <c r="D39" s="94" t="s">
        <v>100</v>
      </c>
      <c r="E39" s="91" t="s">
        <v>144</v>
      </c>
      <c r="F39" s="95" t="s">
        <v>101</v>
      </c>
      <c r="G39" s="93" t="s">
        <v>140</v>
      </c>
      <c r="H39" s="94" t="s">
        <v>100</v>
      </c>
      <c r="I39" s="91" t="s">
        <v>144</v>
      </c>
      <c r="J39" s="95" t="s">
        <v>102</v>
      </c>
      <c r="K39" s="93" t="s">
        <v>140</v>
      </c>
      <c r="L39" s="94" t="s">
        <v>100</v>
      </c>
    </row>
    <row r="40" spans="1:12" ht="39.65" customHeight="1">
      <c r="A40" s="91" t="s">
        <v>144</v>
      </c>
      <c r="B40" s="92" t="s">
        <v>98</v>
      </c>
      <c r="C40" s="93" t="s">
        <v>141</v>
      </c>
      <c r="D40" s="94" t="s">
        <v>100</v>
      </c>
      <c r="E40" s="91" t="s">
        <v>144</v>
      </c>
      <c r="F40" s="95" t="s">
        <v>101</v>
      </c>
      <c r="G40" s="93" t="s">
        <v>141</v>
      </c>
      <c r="H40" s="94" t="s">
        <v>100</v>
      </c>
      <c r="I40" s="91" t="s">
        <v>144</v>
      </c>
      <c r="J40" s="95" t="s">
        <v>102</v>
      </c>
      <c r="K40" s="93" t="s">
        <v>141</v>
      </c>
      <c r="L40" s="94" t="s">
        <v>100</v>
      </c>
    </row>
    <row r="41" spans="1:12" ht="39.65" customHeight="1">
      <c r="A41" s="91" t="s">
        <v>144</v>
      </c>
      <c r="B41" s="92" t="s">
        <v>98</v>
      </c>
      <c r="C41" s="93" t="s">
        <v>142</v>
      </c>
      <c r="D41" s="94" t="s">
        <v>100</v>
      </c>
      <c r="E41" s="91" t="s">
        <v>144</v>
      </c>
      <c r="F41" s="95" t="s">
        <v>101</v>
      </c>
      <c r="G41" s="93" t="s">
        <v>142</v>
      </c>
      <c r="H41" s="94" t="s">
        <v>100</v>
      </c>
      <c r="I41" s="91" t="s">
        <v>144</v>
      </c>
      <c r="J41" s="95" t="s">
        <v>102</v>
      </c>
      <c r="K41" s="93" t="s">
        <v>142</v>
      </c>
      <c r="L41" s="94" t="s">
        <v>100</v>
      </c>
    </row>
    <row r="42" spans="1:12" ht="39.65" customHeight="1">
      <c r="A42" s="91" t="s">
        <v>144</v>
      </c>
      <c r="B42" s="92" t="s">
        <v>98</v>
      </c>
      <c r="C42" s="93" t="s">
        <v>143</v>
      </c>
      <c r="D42" s="94" t="s">
        <v>100</v>
      </c>
      <c r="E42" s="91" t="s">
        <v>144</v>
      </c>
      <c r="F42" s="95" t="s">
        <v>101</v>
      </c>
      <c r="G42" s="93" t="s">
        <v>143</v>
      </c>
      <c r="H42" s="94" t="s">
        <v>100</v>
      </c>
      <c r="I42" s="91" t="s">
        <v>144</v>
      </c>
      <c r="J42" s="95" t="s">
        <v>102</v>
      </c>
      <c r="K42" s="93" t="s">
        <v>143</v>
      </c>
      <c r="L42" s="94" t="s">
        <v>100</v>
      </c>
    </row>
  </sheetData>
  <phoneticPr fontId="26" type="noConversion"/>
  <pageMargins left="0.7" right="0.7" top="0.75" bottom="0.75" header="0.3" footer="0.3"/>
  <pageSetup paperSize="9" scale="96" orientation="portrait" r:id="rId1"/>
  <colBreaks count="1" manualBreakCount="1">
    <brk id="8"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5BCE-0613-4CDB-89D8-50F76BE4F3E7}">
  <dimension ref="A1:U104"/>
  <sheetViews>
    <sheetView topLeftCell="A17" zoomScale="90" zoomScaleNormal="90" workbookViewId="0">
      <selection activeCell="R76" activeCellId="7" sqref="D35:F36 R35:S36 D47:F48 R47:S48 D63:F64 R63:S64 D76:F77 R76:S77"/>
    </sheetView>
  </sheetViews>
  <sheetFormatPr defaultRowHeight="14.5"/>
  <cols>
    <col min="1" max="1" width="13" customWidth="1"/>
    <col min="7" max="7" width="8.81640625" style="404"/>
    <col min="9" max="10" width="8.81640625" style="404"/>
    <col min="11" max="11" width="6.54296875" style="404" customWidth="1"/>
    <col min="12" max="12" width="22.1796875" style="324" customWidth="1"/>
    <col min="14" max="14" width="19.81640625" customWidth="1"/>
  </cols>
  <sheetData>
    <row r="1" spans="1:21">
      <c r="A1" s="76" t="s">
        <v>1710</v>
      </c>
      <c r="E1" s="76" t="s">
        <v>185</v>
      </c>
    </row>
    <row r="2" spans="1:21">
      <c r="A2" t="s">
        <v>1711</v>
      </c>
    </row>
    <row r="5" spans="1:21" ht="15.5">
      <c r="M5" s="1" t="s">
        <v>1727</v>
      </c>
      <c r="N5" s="1"/>
      <c r="O5" s="1"/>
      <c r="P5" s="407" t="s">
        <v>1728</v>
      </c>
      <c r="Q5" s="66"/>
      <c r="R5" s="66"/>
      <c r="S5" s="408">
        <f>AVERAGE(L18,L54,L66,L83)</f>
        <v>0.15000000000000002</v>
      </c>
      <c r="T5" s="409" t="s">
        <v>1729</v>
      </c>
      <c r="U5" s="409" t="s">
        <v>1725</v>
      </c>
    </row>
    <row r="6" spans="1:21" ht="104.5">
      <c r="M6" s="1" t="s">
        <v>1730</v>
      </c>
      <c r="N6" s="1" t="s">
        <v>1731</v>
      </c>
      <c r="O6" s="410" t="s">
        <v>1732</v>
      </c>
      <c r="P6" s="411"/>
      <c r="S6" s="228"/>
      <c r="T6" s="227"/>
      <c r="U6" s="227"/>
    </row>
    <row r="7" spans="1:21" ht="104.5">
      <c r="A7" t="s">
        <v>1712</v>
      </c>
      <c r="B7" t="s">
        <v>1713</v>
      </c>
      <c r="C7" t="s">
        <v>145</v>
      </c>
      <c r="D7" t="s">
        <v>146</v>
      </c>
      <c r="E7" t="s">
        <v>147</v>
      </c>
      <c r="F7" t="s">
        <v>1714</v>
      </c>
      <c r="G7" s="404" t="s">
        <v>1720</v>
      </c>
      <c r="H7" t="s">
        <v>1721</v>
      </c>
      <c r="I7" s="404" t="s">
        <v>20</v>
      </c>
      <c r="J7" s="404" t="s">
        <v>1722</v>
      </c>
      <c r="K7" s="404" t="s">
        <v>1723</v>
      </c>
      <c r="L7" s="324" t="s">
        <v>1724</v>
      </c>
      <c r="M7" s="410" t="s">
        <v>1733</v>
      </c>
      <c r="N7" s="1" t="s">
        <v>1734</v>
      </c>
      <c r="O7" s="1" t="s">
        <v>1734</v>
      </c>
      <c r="P7" s="1" t="s">
        <v>1735</v>
      </c>
      <c r="Q7" s="1" t="s">
        <v>1736</v>
      </c>
      <c r="R7" s="1" t="s">
        <v>1737</v>
      </c>
      <c r="S7" s="1" t="s">
        <v>1738</v>
      </c>
      <c r="T7" s="1" t="s">
        <v>1739</v>
      </c>
      <c r="U7" s="1" t="s">
        <v>1740</v>
      </c>
    </row>
    <row r="8" spans="1:21">
      <c r="A8" s="67"/>
      <c r="B8">
        <v>1</v>
      </c>
      <c r="C8" s="380">
        <v>2019</v>
      </c>
      <c r="D8" s="380" t="s">
        <v>98</v>
      </c>
      <c r="E8" s="381">
        <v>1</v>
      </c>
      <c r="F8" s="380">
        <v>2504.4</v>
      </c>
      <c r="G8" s="404">
        <v>1</v>
      </c>
      <c r="H8">
        <v>1</v>
      </c>
      <c r="I8" s="404">
        <v>20352</v>
      </c>
      <c r="J8" s="404" t="s">
        <v>1725</v>
      </c>
      <c r="K8" s="404">
        <v>40.6</v>
      </c>
      <c r="L8" s="324">
        <v>404.2</v>
      </c>
      <c r="M8" s="105">
        <f>L8-$S$5</f>
        <v>404.05</v>
      </c>
      <c r="N8">
        <f>(M8/1000)*10</f>
        <v>4.0404999999999998</v>
      </c>
      <c r="O8">
        <f>N8*(5/4)</f>
        <v>5.0506250000000001</v>
      </c>
      <c r="P8">
        <f>O8*28.09</f>
        <v>141.87205625000001</v>
      </c>
      <c r="Q8">
        <f>O8*(28.09+2*16)</f>
        <v>303.49205625000002</v>
      </c>
      <c r="R8">
        <f>(P8/F8)*100</f>
        <v>5.664912004871427</v>
      </c>
      <c r="S8">
        <f>(Q8/F8)*100</f>
        <v>12.118353947053187</v>
      </c>
    </row>
    <row r="9" spans="1:21" s="235" customFormat="1">
      <c r="A9" s="414"/>
      <c r="B9" s="235">
        <v>2</v>
      </c>
      <c r="C9" s="415">
        <v>2019</v>
      </c>
      <c r="D9" s="415" t="s">
        <v>98</v>
      </c>
      <c r="E9" s="416" t="s">
        <v>1684</v>
      </c>
      <c r="F9" s="415">
        <v>2586.6</v>
      </c>
      <c r="G9" s="417">
        <v>1</v>
      </c>
      <c r="H9" s="235">
        <v>2</v>
      </c>
      <c r="I9" s="417">
        <v>20353</v>
      </c>
      <c r="J9" s="417" t="s">
        <v>1725</v>
      </c>
      <c r="K9" s="417">
        <v>50.2</v>
      </c>
      <c r="L9" s="418">
        <v>500.2</v>
      </c>
      <c r="M9" s="224">
        <f t="shared" ref="M9:M72" si="0">L9-$S$5</f>
        <v>500.05</v>
      </c>
      <c r="N9" s="235">
        <f t="shared" ref="N9:N72" si="1">(M9/1000)*10</f>
        <v>5.0004999999999997</v>
      </c>
      <c r="O9" s="235">
        <f t="shared" ref="O9:O72" si="2">N9*(5/4)</f>
        <v>6.2506249999999994</v>
      </c>
      <c r="P9" s="235">
        <f t="shared" ref="P9:P72" si="3">O9*28.09</f>
        <v>175.58005624999998</v>
      </c>
      <c r="Q9" s="235">
        <f t="shared" ref="Q9:Q72" si="4">O9*(28.09+2*16)</f>
        <v>375.60005624999997</v>
      </c>
      <c r="R9" s="235">
        <f t="shared" ref="R9:R72" si="5">(P9/F9)*100</f>
        <v>6.7880637226474905</v>
      </c>
      <c r="S9" s="235">
        <f t="shared" ref="S9:S72" si="6">(Q9/F9)*100</f>
        <v>14.520994983762467</v>
      </c>
      <c r="T9" s="446">
        <f>_xlfn.STDEV.P(R9:R10)/AVERAGE(R9:R10)</f>
        <v>2.5491538930819888E-3</v>
      </c>
      <c r="U9" s="446">
        <f>_xlfn.STDEV.P(R9:R10)</f>
        <v>1.725982112486113E-2</v>
      </c>
    </row>
    <row r="10" spans="1:21" s="235" customFormat="1">
      <c r="A10" s="414"/>
      <c r="B10" s="235">
        <v>3</v>
      </c>
      <c r="C10" s="415">
        <v>2019</v>
      </c>
      <c r="D10" s="415" t="s">
        <v>98</v>
      </c>
      <c r="E10" s="235" t="s">
        <v>1685</v>
      </c>
      <c r="F10" s="415">
        <v>2131.9</v>
      </c>
      <c r="G10" s="417">
        <v>1</v>
      </c>
      <c r="H10" s="235">
        <v>3</v>
      </c>
      <c r="I10" s="417">
        <v>20354</v>
      </c>
      <c r="J10" s="417" t="s">
        <v>1725</v>
      </c>
      <c r="K10" s="417">
        <v>41.2</v>
      </c>
      <c r="L10" s="418">
        <v>410.2</v>
      </c>
      <c r="M10" s="224">
        <f t="shared" si="0"/>
        <v>410.05</v>
      </c>
      <c r="N10" s="235">
        <f t="shared" si="1"/>
        <v>4.1005000000000003</v>
      </c>
      <c r="O10" s="235">
        <f t="shared" si="2"/>
        <v>5.1256250000000003</v>
      </c>
      <c r="P10" s="235">
        <f t="shared" si="3"/>
        <v>143.97880625000002</v>
      </c>
      <c r="Q10" s="235">
        <f t="shared" si="4"/>
        <v>307.99880625000003</v>
      </c>
      <c r="R10" s="235">
        <f t="shared" si="5"/>
        <v>6.7535440803977682</v>
      </c>
      <c r="S10" s="235">
        <f t="shared" si="6"/>
        <v>14.447150722360336</v>
      </c>
      <c r="U10" s="447">
        <f>U9</f>
        <v>1.725982112486113E-2</v>
      </c>
    </row>
    <row r="11" spans="1:21">
      <c r="A11" s="67"/>
      <c r="B11">
        <v>4</v>
      </c>
      <c r="C11" s="380">
        <v>2019</v>
      </c>
      <c r="D11" s="380" t="s">
        <v>98</v>
      </c>
      <c r="E11" s="381">
        <v>3</v>
      </c>
      <c r="F11" s="380">
        <v>2671.6</v>
      </c>
      <c r="G11" s="404">
        <v>1</v>
      </c>
      <c r="H11">
        <v>4</v>
      </c>
      <c r="I11" s="404">
        <v>20355</v>
      </c>
      <c r="J11" s="404" t="s">
        <v>1725</v>
      </c>
      <c r="K11" s="404">
        <v>18.899999999999999</v>
      </c>
      <c r="L11" s="324">
        <v>187.2</v>
      </c>
      <c r="M11" s="105">
        <f t="shared" si="0"/>
        <v>187.04999999999998</v>
      </c>
      <c r="N11">
        <f t="shared" si="1"/>
        <v>1.8704999999999998</v>
      </c>
      <c r="O11">
        <f t="shared" si="2"/>
        <v>2.3381249999999998</v>
      </c>
      <c r="P11">
        <f t="shared" si="3"/>
        <v>65.67793125</v>
      </c>
      <c r="Q11">
        <f t="shared" si="4"/>
        <v>140.49793124999999</v>
      </c>
      <c r="R11">
        <f t="shared" si="5"/>
        <v>2.4583744291810152</v>
      </c>
      <c r="S11">
        <f t="shared" si="6"/>
        <v>5.2589433766282374</v>
      </c>
    </row>
    <row r="12" spans="1:21">
      <c r="A12" s="267"/>
      <c r="B12" s="76">
        <v>5</v>
      </c>
      <c r="C12" s="380">
        <v>2019</v>
      </c>
      <c r="D12" s="380" t="s">
        <v>98</v>
      </c>
      <c r="E12" s="381">
        <v>4</v>
      </c>
      <c r="F12" s="380">
        <v>2667.5</v>
      </c>
      <c r="G12" s="404">
        <v>1</v>
      </c>
      <c r="H12">
        <v>5</v>
      </c>
      <c r="I12" s="404">
        <v>20356</v>
      </c>
      <c r="J12" s="404" t="s">
        <v>1725</v>
      </c>
      <c r="K12" s="404">
        <v>58.5</v>
      </c>
      <c r="L12" s="324">
        <v>583.20000000000005</v>
      </c>
      <c r="M12" s="105">
        <f t="shared" si="0"/>
        <v>583.05000000000007</v>
      </c>
      <c r="N12">
        <f t="shared" si="1"/>
        <v>5.8305000000000007</v>
      </c>
      <c r="O12">
        <f t="shared" si="2"/>
        <v>7.2881250000000009</v>
      </c>
      <c r="P12">
        <f t="shared" si="3"/>
        <v>204.72343125000003</v>
      </c>
      <c r="Q12">
        <f t="shared" si="4"/>
        <v>437.94343125000006</v>
      </c>
      <c r="R12">
        <f t="shared" si="5"/>
        <v>7.6747303186504228</v>
      </c>
      <c r="S12">
        <f t="shared" si="6"/>
        <v>16.417748125585756</v>
      </c>
    </row>
    <row r="13" spans="1:21">
      <c r="A13" s="67"/>
      <c r="B13">
        <v>6</v>
      </c>
      <c r="C13" s="380">
        <v>2019</v>
      </c>
      <c r="D13" s="380" t="s">
        <v>98</v>
      </c>
      <c r="E13" s="381">
        <v>5</v>
      </c>
      <c r="F13" s="380">
        <v>3056.1</v>
      </c>
      <c r="G13" s="404">
        <v>1</v>
      </c>
      <c r="H13">
        <v>6</v>
      </c>
      <c r="I13" s="404">
        <v>20357</v>
      </c>
      <c r="J13" s="404" t="s">
        <v>1725</v>
      </c>
      <c r="K13" s="404">
        <v>51.8</v>
      </c>
      <c r="L13" s="324">
        <v>516.20000000000005</v>
      </c>
      <c r="M13" s="105">
        <f t="shared" si="0"/>
        <v>516.05000000000007</v>
      </c>
      <c r="N13">
        <f t="shared" si="1"/>
        <v>5.1605000000000008</v>
      </c>
      <c r="O13">
        <f t="shared" si="2"/>
        <v>6.4506250000000005</v>
      </c>
      <c r="P13">
        <f t="shared" si="3"/>
        <v>181.19805625000001</v>
      </c>
      <c r="Q13">
        <f t="shared" si="4"/>
        <v>387.61805625000005</v>
      </c>
      <c r="R13">
        <f t="shared" si="5"/>
        <v>5.9290617535420971</v>
      </c>
      <c r="S13">
        <f t="shared" si="6"/>
        <v>12.683421885736726</v>
      </c>
    </row>
    <row r="14" spans="1:21">
      <c r="A14" s="67"/>
      <c r="B14">
        <v>7</v>
      </c>
      <c r="C14" s="380">
        <v>2019</v>
      </c>
      <c r="D14" s="380" t="s">
        <v>98</v>
      </c>
      <c r="E14" s="381">
        <v>6</v>
      </c>
      <c r="F14" s="380">
        <v>2652.1</v>
      </c>
      <c r="G14" s="404">
        <v>1</v>
      </c>
      <c r="H14">
        <v>7</v>
      </c>
      <c r="I14" s="404">
        <v>20358</v>
      </c>
      <c r="J14" s="404" t="s">
        <v>1725</v>
      </c>
      <c r="K14" s="404">
        <v>54.9</v>
      </c>
      <c r="L14" s="324">
        <v>547.20000000000005</v>
      </c>
      <c r="M14" s="105">
        <f t="shared" si="0"/>
        <v>547.05000000000007</v>
      </c>
      <c r="N14">
        <f t="shared" si="1"/>
        <v>5.4705000000000004</v>
      </c>
      <c r="O14">
        <f t="shared" si="2"/>
        <v>6.8381250000000007</v>
      </c>
      <c r="P14">
        <f t="shared" si="3"/>
        <v>192.08293125000003</v>
      </c>
      <c r="Q14">
        <f t="shared" si="4"/>
        <v>410.90293125000005</v>
      </c>
      <c r="R14">
        <f t="shared" si="5"/>
        <v>7.242673023264584</v>
      </c>
      <c r="S14">
        <f t="shared" si="6"/>
        <v>15.493493128087179</v>
      </c>
    </row>
    <row r="15" spans="1:21">
      <c r="A15" s="67"/>
      <c r="B15">
        <v>8</v>
      </c>
      <c r="C15" s="380">
        <v>2019</v>
      </c>
      <c r="D15" s="380" t="s">
        <v>98</v>
      </c>
      <c r="E15" s="381">
        <v>7</v>
      </c>
      <c r="F15" s="380">
        <v>3258.7</v>
      </c>
      <c r="G15" s="404">
        <v>1</v>
      </c>
      <c r="H15">
        <v>8</v>
      </c>
      <c r="I15" s="404">
        <v>20359</v>
      </c>
      <c r="J15" s="404" t="s">
        <v>1725</v>
      </c>
      <c r="K15" s="404">
        <v>42.8</v>
      </c>
      <c r="L15" s="324">
        <v>426.2</v>
      </c>
      <c r="M15" s="105">
        <f t="shared" si="0"/>
        <v>426.05</v>
      </c>
      <c r="N15">
        <f t="shared" si="1"/>
        <v>4.2604999999999995</v>
      </c>
      <c r="O15">
        <f t="shared" si="2"/>
        <v>5.3256249999999996</v>
      </c>
      <c r="P15">
        <f t="shared" si="3"/>
        <v>149.59680624999999</v>
      </c>
      <c r="Q15">
        <f t="shared" si="4"/>
        <v>320.01680625</v>
      </c>
      <c r="R15">
        <f t="shared" si="5"/>
        <v>4.5906897305674033</v>
      </c>
      <c r="S15">
        <f t="shared" si="6"/>
        <v>9.8203825528585025</v>
      </c>
    </row>
    <row r="16" spans="1:21">
      <c r="A16" s="67"/>
      <c r="B16">
        <v>9</v>
      </c>
      <c r="C16" s="380">
        <v>2019</v>
      </c>
      <c r="D16" s="380" t="s">
        <v>98</v>
      </c>
      <c r="E16" s="381">
        <v>8</v>
      </c>
      <c r="F16" s="380">
        <v>2437.4</v>
      </c>
      <c r="G16" s="404">
        <v>1</v>
      </c>
      <c r="H16">
        <v>9</v>
      </c>
      <c r="I16" s="404">
        <v>20360</v>
      </c>
      <c r="J16" s="404" t="s">
        <v>1725</v>
      </c>
      <c r="K16" s="404">
        <v>5.7</v>
      </c>
      <c r="L16" s="324">
        <v>55.2</v>
      </c>
      <c r="M16" s="105">
        <f t="shared" si="0"/>
        <v>55.050000000000004</v>
      </c>
      <c r="N16">
        <f t="shared" si="1"/>
        <v>0.55049999999999999</v>
      </c>
      <c r="O16">
        <f t="shared" si="2"/>
        <v>0.68812499999999999</v>
      </c>
      <c r="P16">
        <f t="shared" si="3"/>
        <v>19.329431249999999</v>
      </c>
      <c r="Q16">
        <f t="shared" si="4"/>
        <v>41.349431250000002</v>
      </c>
      <c r="R16">
        <f t="shared" si="5"/>
        <v>0.79303484245507505</v>
      </c>
      <c r="S16">
        <f t="shared" si="6"/>
        <v>1.6964565212931813</v>
      </c>
    </row>
    <row r="17" spans="1:21">
      <c r="A17" s="67"/>
      <c r="B17">
        <v>10</v>
      </c>
      <c r="C17" s="380">
        <v>2019</v>
      </c>
      <c r="D17" s="380" t="s">
        <v>98</v>
      </c>
      <c r="E17" s="381">
        <v>9</v>
      </c>
      <c r="F17" s="380">
        <v>2355.4</v>
      </c>
      <c r="G17" s="404">
        <v>1</v>
      </c>
      <c r="H17">
        <v>10</v>
      </c>
      <c r="I17" s="404">
        <v>20361</v>
      </c>
      <c r="J17" s="404" t="s">
        <v>1725</v>
      </c>
      <c r="K17" s="404">
        <v>24.6</v>
      </c>
      <c r="L17" s="324">
        <v>244.2</v>
      </c>
      <c r="M17" s="105">
        <f t="shared" si="0"/>
        <v>244.04999999999998</v>
      </c>
      <c r="N17">
        <f t="shared" si="1"/>
        <v>2.4405000000000001</v>
      </c>
      <c r="O17">
        <f t="shared" si="2"/>
        <v>3.0506250000000001</v>
      </c>
      <c r="P17">
        <f t="shared" si="3"/>
        <v>85.692056250000007</v>
      </c>
      <c r="Q17">
        <f t="shared" si="4"/>
        <v>183.31205625000001</v>
      </c>
      <c r="R17">
        <f t="shared" si="5"/>
        <v>3.6381105650844869</v>
      </c>
      <c r="S17">
        <f t="shared" si="6"/>
        <v>7.782629542752824</v>
      </c>
    </row>
    <row r="18" spans="1:21" s="390" customFormat="1">
      <c r="A18" s="389"/>
      <c r="B18" s="390">
        <v>11</v>
      </c>
      <c r="C18" s="391"/>
      <c r="D18" s="391" t="s">
        <v>1715</v>
      </c>
      <c r="E18" s="392"/>
      <c r="F18" s="391"/>
      <c r="G18" s="405">
        <v>1</v>
      </c>
      <c r="H18" s="390">
        <v>11</v>
      </c>
      <c r="I18" s="405">
        <v>20362</v>
      </c>
      <c r="J18" s="405" t="s">
        <v>1725</v>
      </c>
      <c r="K18" s="405" t="s">
        <v>1726</v>
      </c>
      <c r="L18" s="412">
        <v>0.2</v>
      </c>
      <c r="M18" s="448">
        <f t="shared" si="0"/>
        <v>4.9999999999999989E-2</v>
      </c>
      <c r="N18" s="390">
        <f t="shared" si="1"/>
        <v>4.999999999999999E-4</v>
      </c>
      <c r="O18" s="390">
        <f t="shared" si="2"/>
        <v>6.249999999999999E-4</v>
      </c>
      <c r="P18" s="390">
        <f t="shared" si="3"/>
        <v>1.7556249999999999E-2</v>
      </c>
      <c r="Q18" s="390">
        <f t="shared" si="4"/>
        <v>3.7556249999999999E-2</v>
      </c>
      <c r="R18" s="390" t="e">
        <f t="shared" si="5"/>
        <v>#DIV/0!</v>
      </c>
      <c r="S18" s="390" t="e">
        <f t="shared" si="6"/>
        <v>#DIV/0!</v>
      </c>
    </row>
    <row r="19" spans="1:21" s="395" customFormat="1" ht="15" thickBot="1">
      <c r="A19" s="399"/>
      <c r="B19" s="400">
        <v>12</v>
      </c>
      <c r="C19" s="400" t="s">
        <v>1716</v>
      </c>
      <c r="D19" s="401" t="s">
        <v>1706</v>
      </c>
      <c r="E19" s="402">
        <v>1</v>
      </c>
      <c r="F19" s="403">
        <v>2416.4</v>
      </c>
      <c r="G19" s="406">
        <v>1</v>
      </c>
      <c r="H19" s="395">
        <v>12</v>
      </c>
      <c r="I19" s="406">
        <v>20363</v>
      </c>
      <c r="J19" s="406" t="s">
        <v>1725</v>
      </c>
      <c r="K19" s="406">
        <v>29.1</v>
      </c>
      <c r="L19" s="413">
        <v>289.2</v>
      </c>
      <c r="M19" s="449">
        <f t="shared" si="0"/>
        <v>289.05</v>
      </c>
      <c r="N19" s="395">
        <f t="shared" si="1"/>
        <v>2.8905000000000003</v>
      </c>
      <c r="O19" s="395">
        <f t="shared" si="2"/>
        <v>3.6131250000000001</v>
      </c>
      <c r="P19" s="395">
        <f t="shared" si="3"/>
        <v>101.49268125</v>
      </c>
      <c r="Q19" s="395">
        <f t="shared" si="4"/>
        <v>217.11268125000001</v>
      </c>
      <c r="R19" s="395">
        <f t="shared" si="5"/>
        <v>4.2001606211719915</v>
      </c>
      <c r="S19" s="395">
        <f t="shared" si="6"/>
        <v>8.9849644615957622</v>
      </c>
    </row>
    <row r="20" spans="1:21" ht="15" thickTop="1">
      <c r="A20" s="67"/>
      <c r="B20">
        <v>13</v>
      </c>
      <c r="C20" s="384">
        <v>2019</v>
      </c>
      <c r="D20" s="384" t="s">
        <v>98</v>
      </c>
      <c r="E20" s="385">
        <v>10</v>
      </c>
      <c r="F20" s="384">
        <v>2578.3000000000002</v>
      </c>
      <c r="G20" s="404">
        <v>1</v>
      </c>
      <c r="H20">
        <v>13</v>
      </c>
      <c r="I20" s="404">
        <v>20364</v>
      </c>
      <c r="J20" s="404" t="s">
        <v>1725</v>
      </c>
      <c r="K20" s="404">
        <v>42.4</v>
      </c>
      <c r="L20" s="324">
        <v>422.2</v>
      </c>
      <c r="M20" s="105">
        <f t="shared" si="0"/>
        <v>422.05</v>
      </c>
      <c r="N20">
        <f t="shared" si="1"/>
        <v>4.2205000000000004</v>
      </c>
      <c r="O20">
        <f t="shared" si="2"/>
        <v>5.2756250000000007</v>
      </c>
      <c r="P20">
        <f t="shared" si="3"/>
        <v>148.19230625000003</v>
      </c>
      <c r="Q20">
        <f t="shared" si="4"/>
        <v>317.01230625000005</v>
      </c>
      <c r="R20">
        <f t="shared" si="5"/>
        <v>5.7476750669045495</v>
      </c>
      <c r="S20">
        <f t="shared" si="6"/>
        <v>12.295400312221231</v>
      </c>
    </row>
    <row r="21" spans="1:21">
      <c r="A21" s="67"/>
      <c r="B21">
        <v>14</v>
      </c>
      <c r="C21" s="380">
        <v>2019</v>
      </c>
      <c r="D21" s="380" t="s">
        <v>98</v>
      </c>
      <c r="E21" s="381">
        <v>11</v>
      </c>
      <c r="F21" s="380">
        <v>3232.2</v>
      </c>
      <c r="G21" s="404">
        <v>1</v>
      </c>
      <c r="H21">
        <v>14</v>
      </c>
      <c r="I21" s="404">
        <v>20365</v>
      </c>
      <c r="J21" s="404" t="s">
        <v>1725</v>
      </c>
      <c r="K21" s="404">
        <v>47.4</v>
      </c>
      <c r="L21" s="324">
        <v>472.2</v>
      </c>
      <c r="M21" s="105">
        <f t="shared" si="0"/>
        <v>472.05</v>
      </c>
      <c r="N21">
        <f t="shared" si="1"/>
        <v>4.7205000000000004</v>
      </c>
      <c r="O21">
        <f t="shared" si="2"/>
        <v>5.9006250000000007</v>
      </c>
      <c r="P21">
        <f t="shared" si="3"/>
        <v>165.74855625000001</v>
      </c>
      <c r="Q21">
        <f t="shared" si="4"/>
        <v>354.56855625000009</v>
      </c>
      <c r="R21">
        <f t="shared" si="5"/>
        <v>5.12804146556525</v>
      </c>
      <c r="S21">
        <f t="shared" si="6"/>
        <v>10.969882935771306</v>
      </c>
    </row>
    <row r="22" spans="1:21">
      <c r="A22" s="67"/>
      <c r="B22">
        <v>15</v>
      </c>
      <c r="C22" s="380">
        <v>2019</v>
      </c>
      <c r="D22" s="380" t="s">
        <v>98</v>
      </c>
      <c r="E22" s="381">
        <v>12</v>
      </c>
      <c r="F22" s="380">
        <v>2627.2</v>
      </c>
      <c r="G22" s="404">
        <v>1</v>
      </c>
      <c r="H22">
        <v>15</v>
      </c>
      <c r="I22" s="404">
        <v>20366</v>
      </c>
      <c r="J22" s="404" t="s">
        <v>1725</v>
      </c>
      <c r="K22" s="404">
        <v>29.1</v>
      </c>
      <c r="L22" s="324">
        <v>289.2</v>
      </c>
      <c r="M22" s="105">
        <f t="shared" si="0"/>
        <v>289.05</v>
      </c>
      <c r="N22">
        <f t="shared" si="1"/>
        <v>2.8905000000000003</v>
      </c>
      <c r="O22">
        <f t="shared" si="2"/>
        <v>3.6131250000000001</v>
      </c>
      <c r="P22">
        <f t="shared" si="3"/>
        <v>101.49268125</v>
      </c>
      <c r="Q22">
        <f t="shared" si="4"/>
        <v>217.11268125000001</v>
      </c>
      <c r="R22">
        <f t="shared" si="5"/>
        <v>3.8631501693818517</v>
      </c>
      <c r="S22">
        <f t="shared" si="6"/>
        <v>8.2640332388093789</v>
      </c>
    </row>
    <row r="23" spans="1:21">
      <c r="A23" s="67"/>
      <c r="B23">
        <v>16</v>
      </c>
      <c r="C23" s="380">
        <v>2019</v>
      </c>
      <c r="D23" s="380" t="s">
        <v>98</v>
      </c>
      <c r="E23" s="381">
        <v>13</v>
      </c>
      <c r="F23" s="380">
        <v>2945.1</v>
      </c>
      <c r="G23" s="404">
        <v>1</v>
      </c>
      <c r="H23">
        <v>16</v>
      </c>
      <c r="I23" s="404">
        <v>20367</v>
      </c>
      <c r="J23" s="404" t="s">
        <v>1725</v>
      </c>
      <c r="K23" s="404">
        <v>36.1</v>
      </c>
      <c r="L23" s="324">
        <v>359.2</v>
      </c>
      <c r="M23" s="105">
        <f t="shared" si="0"/>
        <v>359.05</v>
      </c>
      <c r="N23">
        <f t="shared" si="1"/>
        <v>3.5905000000000005</v>
      </c>
      <c r="O23">
        <f t="shared" si="2"/>
        <v>4.4881250000000001</v>
      </c>
      <c r="P23">
        <f t="shared" si="3"/>
        <v>126.07143125</v>
      </c>
      <c r="Q23">
        <f t="shared" si="4"/>
        <v>269.69143125000005</v>
      </c>
      <c r="R23">
        <f t="shared" si="5"/>
        <v>4.2807181844419544</v>
      </c>
      <c r="S23">
        <f t="shared" si="6"/>
        <v>9.1572928338596338</v>
      </c>
    </row>
    <row r="24" spans="1:21" s="347" customFormat="1">
      <c r="A24" s="419"/>
      <c r="B24" s="347">
        <v>17</v>
      </c>
      <c r="C24" s="420">
        <v>2019</v>
      </c>
      <c r="D24" s="420" t="s">
        <v>98</v>
      </c>
      <c r="E24" s="421" t="s">
        <v>1686</v>
      </c>
      <c r="F24" s="420">
        <v>2378</v>
      </c>
      <c r="G24" s="422">
        <v>1</v>
      </c>
      <c r="H24" s="347">
        <v>17</v>
      </c>
      <c r="I24" s="422">
        <v>20368</v>
      </c>
      <c r="J24" s="422" t="s">
        <v>1725</v>
      </c>
      <c r="K24" s="422">
        <v>36.1</v>
      </c>
      <c r="L24" s="423">
        <v>359.2</v>
      </c>
      <c r="M24" s="424">
        <f t="shared" si="0"/>
        <v>359.05</v>
      </c>
      <c r="N24" s="347">
        <f t="shared" si="1"/>
        <v>3.5905000000000005</v>
      </c>
      <c r="O24" s="347">
        <f t="shared" si="2"/>
        <v>4.4881250000000001</v>
      </c>
      <c r="P24" s="347">
        <f t="shared" si="3"/>
        <v>126.07143125</v>
      </c>
      <c r="Q24" s="347">
        <f t="shared" si="4"/>
        <v>269.69143125000005</v>
      </c>
      <c r="R24" s="347">
        <f t="shared" si="5"/>
        <v>5.3015740643397811</v>
      </c>
      <c r="S24" s="347">
        <f t="shared" si="6"/>
        <v>11.341103080319598</v>
      </c>
      <c r="T24" s="446">
        <f>_xlfn.STDEV.P(R24:R25)/AVERAGE(R24:R25)</f>
        <v>2.4998028818324297E-3</v>
      </c>
      <c r="U24" s="446">
        <f>_xlfn.STDEV.P(R24:R25)</f>
        <v>1.3219843122350028E-2</v>
      </c>
    </row>
    <row r="25" spans="1:21" s="347" customFormat="1">
      <c r="A25" s="419"/>
      <c r="B25" s="347">
        <v>18</v>
      </c>
      <c r="C25" s="420">
        <v>2019</v>
      </c>
      <c r="D25" s="420" t="s">
        <v>98</v>
      </c>
      <c r="E25" s="421" t="s">
        <v>1687</v>
      </c>
      <c r="F25" s="420">
        <v>2423.1999999999998</v>
      </c>
      <c r="G25" s="422">
        <v>1</v>
      </c>
      <c r="H25" s="347">
        <v>18</v>
      </c>
      <c r="I25" s="422">
        <v>20369</v>
      </c>
      <c r="J25" s="422" t="s">
        <v>1725</v>
      </c>
      <c r="K25" s="422">
        <v>36.6</v>
      </c>
      <c r="L25" s="423">
        <v>364.2</v>
      </c>
      <c r="M25" s="424">
        <f t="shared" si="0"/>
        <v>364.05</v>
      </c>
      <c r="N25" s="347">
        <f t="shared" si="1"/>
        <v>3.6404999999999998</v>
      </c>
      <c r="O25" s="347">
        <f t="shared" si="2"/>
        <v>4.5506250000000001</v>
      </c>
      <c r="P25" s="347">
        <f t="shared" si="3"/>
        <v>127.82705625</v>
      </c>
      <c r="Q25" s="347">
        <f t="shared" si="4"/>
        <v>273.44705625</v>
      </c>
      <c r="R25" s="347">
        <f t="shared" si="5"/>
        <v>5.275134378095081</v>
      </c>
      <c r="S25" s="347">
        <f t="shared" si="6"/>
        <v>11.284543423984815</v>
      </c>
      <c r="U25" s="447">
        <f>U24</f>
        <v>1.3219843122350028E-2</v>
      </c>
    </row>
    <row r="26" spans="1:21">
      <c r="A26" s="67"/>
      <c r="B26">
        <v>19</v>
      </c>
      <c r="C26" s="380">
        <v>2019</v>
      </c>
      <c r="D26" s="380" t="s">
        <v>98</v>
      </c>
      <c r="E26" s="381">
        <v>15</v>
      </c>
      <c r="F26" s="380">
        <v>2056</v>
      </c>
      <c r="G26" s="404">
        <v>1</v>
      </c>
      <c r="H26">
        <v>19</v>
      </c>
      <c r="I26" s="404">
        <v>20370</v>
      </c>
      <c r="J26" s="404" t="s">
        <v>1725</v>
      </c>
      <c r="K26" s="404">
        <v>45</v>
      </c>
      <c r="L26" s="324">
        <v>448.2</v>
      </c>
      <c r="M26" s="105">
        <f t="shared" si="0"/>
        <v>448.05</v>
      </c>
      <c r="N26">
        <f t="shared" si="1"/>
        <v>4.4805000000000001</v>
      </c>
      <c r="O26">
        <f t="shared" si="2"/>
        <v>5.600625</v>
      </c>
      <c r="P26">
        <f t="shared" si="3"/>
        <v>157.32155624999999</v>
      </c>
      <c r="Q26">
        <f t="shared" si="4"/>
        <v>336.54155625000004</v>
      </c>
      <c r="R26">
        <f t="shared" si="5"/>
        <v>7.6518266658560306</v>
      </c>
      <c r="S26">
        <f t="shared" si="6"/>
        <v>16.368752735894944</v>
      </c>
    </row>
    <row r="27" spans="1:21">
      <c r="A27" s="67"/>
      <c r="B27">
        <v>20</v>
      </c>
      <c r="C27" s="380">
        <v>2019</v>
      </c>
      <c r="D27" s="380" t="s">
        <v>98</v>
      </c>
      <c r="E27" s="381">
        <v>16</v>
      </c>
      <c r="F27" s="380">
        <v>2548.1999999999998</v>
      </c>
      <c r="G27" s="404">
        <v>1</v>
      </c>
      <c r="H27">
        <v>20</v>
      </c>
      <c r="I27" s="404">
        <v>20371</v>
      </c>
      <c r="J27" s="404" t="s">
        <v>1725</v>
      </c>
      <c r="K27" s="404">
        <v>28.6</v>
      </c>
      <c r="L27" s="324">
        <v>284.2</v>
      </c>
      <c r="M27" s="105">
        <f t="shared" si="0"/>
        <v>284.05</v>
      </c>
      <c r="N27">
        <f t="shared" si="1"/>
        <v>2.8405000000000005</v>
      </c>
      <c r="O27">
        <f t="shared" si="2"/>
        <v>3.5506250000000006</v>
      </c>
      <c r="P27">
        <f t="shared" si="3"/>
        <v>99.737056250000009</v>
      </c>
      <c r="Q27">
        <f t="shared" si="4"/>
        <v>213.35705625000006</v>
      </c>
      <c r="R27">
        <f t="shared" si="5"/>
        <v>3.9140199454516917</v>
      </c>
      <c r="S27">
        <f t="shared" si="6"/>
        <v>8.3728536319755147</v>
      </c>
    </row>
    <row r="28" spans="1:21">
      <c r="A28" s="67"/>
      <c r="B28">
        <v>21</v>
      </c>
      <c r="C28" s="380">
        <v>2019</v>
      </c>
      <c r="D28" s="380" t="s">
        <v>98</v>
      </c>
      <c r="E28" s="381">
        <v>17</v>
      </c>
      <c r="F28" s="380">
        <v>2095.4</v>
      </c>
      <c r="G28" s="404">
        <v>1</v>
      </c>
      <c r="H28">
        <v>21</v>
      </c>
      <c r="I28" s="404">
        <v>20372</v>
      </c>
      <c r="J28" s="404" t="s">
        <v>1725</v>
      </c>
      <c r="K28" s="404">
        <v>14.7</v>
      </c>
      <c r="L28" s="324">
        <v>145.19999999999999</v>
      </c>
      <c r="M28" s="105">
        <f t="shared" si="0"/>
        <v>145.04999999999998</v>
      </c>
      <c r="N28">
        <f t="shared" si="1"/>
        <v>1.4504999999999999</v>
      </c>
      <c r="O28">
        <f t="shared" si="2"/>
        <v>1.8131249999999999</v>
      </c>
      <c r="P28">
        <f t="shared" si="3"/>
        <v>50.930681249999999</v>
      </c>
      <c r="Q28">
        <f t="shared" si="4"/>
        <v>108.95068125</v>
      </c>
      <c r="R28">
        <f t="shared" si="5"/>
        <v>2.4305946955235274</v>
      </c>
      <c r="S28">
        <f t="shared" si="6"/>
        <v>5.1995170969743247</v>
      </c>
    </row>
    <row r="29" spans="1:21">
      <c r="A29" s="67"/>
      <c r="B29">
        <v>22</v>
      </c>
      <c r="C29" s="380">
        <v>2019</v>
      </c>
      <c r="D29" s="380" t="s">
        <v>98</v>
      </c>
      <c r="E29" s="381">
        <v>18</v>
      </c>
      <c r="F29" s="380">
        <v>2386.9</v>
      </c>
      <c r="G29" s="404">
        <v>1</v>
      </c>
      <c r="H29">
        <v>22</v>
      </c>
      <c r="I29" s="404">
        <v>20373</v>
      </c>
      <c r="J29" s="404" t="s">
        <v>1725</v>
      </c>
      <c r="K29" s="404">
        <v>16.5</v>
      </c>
      <c r="L29" s="324">
        <v>163.19999999999999</v>
      </c>
      <c r="M29" s="105">
        <f t="shared" si="0"/>
        <v>163.04999999999998</v>
      </c>
      <c r="N29">
        <f t="shared" si="1"/>
        <v>1.6304999999999996</v>
      </c>
      <c r="O29">
        <f t="shared" si="2"/>
        <v>2.0381249999999995</v>
      </c>
      <c r="P29">
        <f t="shared" si="3"/>
        <v>57.250931249999987</v>
      </c>
      <c r="Q29">
        <f t="shared" si="4"/>
        <v>122.47093124999998</v>
      </c>
      <c r="R29">
        <f t="shared" si="5"/>
        <v>2.3985475407432224</v>
      </c>
      <c r="S29">
        <f t="shared" si="6"/>
        <v>5.1309619695001878</v>
      </c>
    </row>
    <row r="30" spans="1:21">
      <c r="A30" s="67"/>
      <c r="B30">
        <v>23</v>
      </c>
      <c r="C30" s="380">
        <v>2019</v>
      </c>
      <c r="D30" s="380" t="s">
        <v>98</v>
      </c>
      <c r="E30" s="381">
        <v>19</v>
      </c>
      <c r="F30" s="380">
        <v>2126.9</v>
      </c>
      <c r="G30" s="404">
        <v>1</v>
      </c>
      <c r="H30">
        <v>23</v>
      </c>
      <c r="I30" s="404">
        <v>20374</v>
      </c>
      <c r="J30" s="404" t="s">
        <v>1725</v>
      </c>
      <c r="K30" s="404">
        <v>9.6999999999999993</v>
      </c>
      <c r="L30" s="324">
        <v>95.2</v>
      </c>
      <c r="M30" s="105">
        <f t="shared" si="0"/>
        <v>95.05</v>
      </c>
      <c r="N30">
        <f t="shared" si="1"/>
        <v>0.9504999999999999</v>
      </c>
      <c r="O30">
        <f t="shared" si="2"/>
        <v>1.1881249999999999</v>
      </c>
      <c r="P30">
        <f t="shared" si="3"/>
        <v>33.374431249999994</v>
      </c>
      <c r="Q30">
        <f t="shared" si="4"/>
        <v>71.394431249999997</v>
      </c>
      <c r="R30">
        <f t="shared" si="5"/>
        <v>1.5691584583196199</v>
      </c>
      <c r="S30">
        <f t="shared" si="6"/>
        <v>3.3567366237246694</v>
      </c>
    </row>
    <row r="31" spans="1:21" ht="15" thickBot="1">
      <c r="A31" s="293"/>
      <c r="B31" s="288">
        <v>24</v>
      </c>
      <c r="C31" s="383">
        <v>2019</v>
      </c>
      <c r="D31" s="383" t="s">
        <v>98</v>
      </c>
      <c r="E31" s="382">
        <v>20</v>
      </c>
      <c r="F31" s="383">
        <v>2885.1</v>
      </c>
      <c r="G31" s="404">
        <v>1</v>
      </c>
      <c r="H31">
        <v>24</v>
      </c>
      <c r="I31" s="404">
        <v>20375</v>
      </c>
      <c r="J31" s="404" t="s">
        <v>1725</v>
      </c>
      <c r="K31" s="404">
        <v>6.4</v>
      </c>
      <c r="L31" s="324">
        <v>62.2</v>
      </c>
      <c r="M31" s="105">
        <f t="shared" si="0"/>
        <v>62.050000000000004</v>
      </c>
      <c r="N31">
        <f t="shared" si="1"/>
        <v>0.62050000000000005</v>
      </c>
      <c r="O31">
        <f t="shared" si="2"/>
        <v>0.77562500000000001</v>
      </c>
      <c r="P31">
        <f t="shared" si="3"/>
        <v>21.78730625</v>
      </c>
      <c r="Q31">
        <f t="shared" si="4"/>
        <v>46.607306250000001</v>
      </c>
      <c r="R31">
        <f t="shared" si="5"/>
        <v>0.75516641537555029</v>
      </c>
      <c r="S31">
        <f t="shared" si="6"/>
        <v>1.6154485546428201</v>
      </c>
    </row>
    <row r="32" spans="1:21" ht="15.5" thickTop="1" thickBot="1">
      <c r="A32" s="67"/>
      <c r="B32">
        <v>25</v>
      </c>
      <c r="C32" s="384">
        <v>2019</v>
      </c>
      <c r="D32" s="386" t="s">
        <v>98</v>
      </c>
      <c r="E32" s="387">
        <v>21</v>
      </c>
      <c r="F32" s="384">
        <v>2204.1</v>
      </c>
      <c r="G32" s="404">
        <v>1</v>
      </c>
      <c r="H32">
        <v>25</v>
      </c>
      <c r="I32" s="404">
        <v>20376</v>
      </c>
      <c r="J32" s="404" t="s">
        <v>1725</v>
      </c>
      <c r="K32" s="404">
        <v>6.6</v>
      </c>
      <c r="L32" s="324">
        <v>64.2</v>
      </c>
      <c r="M32" s="105">
        <f t="shared" si="0"/>
        <v>64.05</v>
      </c>
      <c r="N32">
        <f t="shared" si="1"/>
        <v>0.64049999999999996</v>
      </c>
      <c r="O32">
        <f t="shared" si="2"/>
        <v>0.80062499999999992</v>
      </c>
      <c r="P32">
        <f t="shared" si="3"/>
        <v>22.489556249999996</v>
      </c>
      <c r="Q32">
        <f t="shared" si="4"/>
        <v>48.109556249999997</v>
      </c>
      <c r="R32">
        <f t="shared" si="5"/>
        <v>1.020350993602831</v>
      </c>
      <c r="S32">
        <f t="shared" si="6"/>
        <v>2.1827301959983667</v>
      </c>
    </row>
    <row r="33" spans="1:21">
      <c r="A33" s="67"/>
      <c r="B33">
        <v>26</v>
      </c>
      <c r="C33" s="380">
        <v>2019</v>
      </c>
      <c r="D33" s="384" t="s">
        <v>101</v>
      </c>
      <c r="E33" s="385">
        <v>1</v>
      </c>
      <c r="F33" s="380">
        <v>2679.5</v>
      </c>
      <c r="G33" s="404">
        <v>1</v>
      </c>
      <c r="H33">
        <v>26</v>
      </c>
      <c r="I33" s="404">
        <v>20377</v>
      </c>
      <c r="J33" s="404" t="s">
        <v>1725</v>
      </c>
      <c r="K33" s="404">
        <v>48</v>
      </c>
      <c r="L33" s="324">
        <v>478.2</v>
      </c>
      <c r="M33" s="105">
        <f t="shared" si="0"/>
        <v>478.05</v>
      </c>
      <c r="N33">
        <f t="shared" si="1"/>
        <v>4.7805</v>
      </c>
      <c r="O33">
        <f t="shared" si="2"/>
        <v>5.975625</v>
      </c>
      <c r="P33">
        <f t="shared" si="3"/>
        <v>167.85530625000001</v>
      </c>
      <c r="Q33">
        <f t="shared" si="4"/>
        <v>359.07530625000004</v>
      </c>
      <c r="R33">
        <f t="shared" si="5"/>
        <v>6.2644264321701808</v>
      </c>
      <c r="S33">
        <f t="shared" si="6"/>
        <v>13.400832478074268</v>
      </c>
    </row>
    <row r="34" spans="1:21">
      <c r="A34" s="67"/>
      <c r="B34">
        <v>27</v>
      </c>
      <c r="C34" s="380">
        <v>2019</v>
      </c>
      <c r="D34" s="380" t="s">
        <v>101</v>
      </c>
      <c r="E34" s="381">
        <v>2</v>
      </c>
      <c r="F34" s="380">
        <v>2531.1</v>
      </c>
      <c r="G34" s="404">
        <v>1</v>
      </c>
      <c r="H34">
        <v>27</v>
      </c>
      <c r="I34" s="404">
        <v>20378</v>
      </c>
      <c r="J34" s="404" t="s">
        <v>1725</v>
      </c>
      <c r="K34" s="404">
        <v>43.4</v>
      </c>
      <c r="L34" s="324">
        <v>432.2</v>
      </c>
      <c r="M34" s="105">
        <f t="shared" si="0"/>
        <v>432.05</v>
      </c>
      <c r="N34">
        <f t="shared" si="1"/>
        <v>4.3205</v>
      </c>
      <c r="O34">
        <f t="shared" si="2"/>
        <v>5.4006249999999998</v>
      </c>
      <c r="P34">
        <f t="shared" si="3"/>
        <v>151.70355624999999</v>
      </c>
      <c r="Q34">
        <f t="shared" si="4"/>
        <v>324.52355625000001</v>
      </c>
      <c r="R34">
        <f t="shared" si="5"/>
        <v>5.9935820888151392</v>
      </c>
      <c r="S34">
        <f t="shared" si="6"/>
        <v>12.821443492947731</v>
      </c>
    </row>
    <row r="35" spans="1:21" s="331" customFormat="1">
      <c r="A35" s="425"/>
      <c r="B35" s="331">
        <v>28</v>
      </c>
      <c r="C35" s="426">
        <v>2019</v>
      </c>
      <c r="D35" s="426" t="s">
        <v>101</v>
      </c>
      <c r="E35" s="427" t="s">
        <v>1689</v>
      </c>
      <c r="F35" s="426">
        <v>2540.6999999999998</v>
      </c>
      <c r="G35" s="428">
        <v>1</v>
      </c>
      <c r="H35" s="331">
        <v>28</v>
      </c>
      <c r="I35" s="428">
        <v>20379</v>
      </c>
      <c r="J35" s="428" t="s">
        <v>1725</v>
      </c>
      <c r="K35" s="428">
        <v>37</v>
      </c>
      <c r="L35" s="429">
        <v>368.2</v>
      </c>
      <c r="M35" s="430">
        <f t="shared" si="0"/>
        <v>368.05</v>
      </c>
      <c r="N35" s="331">
        <f t="shared" si="1"/>
        <v>3.6804999999999999</v>
      </c>
      <c r="O35" s="331">
        <f t="shared" si="2"/>
        <v>4.600625</v>
      </c>
      <c r="P35" s="331">
        <f t="shared" si="3"/>
        <v>129.23155625000001</v>
      </c>
      <c r="Q35" s="331">
        <f t="shared" si="4"/>
        <v>276.45155625000001</v>
      </c>
      <c r="R35" s="331">
        <f t="shared" si="5"/>
        <v>5.0864547664029605</v>
      </c>
      <c r="S35" s="331">
        <f t="shared" si="6"/>
        <v>10.880920858424844</v>
      </c>
      <c r="T35" s="446">
        <f>_xlfn.STDEV.P(R35:R36)/AVERAGE(R35:R36)</f>
        <v>2.612077761347688E-3</v>
      </c>
      <c r="U35" s="446">
        <f>_xlfn.STDEV.P(R35:R36)</f>
        <v>1.3321010895741558E-2</v>
      </c>
    </row>
    <row r="36" spans="1:21" s="331" customFormat="1">
      <c r="A36" s="425"/>
      <c r="B36" s="331">
        <v>29</v>
      </c>
      <c r="C36" s="426">
        <v>2019</v>
      </c>
      <c r="D36" s="426" t="s">
        <v>101</v>
      </c>
      <c r="E36" s="427" t="s">
        <v>1691</v>
      </c>
      <c r="F36" s="426">
        <v>3052.8</v>
      </c>
      <c r="G36" s="428">
        <v>1</v>
      </c>
      <c r="H36" s="331">
        <v>29</v>
      </c>
      <c r="I36" s="428">
        <v>20380</v>
      </c>
      <c r="J36" s="428" t="s">
        <v>1725</v>
      </c>
      <c r="K36" s="428">
        <v>89.1</v>
      </c>
      <c r="L36" s="429">
        <v>444.7</v>
      </c>
      <c r="M36" s="430">
        <f t="shared" si="0"/>
        <v>444.55</v>
      </c>
      <c r="N36" s="331">
        <f t="shared" si="1"/>
        <v>4.4455</v>
      </c>
      <c r="O36" s="331">
        <f t="shared" si="2"/>
        <v>5.5568749999999998</v>
      </c>
      <c r="P36" s="331">
        <f t="shared" si="3"/>
        <v>156.09261874999999</v>
      </c>
      <c r="Q36" s="331">
        <f t="shared" si="4"/>
        <v>333.91261874999998</v>
      </c>
      <c r="R36" s="331">
        <f t="shared" si="5"/>
        <v>5.1130967881944436</v>
      </c>
      <c r="S36" s="331">
        <f t="shared" si="6"/>
        <v>10.937913350039306</v>
      </c>
      <c r="U36" s="447">
        <f>U35</f>
        <v>1.3321010895741558E-2</v>
      </c>
    </row>
    <row r="37" spans="1:21">
      <c r="A37" s="67"/>
      <c r="B37">
        <v>30</v>
      </c>
      <c r="C37" s="380">
        <v>2019</v>
      </c>
      <c r="D37" s="380" t="s">
        <v>101</v>
      </c>
      <c r="E37" s="381">
        <v>4</v>
      </c>
      <c r="F37" s="380">
        <v>2466.6999999999998</v>
      </c>
      <c r="G37" s="404">
        <v>1</v>
      </c>
      <c r="H37">
        <v>30</v>
      </c>
      <c r="I37" s="404">
        <v>20381</v>
      </c>
      <c r="J37" s="404" t="s">
        <v>1725</v>
      </c>
      <c r="K37" s="404">
        <v>51.6</v>
      </c>
      <c r="L37" s="324">
        <v>514.20000000000005</v>
      </c>
      <c r="M37" s="105">
        <f t="shared" si="0"/>
        <v>514.05000000000007</v>
      </c>
      <c r="N37">
        <f t="shared" si="1"/>
        <v>5.1405000000000012</v>
      </c>
      <c r="O37">
        <f t="shared" si="2"/>
        <v>6.4256250000000019</v>
      </c>
      <c r="P37">
        <f t="shared" si="3"/>
        <v>180.49580625000004</v>
      </c>
      <c r="Q37">
        <f t="shared" si="4"/>
        <v>386.11580625000016</v>
      </c>
      <c r="R37">
        <f t="shared" si="5"/>
        <v>7.317298668261242</v>
      </c>
      <c r="S37">
        <f t="shared" si="6"/>
        <v>15.653131967811253</v>
      </c>
    </row>
    <row r="38" spans="1:21">
      <c r="A38" s="67"/>
      <c r="B38">
        <v>31</v>
      </c>
      <c r="C38" s="380">
        <v>2019</v>
      </c>
      <c r="D38" s="380" t="s">
        <v>101</v>
      </c>
      <c r="E38" s="310">
        <v>5</v>
      </c>
      <c r="F38" s="380">
        <v>2996.5</v>
      </c>
      <c r="G38" s="404">
        <v>1</v>
      </c>
      <c r="H38">
        <v>31</v>
      </c>
      <c r="I38" s="404">
        <v>20382</v>
      </c>
      <c r="J38" s="404" t="s">
        <v>1725</v>
      </c>
      <c r="K38" s="404">
        <v>83</v>
      </c>
      <c r="L38" s="324">
        <v>828.2</v>
      </c>
      <c r="M38" s="105">
        <f t="shared" si="0"/>
        <v>828.05000000000007</v>
      </c>
      <c r="N38">
        <f t="shared" si="1"/>
        <v>8.2805</v>
      </c>
      <c r="O38">
        <f t="shared" si="2"/>
        <v>10.350625000000001</v>
      </c>
      <c r="P38">
        <f t="shared" si="3"/>
        <v>290.74905625000002</v>
      </c>
      <c r="Q38">
        <f t="shared" si="4"/>
        <v>621.96905625000011</v>
      </c>
      <c r="R38">
        <f t="shared" si="5"/>
        <v>9.70295532287669</v>
      </c>
      <c r="S38">
        <f t="shared" si="6"/>
        <v>20.756517812447857</v>
      </c>
    </row>
    <row r="39" spans="1:21">
      <c r="A39" s="67"/>
      <c r="B39">
        <v>32</v>
      </c>
      <c r="C39" s="380">
        <v>2019</v>
      </c>
      <c r="D39" s="380" t="s">
        <v>101</v>
      </c>
      <c r="E39" s="310">
        <v>6</v>
      </c>
      <c r="F39" s="380">
        <v>2688.7</v>
      </c>
      <c r="G39" s="404">
        <v>1</v>
      </c>
      <c r="H39">
        <v>32</v>
      </c>
      <c r="I39" s="404">
        <v>20383</v>
      </c>
      <c r="J39" s="404" t="s">
        <v>1725</v>
      </c>
      <c r="K39" s="404">
        <v>62.3</v>
      </c>
      <c r="L39" s="324">
        <v>621.20000000000005</v>
      </c>
      <c r="M39" s="105">
        <f t="shared" si="0"/>
        <v>621.05000000000007</v>
      </c>
      <c r="N39">
        <f t="shared" si="1"/>
        <v>6.2105000000000015</v>
      </c>
      <c r="O39">
        <f t="shared" si="2"/>
        <v>7.7631250000000023</v>
      </c>
      <c r="P39">
        <f t="shared" si="3"/>
        <v>218.06618125000006</v>
      </c>
      <c r="Q39">
        <f t="shared" si="4"/>
        <v>466.48618125000019</v>
      </c>
      <c r="R39">
        <f t="shared" si="5"/>
        <v>8.1104690463792934</v>
      </c>
      <c r="S39">
        <f t="shared" si="6"/>
        <v>17.349878426377067</v>
      </c>
    </row>
    <row r="40" spans="1:21">
      <c r="A40" s="67"/>
      <c r="B40">
        <v>33</v>
      </c>
      <c r="C40" s="380">
        <v>2019</v>
      </c>
      <c r="D40" s="380" t="s">
        <v>101</v>
      </c>
      <c r="E40" s="310">
        <v>7</v>
      </c>
      <c r="F40" s="380">
        <v>2500</v>
      </c>
      <c r="G40" s="404">
        <v>1</v>
      </c>
      <c r="H40">
        <v>33</v>
      </c>
      <c r="I40" s="404">
        <v>20384</v>
      </c>
      <c r="J40" s="404" t="s">
        <v>1725</v>
      </c>
      <c r="K40" s="404">
        <v>57.6</v>
      </c>
      <c r="L40" s="324">
        <v>574.20000000000005</v>
      </c>
      <c r="M40" s="105">
        <f t="shared" si="0"/>
        <v>574.05000000000007</v>
      </c>
      <c r="N40">
        <f t="shared" si="1"/>
        <v>5.7405000000000008</v>
      </c>
      <c r="O40">
        <f t="shared" si="2"/>
        <v>7.175625000000001</v>
      </c>
      <c r="P40">
        <f t="shared" si="3"/>
        <v>201.56330625000004</v>
      </c>
      <c r="Q40">
        <f t="shared" si="4"/>
        <v>431.1833062500001</v>
      </c>
      <c r="R40">
        <f t="shared" si="5"/>
        <v>8.0625322500000021</v>
      </c>
      <c r="S40">
        <f t="shared" si="6"/>
        <v>17.247332250000007</v>
      </c>
    </row>
    <row r="41" spans="1:21">
      <c r="A41" s="67"/>
      <c r="B41">
        <v>34</v>
      </c>
      <c r="C41" s="380">
        <v>2019</v>
      </c>
      <c r="D41" s="380" t="s">
        <v>101</v>
      </c>
      <c r="E41" s="310">
        <v>8</v>
      </c>
      <c r="F41" s="380">
        <v>2306.1</v>
      </c>
      <c r="G41" s="404">
        <v>1</v>
      </c>
      <c r="H41">
        <v>34</v>
      </c>
      <c r="I41" s="404">
        <v>20385</v>
      </c>
      <c r="J41" s="404" t="s">
        <v>1725</v>
      </c>
      <c r="K41" s="404">
        <v>31.8</v>
      </c>
      <c r="L41" s="324">
        <v>316.2</v>
      </c>
      <c r="M41" s="105">
        <f t="shared" si="0"/>
        <v>316.05</v>
      </c>
      <c r="N41">
        <f t="shared" si="1"/>
        <v>3.1604999999999999</v>
      </c>
      <c r="O41">
        <f t="shared" si="2"/>
        <v>3.9506249999999996</v>
      </c>
      <c r="P41">
        <f t="shared" si="3"/>
        <v>110.97305624999998</v>
      </c>
      <c r="Q41">
        <f t="shared" si="4"/>
        <v>237.39305625</v>
      </c>
      <c r="R41">
        <f t="shared" si="5"/>
        <v>4.8121528229478336</v>
      </c>
      <c r="S41">
        <f t="shared" si="6"/>
        <v>10.294135390919736</v>
      </c>
    </row>
    <row r="42" spans="1:21">
      <c r="A42" s="67"/>
      <c r="B42">
        <v>35</v>
      </c>
      <c r="C42" s="380">
        <v>2019</v>
      </c>
      <c r="D42" s="380" t="s">
        <v>101</v>
      </c>
      <c r="E42" s="310">
        <v>9</v>
      </c>
      <c r="F42" s="380">
        <v>2122.5</v>
      </c>
      <c r="G42" s="404">
        <v>1</v>
      </c>
      <c r="H42">
        <v>35</v>
      </c>
      <c r="I42" s="404">
        <v>20386</v>
      </c>
      <c r="J42" s="404" t="s">
        <v>1725</v>
      </c>
      <c r="K42" s="404">
        <v>38.700000000000003</v>
      </c>
      <c r="L42" s="324">
        <v>385.2</v>
      </c>
      <c r="M42" s="105">
        <f t="shared" si="0"/>
        <v>385.05</v>
      </c>
      <c r="N42">
        <f t="shared" si="1"/>
        <v>3.8505000000000003</v>
      </c>
      <c r="O42">
        <f t="shared" si="2"/>
        <v>4.8131250000000003</v>
      </c>
      <c r="P42">
        <f t="shared" si="3"/>
        <v>135.20068125</v>
      </c>
      <c r="Q42">
        <f t="shared" si="4"/>
        <v>289.22068125000004</v>
      </c>
      <c r="R42">
        <f t="shared" si="5"/>
        <v>6.369878975265018</v>
      </c>
      <c r="S42">
        <f t="shared" si="6"/>
        <v>13.626416077738519</v>
      </c>
    </row>
    <row r="43" spans="1:21" ht="15" thickBot="1">
      <c r="A43" s="293"/>
      <c r="B43" s="288">
        <v>36</v>
      </c>
      <c r="C43" s="383">
        <v>2019</v>
      </c>
      <c r="D43" s="383" t="s">
        <v>101</v>
      </c>
      <c r="E43" s="311">
        <v>10</v>
      </c>
      <c r="F43" s="383">
        <v>3044.1</v>
      </c>
      <c r="G43" s="404">
        <v>1</v>
      </c>
      <c r="H43">
        <v>36</v>
      </c>
      <c r="I43" s="404">
        <v>20387</v>
      </c>
      <c r="J43" s="404" t="s">
        <v>1725</v>
      </c>
      <c r="K43" s="404">
        <v>44.9</v>
      </c>
      <c r="L43" s="324">
        <v>447.2</v>
      </c>
      <c r="M43" s="105">
        <f t="shared" si="0"/>
        <v>447.05</v>
      </c>
      <c r="N43">
        <f t="shared" si="1"/>
        <v>4.4705000000000004</v>
      </c>
      <c r="O43">
        <f t="shared" si="2"/>
        <v>5.5881250000000007</v>
      </c>
      <c r="P43">
        <f t="shared" si="3"/>
        <v>156.97043125000002</v>
      </c>
      <c r="Q43">
        <f t="shared" si="4"/>
        <v>335.79043125000004</v>
      </c>
      <c r="R43">
        <f t="shared" si="5"/>
        <v>5.1565464751486489</v>
      </c>
      <c r="S43">
        <f t="shared" si="6"/>
        <v>11.030860722381002</v>
      </c>
    </row>
    <row r="44" spans="1:21" ht="15" thickTop="1">
      <c r="A44" s="67"/>
      <c r="B44">
        <v>37</v>
      </c>
      <c r="C44" s="384">
        <v>2019</v>
      </c>
      <c r="D44" s="384" t="s">
        <v>101</v>
      </c>
      <c r="E44" s="219">
        <v>11</v>
      </c>
      <c r="F44" s="384">
        <v>2095.5</v>
      </c>
      <c r="G44" s="404">
        <v>1</v>
      </c>
      <c r="H44">
        <v>37</v>
      </c>
      <c r="I44" s="404">
        <v>20388</v>
      </c>
      <c r="J44" s="404" t="s">
        <v>1725</v>
      </c>
      <c r="K44" s="404">
        <v>29.9</v>
      </c>
      <c r="L44" s="324">
        <v>297.2</v>
      </c>
      <c r="M44" s="105">
        <f t="shared" si="0"/>
        <v>297.05</v>
      </c>
      <c r="N44">
        <f t="shared" si="1"/>
        <v>2.9705000000000004</v>
      </c>
      <c r="O44">
        <f t="shared" si="2"/>
        <v>3.7131250000000007</v>
      </c>
      <c r="P44">
        <f t="shared" si="3"/>
        <v>104.30168125000002</v>
      </c>
      <c r="Q44">
        <f t="shared" si="4"/>
        <v>223.12168125000005</v>
      </c>
      <c r="R44">
        <f t="shared" si="5"/>
        <v>4.9774126103555245</v>
      </c>
      <c r="S44">
        <f t="shared" si="6"/>
        <v>10.647658375089481</v>
      </c>
    </row>
    <row r="45" spans="1:21">
      <c r="A45" s="67"/>
      <c r="B45">
        <v>38</v>
      </c>
      <c r="C45" s="380">
        <v>2019</v>
      </c>
      <c r="D45" s="380" t="s">
        <v>101</v>
      </c>
      <c r="E45" s="310">
        <v>12</v>
      </c>
      <c r="F45" s="380">
        <v>2611.1999999999998</v>
      </c>
      <c r="G45" s="404">
        <v>1</v>
      </c>
      <c r="H45">
        <v>38</v>
      </c>
      <c r="I45" s="404">
        <v>20389</v>
      </c>
      <c r="J45" s="404" t="s">
        <v>1725</v>
      </c>
      <c r="K45" s="404">
        <v>33.5</v>
      </c>
      <c r="L45" s="324">
        <v>333.2</v>
      </c>
      <c r="M45" s="105">
        <f t="shared" si="0"/>
        <v>333.05</v>
      </c>
      <c r="N45">
        <f t="shared" si="1"/>
        <v>3.3305000000000002</v>
      </c>
      <c r="O45">
        <f t="shared" si="2"/>
        <v>4.163125</v>
      </c>
      <c r="P45">
        <f t="shared" si="3"/>
        <v>116.94218125</v>
      </c>
      <c r="Q45">
        <f t="shared" si="4"/>
        <v>250.16218125</v>
      </c>
      <c r="R45">
        <f t="shared" si="5"/>
        <v>4.4784842696844365</v>
      </c>
      <c r="S45">
        <f t="shared" si="6"/>
        <v>9.5803531422334576</v>
      </c>
    </row>
    <row r="46" spans="1:21">
      <c r="A46" s="67"/>
      <c r="B46">
        <v>39</v>
      </c>
      <c r="C46" s="380">
        <v>2019</v>
      </c>
      <c r="D46" s="380" t="s">
        <v>101</v>
      </c>
      <c r="E46" s="310">
        <v>13</v>
      </c>
      <c r="F46" s="380">
        <v>3028.8</v>
      </c>
      <c r="G46" s="404">
        <v>1</v>
      </c>
      <c r="H46">
        <v>39</v>
      </c>
      <c r="I46" s="404">
        <v>20390</v>
      </c>
      <c r="J46" s="404" t="s">
        <v>1725</v>
      </c>
      <c r="K46" s="404">
        <v>34.6</v>
      </c>
      <c r="L46" s="324">
        <v>344.2</v>
      </c>
      <c r="M46" s="105">
        <f t="shared" si="0"/>
        <v>344.05</v>
      </c>
      <c r="N46">
        <f t="shared" si="1"/>
        <v>3.4405000000000001</v>
      </c>
      <c r="O46">
        <f t="shared" si="2"/>
        <v>4.3006250000000001</v>
      </c>
      <c r="P46">
        <f t="shared" si="3"/>
        <v>120.80455625</v>
      </c>
      <c r="Q46">
        <f t="shared" si="4"/>
        <v>258.42455625000002</v>
      </c>
      <c r="R46">
        <f t="shared" si="5"/>
        <v>3.988528666468568</v>
      </c>
      <c r="S46">
        <f t="shared" si="6"/>
        <v>8.5322423484548349</v>
      </c>
    </row>
    <row r="47" spans="1:21" s="432" customFormat="1">
      <c r="A47" s="431"/>
      <c r="B47" s="432">
        <v>40</v>
      </c>
      <c r="C47" s="433">
        <v>2019</v>
      </c>
      <c r="D47" s="433" t="s">
        <v>101</v>
      </c>
      <c r="E47" s="434" t="s">
        <v>1686</v>
      </c>
      <c r="F47" s="433">
        <v>3173.6</v>
      </c>
      <c r="G47" s="435">
        <v>1</v>
      </c>
      <c r="H47" s="432">
        <v>40</v>
      </c>
      <c r="I47" s="435">
        <v>20391</v>
      </c>
      <c r="J47" s="435" t="s">
        <v>1725</v>
      </c>
      <c r="K47" s="435">
        <v>28.4</v>
      </c>
      <c r="L47" s="436">
        <v>282.2</v>
      </c>
      <c r="M47" s="437">
        <f t="shared" si="0"/>
        <v>282.05</v>
      </c>
      <c r="N47" s="432">
        <f t="shared" si="1"/>
        <v>2.8205</v>
      </c>
      <c r="O47" s="432">
        <f t="shared" si="2"/>
        <v>3.5256249999999998</v>
      </c>
      <c r="P47" s="432">
        <f t="shared" si="3"/>
        <v>99.034806249999988</v>
      </c>
      <c r="Q47" s="432">
        <f t="shared" si="4"/>
        <v>211.85480625</v>
      </c>
      <c r="R47" s="432">
        <f t="shared" si="5"/>
        <v>3.1205825009452983</v>
      </c>
      <c r="S47" s="432">
        <f t="shared" si="6"/>
        <v>6.6755358662087216</v>
      </c>
      <c r="T47" s="446">
        <f>_xlfn.STDEV.P(R47:R48)/AVERAGE(R47:R48)</f>
        <v>5.5654544005621434E-3</v>
      </c>
      <c r="U47" s="446">
        <f>_xlfn.STDEV.P(R47:R48)</f>
        <v>1.7464658371993957E-2</v>
      </c>
    </row>
    <row r="48" spans="1:21" s="432" customFormat="1">
      <c r="A48" s="431"/>
      <c r="B48" s="432">
        <v>41</v>
      </c>
      <c r="C48" s="433">
        <v>2019</v>
      </c>
      <c r="D48" s="433" t="s">
        <v>101</v>
      </c>
      <c r="E48" s="434" t="s">
        <v>1687</v>
      </c>
      <c r="F48" s="433">
        <v>2214.9</v>
      </c>
      <c r="G48" s="435">
        <v>3</v>
      </c>
      <c r="H48" s="432">
        <v>41</v>
      </c>
      <c r="I48" s="435">
        <v>20392</v>
      </c>
      <c r="J48" s="435" t="s">
        <v>1725</v>
      </c>
      <c r="K48" s="435">
        <v>20.100000000000001</v>
      </c>
      <c r="L48" s="436">
        <v>199.2</v>
      </c>
      <c r="M48" s="437">
        <f t="shared" si="0"/>
        <v>199.04999999999998</v>
      </c>
      <c r="N48" s="432">
        <f t="shared" si="1"/>
        <v>1.9904999999999997</v>
      </c>
      <c r="O48" s="432">
        <f t="shared" si="2"/>
        <v>2.4881249999999997</v>
      </c>
      <c r="P48" s="432">
        <f t="shared" si="3"/>
        <v>69.891431249999997</v>
      </c>
      <c r="Q48" s="432">
        <f t="shared" si="4"/>
        <v>149.51143124999999</v>
      </c>
      <c r="R48" s="432">
        <f t="shared" si="5"/>
        <v>3.1555118176892862</v>
      </c>
      <c r="S48" s="432">
        <f t="shared" si="6"/>
        <v>6.7502565014221849</v>
      </c>
      <c r="U48" s="447">
        <f>U47</f>
        <v>1.7464658371993957E-2</v>
      </c>
    </row>
    <row r="49" spans="1:21">
      <c r="A49" s="67"/>
      <c r="B49">
        <v>42</v>
      </c>
      <c r="C49" s="380">
        <v>2019</v>
      </c>
      <c r="D49" s="380" t="s">
        <v>101</v>
      </c>
      <c r="E49" s="310">
        <v>15</v>
      </c>
      <c r="F49" s="380">
        <v>2908.3</v>
      </c>
      <c r="G49" s="404">
        <v>3</v>
      </c>
      <c r="H49">
        <v>42</v>
      </c>
      <c r="I49" s="404">
        <v>20393</v>
      </c>
      <c r="J49" s="404" t="s">
        <v>1725</v>
      </c>
      <c r="K49" s="404">
        <v>36.5</v>
      </c>
      <c r="L49" s="324">
        <v>363.2</v>
      </c>
      <c r="M49" s="105">
        <f t="shared" si="0"/>
        <v>363.05</v>
      </c>
      <c r="N49">
        <f t="shared" si="1"/>
        <v>3.6304999999999996</v>
      </c>
      <c r="O49">
        <f t="shared" si="2"/>
        <v>4.5381249999999991</v>
      </c>
      <c r="P49">
        <f t="shared" si="3"/>
        <v>127.47593124999997</v>
      </c>
      <c r="Q49">
        <f t="shared" si="4"/>
        <v>272.69593124999994</v>
      </c>
      <c r="R49">
        <f t="shared" si="5"/>
        <v>4.3831768129147601</v>
      </c>
      <c r="S49">
        <f t="shared" si="6"/>
        <v>9.376471865007046</v>
      </c>
    </row>
    <row r="50" spans="1:21">
      <c r="A50" s="67"/>
      <c r="B50">
        <v>43</v>
      </c>
      <c r="C50" s="380">
        <v>2019</v>
      </c>
      <c r="D50" s="380" t="s">
        <v>101</v>
      </c>
      <c r="E50" s="310">
        <v>16</v>
      </c>
      <c r="F50" s="380">
        <v>2803.1</v>
      </c>
      <c r="G50" s="404">
        <v>3</v>
      </c>
      <c r="H50">
        <v>43</v>
      </c>
      <c r="I50" s="404">
        <v>20394</v>
      </c>
      <c r="J50" s="404" t="s">
        <v>1725</v>
      </c>
      <c r="K50" s="404">
        <v>31.5</v>
      </c>
      <c r="L50" s="324">
        <v>313.2</v>
      </c>
      <c r="M50" s="105">
        <f t="shared" si="0"/>
        <v>313.05</v>
      </c>
      <c r="N50">
        <f t="shared" si="1"/>
        <v>3.1305000000000001</v>
      </c>
      <c r="O50">
        <f t="shared" si="2"/>
        <v>3.913125</v>
      </c>
      <c r="P50">
        <f t="shared" si="3"/>
        <v>109.91968125</v>
      </c>
      <c r="Q50">
        <f t="shared" si="4"/>
        <v>235.13968125000002</v>
      </c>
      <c r="R50">
        <f t="shared" si="5"/>
        <v>3.9213613945274872</v>
      </c>
      <c r="S50">
        <f t="shared" si="6"/>
        <v>8.3885584263850745</v>
      </c>
    </row>
    <row r="51" spans="1:21">
      <c r="A51" s="67"/>
      <c r="B51">
        <v>44</v>
      </c>
      <c r="C51" s="380">
        <v>2019</v>
      </c>
      <c r="D51" s="380" t="s">
        <v>101</v>
      </c>
      <c r="E51" s="310">
        <v>17</v>
      </c>
      <c r="F51" s="380">
        <v>2019.3</v>
      </c>
      <c r="G51" s="404">
        <v>3</v>
      </c>
      <c r="H51">
        <v>44</v>
      </c>
      <c r="I51" s="404">
        <v>20395</v>
      </c>
      <c r="J51" s="404" t="s">
        <v>1725</v>
      </c>
      <c r="K51" s="404">
        <v>22.6</v>
      </c>
      <c r="L51" s="324">
        <v>224.2</v>
      </c>
      <c r="M51" s="105">
        <f t="shared" si="0"/>
        <v>224.04999999999998</v>
      </c>
      <c r="N51">
        <f t="shared" si="1"/>
        <v>2.2404999999999999</v>
      </c>
      <c r="O51">
        <f t="shared" si="2"/>
        <v>2.8006250000000001</v>
      </c>
      <c r="P51">
        <f t="shared" si="3"/>
        <v>78.669556249999999</v>
      </c>
      <c r="Q51">
        <f t="shared" si="4"/>
        <v>168.28955625</v>
      </c>
      <c r="R51">
        <f t="shared" si="5"/>
        <v>3.8958825459317588</v>
      </c>
      <c r="S51">
        <f t="shared" si="6"/>
        <v>8.3340541895706437</v>
      </c>
    </row>
    <row r="52" spans="1:21">
      <c r="A52" s="67"/>
      <c r="B52">
        <v>45</v>
      </c>
      <c r="C52" s="380">
        <v>2019</v>
      </c>
      <c r="D52" s="380" t="s">
        <v>101</v>
      </c>
      <c r="E52" s="310">
        <v>18</v>
      </c>
      <c r="F52" s="380">
        <v>2327.3000000000002</v>
      </c>
      <c r="G52" s="404">
        <v>3</v>
      </c>
      <c r="H52">
        <v>45</v>
      </c>
      <c r="I52" s="404">
        <v>20396</v>
      </c>
      <c r="J52" s="404" t="s">
        <v>1725</v>
      </c>
      <c r="K52" s="404">
        <v>25.4</v>
      </c>
      <c r="L52" s="324">
        <v>252.2</v>
      </c>
      <c r="M52" s="105">
        <f t="shared" si="0"/>
        <v>252.04999999999998</v>
      </c>
      <c r="N52">
        <f t="shared" si="1"/>
        <v>2.5205000000000002</v>
      </c>
      <c r="O52">
        <f t="shared" si="2"/>
        <v>3.1506250000000002</v>
      </c>
      <c r="P52">
        <f t="shared" si="3"/>
        <v>88.501056250000005</v>
      </c>
      <c r="Q52">
        <f t="shared" si="4"/>
        <v>189.32105625000003</v>
      </c>
      <c r="R52">
        <f t="shared" si="5"/>
        <v>3.8027351974390924</v>
      </c>
      <c r="S52">
        <f t="shared" si="6"/>
        <v>8.1347938061272718</v>
      </c>
    </row>
    <row r="53" spans="1:21">
      <c r="A53" s="67"/>
      <c r="B53">
        <v>46</v>
      </c>
      <c r="C53" s="380">
        <v>2019</v>
      </c>
      <c r="D53" s="380" t="s">
        <v>101</v>
      </c>
      <c r="E53" s="310">
        <v>19</v>
      </c>
      <c r="F53" s="380">
        <v>2529.3000000000002</v>
      </c>
      <c r="G53" s="404">
        <v>3</v>
      </c>
      <c r="H53">
        <v>46</v>
      </c>
      <c r="I53" s="404">
        <v>20397</v>
      </c>
      <c r="J53" s="404" t="s">
        <v>1725</v>
      </c>
      <c r="K53" s="404">
        <v>20.100000000000001</v>
      </c>
      <c r="L53" s="324">
        <v>199.2</v>
      </c>
      <c r="M53" s="105">
        <f t="shared" si="0"/>
        <v>199.04999999999998</v>
      </c>
      <c r="N53">
        <f t="shared" si="1"/>
        <v>1.9904999999999997</v>
      </c>
      <c r="O53">
        <f t="shared" si="2"/>
        <v>2.4881249999999997</v>
      </c>
      <c r="P53">
        <f t="shared" si="3"/>
        <v>69.891431249999997</v>
      </c>
      <c r="Q53">
        <f t="shared" si="4"/>
        <v>149.51143124999999</v>
      </c>
      <c r="R53">
        <f t="shared" si="5"/>
        <v>2.7632717056102476</v>
      </c>
      <c r="S53">
        <f t="shared" si="6"/>
        <v>5.9111782410152998</v>
      </c>
    </row>
    <row r="54" spans="1:21" s="451" customFormat="1">
      <c r="A54" s="450"/>
      <c r="B54" s="451">
        <v>47</v>
      </c>
      <c r="C54" s="452"/>
      <c r="D54" s="452" t="s">
        <v>1717</v>
      </c>
      <c r="E54" s="453"/>
      <c r="F54" s="452"/>
      <c r="G54" s="451">
        <v>3</v>
      </c>
      <c r="H54" s="451">
        <v>47</v>
      </c>
      <c r="I54" s="451">
        <v>20398</v>
      </c>
      <c r="J54" s="451" t="s">
        <v>1725</v>
      </c>
      <c r="K54" s="451" t="s">
        <v>1726</v>
      </c>
      <c r="L54" s="454">
        <v>0.1</v>
      </c>
      <c r="M54" s="455">
        <f t="shared" si="0"/>
        <v>-5.0000000000000017E-2</v>
      </c>
      <c r="N54" s="451">
        <f t="shared" si="1"/>
        <v>-5.0000000000000012E-4</v>
      </c>
      <c r="O54" s="451">
        <f t="shared" si="2"/>
        <v>-6.2500000000000012E-4</v>
      </c>
      <c r="P54" s="451">
        <f t="shared" si="3"/>
        <v>-1.7556250000000002E-2</v>
      </c>
      <c r="Q54" s="451">
        <f t="shared" si="4"/>
        <v>-3.7556250000000006E-2</v>
      </c>
      <c r="R54" s="451" t="e">
        <f t="shared" si="5"/>
        <v>#DIV/0!</v>
      </c>
      <c r="S54" s="451" t="e">
        <f t="shared" si="6"/>
        <v>#DIV/0!</v>
      </c>
    </row>
    <row r="55" spans="1:21" s="395" customFormat="1" ht="15" thickBot="1">
      <c r="A55" s="399"/>
      <c r="B55" s="400">
        <v>48</v>
      </c>
      <c r="C55" s="400" t="s">
        <v>1716</v>
      </c>
      <c r="D55" s="401" t="s">
        <v>1706</v>
      </c>
      <c r="E55" s="402">
        <v>2</v>
      </c>
      <c r="F55" s="403">
        <v>2297.6</v>
      </c>
      <c r="G55" s="406">
        <v>3</v>
      </c>
      <c r="H55" s="395">
        <v>48</v>
      </c>
      <c r="I55" s="406">
        <v>20399</v>
      </c>
      <c r="J55" s="406" t="s">
        <v>1725</v>
      </c>
      <c r="K55" s="406">
        <v>27.8</v>
      </c>
      <c r="L55" s="413">
        <v>276.2</v>
      </c>
      <c r="M55" s="449">
        <f t="shared" si="0"/>
        <v>276.05</v>
      </c>
      <c r="N55" s="395">
        <f t="shared" si="1"/>
        <v>2.7605000000000004</v>
      </c>
      <c r="O55" s="395">
        <f t="shared" si="2"/>
        <v>3.4506250000000005</v>
      </c>
      <c r="P55" s="395">
        <f t="shared" si="3"/>
        <v>96.928056250000012</v>
      </c>
      <c r="Q55" s="395">
        <f t="shared" si="4"/>
        <v>207.34805625000004</v>
      </c>
      <c r="R55" s="395">
        <f t="shared" si="5"/>
        <v>4.2186654008530642</v>
      </c>
      <c r="S55" s="395">
        <f t="shared" si="6"/>
        <v>9.0245498019672734</v>
      </c>
    </row>
    <row r="56" spans="1:21" ht="15" thickTop="1">
      <c r="A56" s="67"/>
      <c r="B56">
        <v>49</v>
      </c>
      <c r="C56" s="384">
        <v>2019</v>
      </c>
      <c r="D56" s="384" t="s">
        <v>101</v>
      </c>
      <c r="E56" s="219">
        <v>20</v>
      </c>
      <c r="F56" s="384">
        <v>3238.1</v>
      </c>
      <c r="G56" s="404">
        <v>3</v>
      </c>
      <c r="H56">
        <v>49</v>
      </c>
      <c r="I56" s="404">
        <v>20400</v>
      </c>
      <c r="J56" s="404" t="s">
        <v>1725</v>
      </c>
      <c r="K56" s="404">
        <v>33.9</v>
      </c>
      <c r="L56" s="324">
        <v>337.2</v>
      </c>
      <c r="M56" s="105">
        <f t="shared" si="0"/>
        <v>337.05</v>
      </c>
      <c r="N56">
        <f t="shared" si="1"/>
        <v>3.3705000000000003</v>
      </c>
      <c r="O56">
        <f t="shared" si="2"/>
        <v>4.2131250000000007</v>
      </c>
      <c r="P56">
        <f t="shared" si="3"/>
        <v>118.34668125000002</v>
      </c>
      <c r="Q56">
        <f t="shared" si="4"/>
        <v>253.16668125000007</v>
      </c>
      <c r="R56">
        <f t="shared" si="5"/>
        <v>3.6548186050461693</v>
      </c>
      <c r="S56">
        <f t="shared" si="6"/>
        <v>7.8183713057039643</v>
      </c>
    </row>
    <row r="57" spans="1:21">
      <c r="A57" s="67"/>
      <c r="B57">
        <v>50</v>
      </c>
      <c r="C57" s="380">
        <v>2019</v>
      </c>
      <c r="D57" s="380" t="s">
        <v>101</v>
      </c>
      <c r="E57" s="310">
        <v>21</v>
      </c>
      <c r="F57" s="380">
        <v>3016.1</v>
      </c>
      <c r="G57" s="404">
        <v>3</v>
      </c>
      <c r="H57">
        <v>50</v>
      </c>
      <c r="I57" s="404">
        <v>20401</v>
      </c>
      <c r="J57" s="404" t="s">
        <v>1725</v>
      </c>
      <c r="K57" s="404">
        <v>22.4</v>
      </c>
      <c r="L57" s="324">
        <v>222.2</v>
      </c>
      <c r="M57" s="105">
        <f t="shared" si="0"/>
        <v>222.04999999999998</v>
      </c>
      <c r="N57">
        <f t="shared" si="1"/>
        <v>2.2204999999999995</v>
      </c>
      <c r="O57">
        <f t="shared" si="2"/>
        <v>2.7756249999999993</v>
      </c>
      <c r="P57">
        <f t="shared" si="3"/>
        <v>77.967306249999979</v>
      </c>
      <c r="Q57">
        <f t="shared" si="4"/>
        <v>166.78730624999997</v>
      </c>
      <c r="R57">
        <f t="shared" si="5"/>
        <v>2.5850371754915278</v>
      </c>
      <c r="S57">
        <f t="shared" si="6"/>
        <v>5.5298997463611945</v>
      </c>
    </row>
    <row r="58" spans="1:21">
      <c r="A58" s="67"/>
      <c r="B58">
        <v>51</v>
      </c>
      <c r="C58" s="380">
        <v>2019</v>
      </c>
      <c r="D58" s="384" t="s">
        <v>102</v>
      </c>
      <c r="E58" s="385">
        <v>1</v>
      </c>
      <c r="F58" s="380">
        <v>2997.3</v>
      </c>
      <c r="G58" s="404">
        <v>3</v>
      </c>
      <c r="H58">
        <v>51</v>
      </c>
      <c r="I58" s="404">
        <v>20402</v>
      </c>
      <c r="J58" s="404" t="s">
        <v>1725</v>
      </c>
      <c r="K58" s="404">
        <v>44.3</v>
      </c>
      <c r="L58" s="324">
        <v>441.2</v>
      </c>
      <c r="M58" s="105">
        <f t="shared" si="0"/>
        <v>441.05</v>
      </c>
      <c r="N58">
        <f t="shared" si="1"/>
        <v>4.4104999999999999</v>
      </c>
      <c r="O58">
        <f t="shared" si="2"/>
        <v>5.5131249999999996</v>
      </c>
      <c r="P58">
        <f t="shared" si="3"/>
        <v>154.86368124999998</v>
      </c>
      <c r="Q58">
        <f t="shared" si="4"/>
        <v>331.28368124999997</v>
      </c>
      <c r="R58">
        <f t="shared" si="5"/>
        <v>5.1667728038568033</v>
      </c>
      <c r="S58">
        <f t="shared" si="6"/>
        <v>11.052736838154336</v>
      </c>
    </row>
    <row r="59" spans="1:21">
      <c r="A59" s="67"/>
      <c r="B59">
        <v>52</v>
      </c>
      <c r="C59" s="380">
        <v>2019</v>
      </c>
      <c r="D59" s="380" t="s">
        <v>102</v>
      </c>
      <c r="E59" s="381">
        <v>2</v>
      </c>
      <c r="F59" s="380">
        <v>3149.6</v>
      </c>
      <c r="G59" s="404">
        <v>3</v>
      </c>
      <c r="H59">
        <v>52</v>
      </c>
      <c r="I59" s="404">
        <v>20403</v>
      </c>
      <c r="J59" s="404" t="s">
        <v>1725</v>
      </c>
      <c r="K59" s="404">
        <v>51</v>
      </c>
      <c r="L59" s="324">
        <v>508.2</v>
      </c>
      <c r="M59" s="105">
        <f t="shared" si="0"/>
        <v>508.05</v>
      </c>
      <c r="N59">
        <f t="shared" si="1"/>
        <v>5.0804999999999998</v>
      </c>
      <c r="O59">
        <f t="shared" si="2"/>
        <v>6.350625</v>
      </c>
      <c r="P59">
        <f t="shared" si="3"/>
        <v>178.38905625000001</v>
      </c>
      <c r="Q59">
        <f t="shared" si="4"/>
        <v>381.60905625000004</v>
      </c>
      <c r="R59">
        <f t="shared" si="5"/>
        <v>5.6638638636652274</v>
      </c>
      <c r="S59">
        <f t="shared" si="6"/>
        <v>12.116111768161037</v>
      </c>
    </row>
    <row r="60" spans="1:21">
      <c r="A60" s="67"/>
      <c r="B60">
        <v>53</v>
      </c>
      <c r="C60" s="380">
        <v>2019</v>
      </c>
      <c r="D60" s="380" t="s">
        <v>102</v>
      </c>
      <c r="E60" s="381">
        <v>3</v>
      </c>
      <c r="F60" s="380">
        <v>2948.7</v>
      </c>
      <c r="G60" s="404">
        <v>3</v>
      </c>
      <c r="H60">
        <v>53</v>
      </c>
      <c r="I60" s="404">
        <v>20404</v>
      </c>
      <c r="J60" s="404" t="s">
        <v>1725</v>
      </c>
      <c r="K60" s="404">
        <v>38.200000000000003</v>
      </c>
      <c r="L60" s="324">
        <v>380.2</v>
      </c>
      <c r="M60" s="105">
        <f t="shared" si="0"/>
        <v>380.05</v>
      </c>
      <c r="N60">
        <f t="shared" si="1"/>
        <v>3.8005</v>
      </c>
      <c r="O60">
        <f t="shared" si="2"/>
        <v>4.7506250000000003</v>
      </c>
      <c r="P60">
        <f t="shared" si="3"/>
        <v>133.44505625000002</v>
      </c>
      <c r="Q60">
        <f t="shared" si="4"/>
        <v>285.46505625000003</v>
      </c>
      <c r="R60">
        <f t="shared" si="5"/>
        <v>4.5255555414250361</v>
      </c>
      <c r="S60">
        <f t="shared" si="6"/>
        <v>9.6810477922474334</v>
      </c>
    </row>
    <row r="61" spans="1:21">
      <c r="A61" s="67"/>
      <c r="B61">
        <v>54</v>
      </c>
      <c r="C61" s="380">
        <v>2019</v>
      </c>
      <c r="D61" s="380" t="s">
        <v>102</v>
      </c>
      <c r="E61" s="381">
        <v>4</v>
      </c>
      <c r="F61" s="380">
        <v>2106.5</v>
      </c>
      <c r="G61" s="404">
        <v>3</v>
      </c>
      <c r="H61">
        <v>54</v>
      </c>
      <c r="I61" s="404">
        <v>20405</v>
      </c>
      <c r="J61" s="404" t="s">
        <v>1725</v>
      </c>
      <c r="K61" s="404">
        <v>22.9</v>
      </c>
      <c r="L61" s="324">
        <v>227.2</v>
      </c>
      <c r="M61" s="105">
        <f t="shared" si="0"/>
        <v>227.04999999999998</v>
      </c>
      <c r="N61">
        <f t="shared" si="1"/>
        <v>2.2704999999999997</v>
      </c>
      <c r="O61">
        <f t="shared" si="2"/>
        <v>2.8381249999999998</v>
      </c>
      <c r="P61">
        <f t="shared" si="3"/>
        <v>79.722931249999988</v>
      </c>
      <c r="Q61">
        <f t="shared" si="4"/>
        <v>170.54293125000001</v>
      </c>
      <c r="R61">
        <f t="shared" si="5"/>
        <v>3.7846157726085918</v>
      </c>
      <c r="S61">
        <f t="shared" si="6"/>
        <v>8.0960328150961303</v>
      </c>
    </row>
    <row r="62" spans="1:21">
      <c r="A62" s="67"/>
      <c r="B62">
        <v>55</v>
      </c>
      <c r="C62" s="380">
        <v>2019</v>
      </c>
      <c r="D62" s="380" t="s">
        <v>102</v>
      </c>
      <c r="E62" s="381">
        <v>5</v>
      </c>
      <c r="F62" s="380">
        <v>2342.6</v>
      </c>
      <c r="G62" s="404">
        <v>3</v>
      </c>
      <c r="H62">
        <v>55</v>
      </c>
      <c r="I62" s="404">
        <v>20406</v>
      </c>
      <c r="J62" s="404" t="s">
        <v>1725</v>
      </c>
      <c r="K62" s="404">
        <v>57.7</v>
      </c>
      <c r="L62" s="324">
        <v>575.20000000000005</v>
      </c>
      <c r="M62" s="105">
        <f t="shared" si="0"/>
        <v>575.05000000000007</v>
      </c>
      <c r="N62">
        <f t="shared" si="1"/>
        <v>5.7505000000000006</v>
      </c>
      <c r="O62">
        <f t="shared" si="2"/>
        <v>7.1881250000000012</v>
      </c>
      <c r="P62">
        <f t="shared" si="3"/>
        <v>201.91443125000004</v>
      </c>
      <c r="Q62">
        <f t="shared" si="4"/>
        <v>431.9344312500001</v>
      </c>
      <c r="R62">
        <f t="shared" si="5"/>
        <v>8.6192449095022639</v>
      </c>
      <c r="S62">
        <f t="shared" si="6"/>
        <v>18.438249434389146</v>
      </c>
    </row>
    <row r="63" spans="1:21" s="439" customFormat="1">
      <c r="A63" s="438"/>
      <c r="B63" s="439">
        <v>56</v>
      </c>
      <c r="C63" s="440">
        <v>2019</v>
      </c>
      <c r="D63" s="440" t="s">
        <v>102</v>
      </c>
      <c r="E63" s="441" t="s">
        <v>1693</v>
      </c>
      <c r="F63" s="440">
        <v>2166.5</v>
      </c>
      <c r="G63" s="442">
        <v>3</v>
      </c>
      <c r="H63" s="439">
        <v>56</v>
      </c>
      <c r="I63" s="442">
        <v>20407</v>
      </c>
      <c r="J63" s="442" t="s">
        <v>1725</v>
      </c>
      <c r="K63" s="442">
        <v>52.1</v>
      </c>
      <c r="L63" s="443">
        <v>519.20000000000005</v>
      </c>
      <c r="M63" s="444">
        <f t="shared" si="0"/>
        <v>519.05000000000007</v>
      </c>
      <c r="N63" s="439">
        <f t="shared" si="1"/>
        <v>5.190500000000001</v>
      </c>
      <c r="O63" s="439">
        <f t="shared" si="2"/>
        <v>6.488125000000001</v>
      </c>
      <c r="P63" s="439">
        <f t="shared" si="3"/>
        <v>182.25143125000002</v>
      </c>
      <c r="Q63" s="439">
        <f t="shared" si="4"/>
        <v>389.87143125000006</v>
      </c>
      <c r="R63" s="439">
        <f t="shared" si="5"/>
        <v>8.412251615508886</v>
      </c>
      <c r="S63" s="439">
        <f t="shared" si="6"/>
        <v>17.995450323101782</v>
      </c>
      <c r="T63" s="446">
        <f>_xlfn.STDEV.P(R63:R64)/AVERAGE(R63:R64)</f>
        <v>4.0740718139942736E-4</v>
      </c>
      <c r="U63" s="446">
        <f>_xlfn.STDEV.P(R63:R64)</f>
        <v>3.428608559646662E-3</v>
      </c>
    </row>
    <row r="64" spans="1:21" s="439" customFormat="1">
      <c r="A64" s="438"/>
      <c r="B64" s="439">
        <v>57</v>
      </c>
      <c r="C64" s="440">
        <v>2019</v>
      </c>
      <c r="D64" s="440" t="s">
        <v>102</v>
      </c>
      <c r="E64" s="439" t="s">
        <v>1695</v>
      </c>
      <c r="F64" s="445">
        <v>2198.1</v>
      </c>
      <c r="G64" s="442">
        <v>3</v>
      </c>
      <c r="H64" s="439">
        <v>57</v>
      </c>
      <c r="I64" s="442">
        <v>20408</v>
      </c>
      <c r="J64" s="442" t="s">
        <v>1725</v>
      </c>
      <c r="K64" s="442">
        <v>52.9</v>
      </c>
      <c r="L64" s="443">
        <v>527.20000000000005</v>
      </c>
      <c r="M64" s="444">
        <f t="shared" si="0"/>
        <v>527.05000000000007</v>
      </c>
      <c r="N64" s="439">
        <f t="shared" si="1"/>
        <v>5.2705000000000002</v>
      </c>
      <c r="O64" s="439">
        <f t="shared" si="2"/>
        <v>6.5881249999999998</v>
      </c>
      <c r="P64" s="439">
        <f t="shared" si="3"/>
        <v>185.06043124999999</v>
      </c>
      <c r="Q64" s="439">
        <f t="shared" si="4"/>
        <v>395.88043125000002</v>
      </c>
      <c r="R64" s="439">
        <f t="shared" si="5"/>
        <v>8.4191088326281793</v>
      </c>
      <c r="S64" s="439">
        <f t="shared" si="6"/>
        <v>18.010119250716532</v>
      </c>
      <c r="U64" s="447">
        <f>U63</f>
        <v>3.428608559646662E-3</v>
      </c>
    </row>
    <row r="65" spans="1:21">
      <c r="A65" s="67"/>
      <c r="B65">
        <v>58</v>
      </c>
      <c r="C65" s="384">
        <v>2019</v>
      </c>
      <c r="D65" s="384" t="s">
        <v>102</v>
      </c>
      <c r="E65" s="385">
        <v>7</v>
      </c>
      <c r="F65" s="380">
        <v>2559.1999999999998</v>
      </c>
      <c r="G65" s="404">
        <v>3</v>
      </c>
      <c r="H65">
        <v>58</v>
      </c>
      <c r="I65" s="404">
        <v>20409</v>
      </c>
      <c r="J65" s="404" t="s">
        <v>1725</v>
      </c>
      <c r="K65" s="404">
        <v>52.1</v>
      </c>
      <c r="L65" s="324">
        <v>519.20000000000005</v>
      </c>
      <c r="M65" s="105">
        <f t="shared" si="0"/>
        <v>519.05000000000007</v>
      </c>
      <c r="N65">
        <f t="shared" si="1"/>
        <v>5.190500000000001</v>
      </c>
      <c r="O65">
        <f t="shared" si="2"/>
        <v>6.488125000000001</v>
      </c>
      <c r="P65">
        <f t="shared" si="3"/>
        <v>182.25143125000002</v>
      </c>
      <c r="Q65">
        <f t="shared" si="4"/>
        <v>389.87143125000006</v>
      </c>
      <c r="R65">
        <f t="shared" si="5"/>
        <v>7.1214219775711172</v>
      </c>
      <c r="S65">
        <f t="shared" si="6"/>
        <v>15.234113443654271</v>
      </c>
    </row>
    <row r="66" spans="1:21" s="233" customFormat="1">
      <c r="A66" s="456"/>
      <c r="B66" s="233">
        <v>59</v>
      </c>
      <c r="C66" s="457"/>
      <c r="D66" s="457" t="s">
        <v>1718</v>
      </c>
      <c r="E66" s="458"/>
      <c r="F66" s="457"/>
      <c r="G66" s="459">
        <v>3</v>
      </c>
      <c r="H66" s="233">
        <v>59</v>
      </c>
      <c r="I66" s="459">
        <v>20410</v>
      </c>
      <c r="J66" s="459" t="s">
        <v>1725</v>
      </c>
      <c r="K66" s="459" t="s">
        <v>1726</v>
      </c>
      <c r="L66" s="454">
        <v>0.1</v>
      </c>
      <c r="M66" s="232">
        <f t="shared" si="0"/>
        <v>-5.0000000000000017E-2</v>
      </c>
      <c r="N66" s="233">
        <f t="shared" si="1"/>
        <v>-5.0000000000000012E-4</v>
      </c>
      <c r="O66" s="233">
        <f t="shared" si="2"/>
        <v>-6.2500000000000012E-4</v>
      </c>
      <c r="P66" s="233">
        <f t="shared" si="3"/>
        <v>-1.7556250000000002E-2</v>
      </c>
      <c r="Q66" s="233">
        <f t="shared" si="4"/>
        <v>-3.7556250000000006E-2</v>
      </c>
      <c r="R66" s="233" t="e">
        <f t="shared" si="5"/>
        <v>#DIV/0!</v>
      </c>
      <c r="S66" s="233" t="e">
        <f t="shared" si="6"/>
        <v>#DIV/0!</v>
      </c>
    </row>
    <row r="67" spans="1:21" s="395" customFormat="1" ht="15" thickBot="1">
      <c r="A67" s="399"/>
      <c r="B67" s="400">
        <v>60</v>
      </c>
      <c r="C67" s="400" t="s">
        <v>1716</v>
      </c>
      <c r="D67" s="401" t="s">
        <v>1706</v>
      </c>
      <c r="E67" s="402">
        <v>3</v>
      </c>
      <c r="F67" s="403">
        <v>3166.5</v>
      </c>
      <c r="G67" s="406">
        <v>3</v>
      </c>
      <c r="H67" s="395">
        <v>60</v>
      </c>
      <c r="I67" s="406">
        <v>20411</v>
      </c>
      <c r="J67" s="406" t="s">
        <v>1725</v>
      </c>
      <c r="K67" s="406">
        <v>37.299999999999997</v>
      </c>
      <c r="L67" s="413">
        <v>371.2</v>
      </c>
      <c r="M67" s="449">
        <f t="shared" si="0"/>
        <v>371.05</v>
      </c>
      <c r="N67" s="395">
        <f t="shared" si="1"/>
        <v>3.7104999999999997</v>
      </c>
      <c r="O67" s="395">
        <f t="shared" si="2"/>
        <v>4.6381249999999996</v>
      </c>
      <c r="P67" s="395">
        <f t="shared" si="3"/>
        <v>130.28493125</v>
      </c>
      <c r="Q67" s="395">
        <f t="shared" si="4"/>
        <v>278.70493125000002</v>
      </c>
      <c r="R67" s="395">
        <f t="shared" si="5"/>
        <v>4.1144775382914887</v>
      </c>
      <c r="S67" s="395">
        <f t="shared" si="6"/>
        <v>8.8016716011369027</v>
      </c>
    </row>
    <row r="68" spans="1:21" ht="15" thickTop="1">
      <c r="A68" s="67"/>
      <c r="B68">
        <v>61</v>
      </c>
      <c r="C68" s="380">
        <v>2019</v>
      </c>
      <c r="D68" s="380" t="s">
        <v>102</v>
      </c>
      <c r="E68" s="381">
        <v>8</v>
      </c>
      <c r="F68" s="384">
        <v>2768.9</v>
      </c>
      <c r="G68" s="404">
        <v>3</v>
      </c>
      <c r="H68">
        <v>61</v>
      </c>
      <c r="I68" s="404">
        <v>20412</v>
      </c>
      <c r="J68" s="404" t="s">
        <v>1725</v>
      </c>
      <c r="K68" s="404">
        <v>42.2</v>
      </c>
      <c r="L68" s="324">
        <v>420.2</v>
      </c>
      <c r="M68" s="105">
        <f t="shared" si="0"/>
        <v>420.05</v>
      </c>
      <c r="N68">
        <f t="shared" si="1"/>
        <v>4.2004999999999999</v>
      </c>
      <c r="O68">
        <f t="shared" si="2"/>
        <v>5.2506249999999994</v>
      </c>
      <c r="P68">
        <f t="shared" si="3"/>
        <v>147.49005624999998</v>
      </c>
      <c r="Q68">
        <f t="shared" si="4"/>
        <v>315.51005624999999</v>
      </c>
      <c r="R68">
        <f t="shared" si="5"/>
        <v>5.3266660496948237</v>
      </c>
      <c r="S68">
        <f t="shared" si="6"/>
        <v>11.394779741052401</v>
      </c>
    </row>
    <row r="69" spans="1:21">
      <c r="A69" s="67"/>
      <c r="B69">
        <v>62</v>
      </c>
      <c r="C69" s="380">
        <v>2019</v>
      </c>
      <c r="D69" s="380" t="s">
        <v>102</v>
      </c>
      <c r="E69" s="381">
        <v>9</v>
      </c>
      <c r="F69" s="380">
        <v>2495.1</v>
      </c>
      <c r="G69" s="404">
        <v>3</v>
      </c>
      <c r="H69">
        <v>62</v>
      </c>
      <c r="I69" s="404">
        <v>20413</v>
      </c>
      <c r="J69" s="404" t="s">
        <v>1725</v>
      </c>
      <c r="K69" s="404">
        <v>41.3</v>
      </c>
      <c r="L69" s="324">
        <v>411.2</v>
      </c>
      <c r="M69" s="105">
        <f t="shared" si="0"/>
        <v>411.05</v>
      </c>
      <c r="N69">
        <f t="shared" si="1"/>
        <v>4.1105</v>
      </c>
      <c r="O69">
        <f t="shared" si="2"/>
        <v>5.1381250000000005</v>
      </c>
      <c r="P69">
        <f t="shared" si="3"/>
        <v>144.32993125000002</v>
      </c>
      <c r="Q69">
        <f t="shared" si="4"/>
        <v>308.74993125000003</v>
      </c>
      <c r="R69">
        <f t="shared" si="5"/>
        <v>5.7845349384794211</v>
      </c>
      <c r="S69">
        <f t="shared" si="6"/>
        <v>12.374250781531803</v>
      </c>
    </row>
    <row r="70" spans="1:21">
      <c r="A70" s="67"/>
      <c r="B70">
        <v>63</v>
      </c>
      <c r="C70" s="380">
        <v>2019</v>
      </c>
      <c r="D70" s="380" t="s">
        <v>102</v>
      </c>
      <c r="E70" s="381">
        <v>10</v>
      </c>
      <c r="F70" s="380">
        <v>2415.5</v>
      </c>
      <c r="G70" s="404">
        <v>3</v>
      </c>
      <c r="H70">
        <v>63</v>
      </c>
      <c r="I70" s="404">
        <v>20414</v>
      </c>
      <c r="J70" s="404" t="s">
        <v>1725</v>
      </c>
      <c r="K70" s="404">
        <v>37.799999999999997</v>
      </c>
      <c r="L70" s="324">
        <v>376.2</v>
      </c>
      <c r="M70" s="105">
        <f t="shared" si="0"/>
        <v>376.05</v>
      </c>
      <c r="N70">
        <f t="shared" si="1"/>
        <v>3.7605</v>
      </c>
      <c r="O70">
        <f t="shared" si="2"/>
        <v>4.7006249999999996</v>
      </c>
      <c r="P70">
        <f t="shared" si="3"/>
        <v>132.04055624999998</v>
      </c>
      <c r="Q70">
        <f t="shared" si="4"/>
        <v>282.46055624999997</v>
      </c>
      <c r="R70">
        <f t="shared" si="5"/>
        <v>5.4663861001862966</v>
      </c>
      <c r="S70">
        <f t="shared" si="6"/>
        <v>11.69366823638998</v>
      </c>
    </row>
    <row r="71" spans="1:21">
      <c r="A71" s="67"/>
      <c r="B71">
        <v>64</v>
      </c>
      <c r="C71" s="380">
        <v>2019</v>
      </c>
      <c r="D71" s="380" t="s">
        <v>102</v>
      </c>
      <c r="E71" s="381">
        <v>11</v>
      </c>
      <c r="F71" s="380">
        <v>2345.1999999999998</v>
      </c>
      <c r="G71" s="404">
        <v>3</v>
      </c>
      <c r="H71">
        <v>64</v>
      </c>
      <c r="I71" s="404">
        <v>20415</v>
      </c>
      <c r="J71" s="404" t="s">
        <v>1725</v>
      </c>
      <c r="K71" s="404">
        <v>36.5</v>
      </c>
      <c r="L71" s="324">
        <v>363.2</v>
      </c>
      <c r="M71" s="105">
        <f t="shared" si="0"/>
        <v>363.05</v>
      </c>
      <c r="N71">
        <f t="shared" si="1"/>
        <v>3.6304999999999996</v>
      </c>
      <c r="O71">
        <f t="shared" si="2"/>
        <v>4.5381249999999991</v>
      </c>
      <c r="P71">
        <f t="shared" si="3"/>
        <v>127.47593124999997</v>
      </c>
      <c r="Q71">
        <f t="shared" si="4"/>
        <v>272.69593124999994</v>
      </c>
      <c r="R71">
        <f t="shared" si="5"/>
        <v>5.4356102358007838</v>
      </c>
      <c r="S71">
        <f t="shared" si="6"/>
        <v>11.62783264753539</v>
      </c>
    </row>
    <row r="72" spans="1:21">
      <c r="A72" s="67"/>
      <c r="B72">
        <v>65</v>
      </c>
      <c r="C72" s="380">
        <v>2019</v>
      </c>
      <c r="D72" s="380" t="s">
        <v>102</v>
      </c>
      <c r="E72" s="381">
        <v>12</v>
      </c>
      <c r="F72" s="380">
        <v>3228.2</v>
      </c>
      <c r="G72" s="404">
        <v>3</v>
      </c>
      <c r="H72">
        <v>65</v>
      </c>
      <c r="I72" s="404">
        <v>20416</v>
      </c>
      <c r="J72" s="404" t="s">
        <v>1725</v>
      </c>
      <c r="K72" s="404">
        <v>41.2</v>
      </c>
      <c r="L72" s="324">
        <v>410.2</v>
      </c>
      <c r="M72" s="105">
        <f t="shared" si="0"/>
        <v>410.05</v>
      </c>
      <c r="N72">
        <f t="shared" si="1"/>
        <v>4.1005000000000003</v>
      </c>
      <c r="O72">
        <f t="shared" si="2"/>
        <v>5.1256250000000003</v>
      </c>
      <c r="P72">
        <f t="shared" si="3"/>
        <v>143.97880625000002</v>
      </c>
      <c r="Q72">
        <f t="shared" si="4"/>
        <v>307.99880625000003</v>
      </c>
      <c r="R72">
        <f t="shared" si="5"/>
        <v>4.4600336487826038</v>
      </c>
      <c r="S72">
        <f t="shared" si="6"/>
        <v>9.5408836580757086</v>
      </c>
    </row>
    <row r="73" spans="1:21">
      <c r="A73" s="67"/>
      <c r="B73">
        <v>66</v>
      </c>
      <c r="C73" s="380">
        <v>2019</v>
      </c>
      <c r="D73" s="380" t="s">
        <v>102</v>
      </c>
      <c r="E73" s="381">
        <v>13</v>
      </c>
      <c r="F73" s="388">
        <v>2946.9</v>
      </c>
      <c r="G73" s="404">
        <v>3</v>
      </c>
      <c r="H73">
        <v>66</v>
      </c>
      <c r="I73" s="404">
        <v>20417</v>
      </c>
      <c r="J73" s="404" t="s">
        <v>1725</v>
      </c>
      <c r="K73" s="404">
        <v>35.200000000000003</v>
      </c>
      <c r="L73" s="324">
        <v>350.2</v>
      </c>
      <c r="M73" s="105">
        <f t="shared" ref="M73:M85" si="7">L73-$S$5</f>
        <v>350.05</v>
      </c>
      <c r="N73">
        <f t="shared" ref="N73:N85" si="8">(M73/1000)*10</f>
        <v>3.5005000000000002</v>
      </c>
      <c r="O73">
        <f t="shared" ref="O73:O85" si="9">N73*(5/4)</f>
        <v>4.3756250000000003</v>
      </c>
      <c r="P73">
        <f t="shared" ref="P73:P85" si="10">O73*28.09</f>
        <v>122.91130625000001</v>
      </c>
      <c r="Q73">
        <f t="shared" ref="Q73:Q85" si="11">O73*(28.09+2*16)</f>
        <v>262.93130625000003</v>
      </c>
      <c r="R73">
        <f t="shared" ref="R73:R85" si="12">(P73/F73)*100</f>
        <v>4.1708679035596736</v>
      </c>
      <c r="S73">
        <f t="shared" ref="S73:S85" si="13">(Q73/F73)*100</f>
        <v>8.9223016135600126</v>
      </c>
    </row>
    <row r="74" spans="1:21">
      <c r="A74" s="67"/>
      <c r="B74">
        <v>67</v>
      </c>
      <c r="C74" s="380">
        <v>2019</v>
      </c>
      <c r="D74" s="380" t="s">
        <v>102</v>
      </c>
      <c r="E74" s="381">
        <v>14</v>
      </c>
      <c r="F74" s="380">
        <v>3027.7</v>
      </c>
      <c r="G74" s="404">
        <v>3</v>
      </c>
      <c r="H74">
        <v>67</v>
      </c>
      <c r="I74" s="404">
        <v>20418</v>
      </c>
      <c r="J74" s="404" t="s">
        <v>1725</v>
      </c>
      <c r="K74" s="404">
        <v>39.6</v>
      </c>
      <c r="L74" s="324">
        <v>394.2</v>
      </c>
      <c r="M74" s="105">
        <f t="shared" si="7"/>
        <v>394.05</v>
      </c>
      <c r="N74">
        <f t="shared" si="8"/>
        <v>3.9405000000000001</v>
      </c>
      <c r="O74">
        <f t="shared" si="9"/>
        <v>4.9256250000000001</v>
      </c>
      <c r="P74">
        <f t="shared" si="10"/>
        <v>138.36080625</v>
      </c>
      <c r="Q74">
        <f t="shared" si="11"/>
        <v>295.98080625</v>
      </c>
      <c r="R74">
        <f t="shared" si="12"/>
        <v>4.5698320920170428</v>
      </c>
      <c r="S74">
        <f t="shared" si="13"/>
        <v>9.7757639875152762</v>
      </c>
    </row>
    <row r="75" spans="1:21">
      <c r="A75" s="67"/>
      <c r="B75">
        <v>68</v>
      </c>
      <c r="C75" s="380">
        <v>2019</v>
      </c>
      <c r="D75" s="380" t="s">
        <v>102</v>
      </c>
      <c r="E75" s="381">
        <v>15</v>
      </c>
      <c r="F75" s="380">
        <v>2496.3000000000002</v>
      </c>
      <c r="G75" s="404">
        <v>3</v>
      </c>
      <c r="H75">
        <v>68</v>
      </c>
      <c r="I75" s="404">
        <v>20419</v>
      </c>
      <c r="J75" s="404" t="s">
        <v>1725</v>
      </c>
      <c r="K75" s="404">
        <v>36.200000000000003</v>
      </c>
      <c r="L75" s="324">
        <v>360.2</v>
      </c>
      <c r="M75" s="105">
        <f t="shared" si="7"/>
        <v>360.05</v>
      </c>
      <c r="N75">
        <f t="shared" si="8"/>
        <v>3.6005000000000003</v>
      </c>
      <c r="O75">
        <f t="shared" si="9"/>
        <v>4.5006250000000003</v>
      </c>
      <c r="P75">
        <f t="shared" si="10"/>
        <v>126.42255625000001</v>
      </c>
      <c r="Q75">
        <f t="shared" si="11"/>
        <v>270.44255625000005</v>
      </c>
      <c r="R75">
        <f t="shared" si="12"/>
        <v>5.0643975583864114</v>
      </c>
      <c r="S75">
        <f t="shared" si="13"/>
        <v>10.833736179545729</v>
      </c>
    </row>
    <row r="76" spans="1:21" s="347" customFormat="1">
      <c r="A76" s="419"/>
      <c r="B76" s="347">
        <v>69</v>
      </c>
      <c r="C76" s="420">
        <v>2019</v>
      </c>
      <c r="D76" s="420" t="s">
        <v>102</v>
      </c>
      <c r="E76" s="421" t="s">
        <v>1698</v>
      </c>
      <c r="F76" s="420">
        <v>3148.8</v>
      </c>
      <c r="G76" s="422">
        <v>3</v>
      </c>
      <c r="H76" s="347">
        <v>69</v>
      </c>
      <c r="I76" s="422">
        <v>20420</v>
      </c>
      <c r="J76" s="422" t="s">
        <v>1725</v>
      </c>
      <c r="K76" s="422">
        <v>92.9</v>
      </c>
      <c r="L76" s="423">
        <v>927.2</v>
      </c>
      <c r="M76" s="424">
        <f t="shared" si="7"/>
        <v>927.05000000000007</v>
      </c>
      <c r="N76" s="347">
        <f t="shared" si="8"/>
        <v>9.2705000000000002</v>
      </c>
      <c r="O76" s="347">
        <f t="shared" si="9"/>
        <v>11.588125</v>
      </c>
      <c r="P76" s="347">
        <f t="shared" si="10"/>
        <v>325.51043125000001</v>
      </c>
      <c r="Q76" s="347">
        <f t="shared" si="11"/>
        <v>696.33043125000006</v>
      </c>
      <c r="R76" s="347">
        <f t="shared" si="12"/>
        <v>10.337602618457826</v>
      </c>
      <c r="S76" s="347">
        <f t="shared" si="13"/>
        <v>22.114152415205794</v>
      </c>
      <c r="T76" s="446">
        <f>_xlfn.STDEV.P(R76:R77)/AVERAGE(R76:R77)</f>
        <v>4.8222731234839247E-3</v>
      </c>
      <c r="U76" s="446">
        <f>_xlfn.STDEV.P(R76:R77)</f>
        <v>5.009230203001902E-2</v>
      </c>
    </row>
    <row r="77" spans="1:21" s="347" customFormat="1">
      <c r="A77" s="419"/>
      <c r="B77" s="347">
        <v>70</v>
      </c>
      <c r="C77" s="420">
        <v>2019</v>
      </c>
      <c r="D77" s="420" t="s">
        <v>102</v>
      </c>
      <c r="E77" s="421" t="s">
        <v>1699</v>
      </c>
      <c r="F77" s="420">
        <v>2630.8</v>
      </c>
      <c r="G77" s="422">
        <v>3</v>
      </c>
      <c r="H77" s="347">
        <v>70</v>
      </c>
      <c r="I77" s="422">
        <v>20421</v>
      </c>
      <c r="J77" s="422" t="s">
        <v>1725</v>
      </c>
      <c r="K77" s="422">
        <v>78.400000000000006</v>
      </c>
      <c r="L77" s="423">
        <v>782.2</v>
      </c>
      <c r="M77" s="424">
        <f t="shared" si="7"/>
        <v>782.05000000000007</v>
      </c>
      <c r="N77" s="347">
        <f t="shared" si="8"/>
        <v>7.8205</v>
      </c>
      <c r="O77" s="347">
        <f t="shared" si="9"/>
        <v>9.7756249999999998</v>
      </c>
      <c r="P77" s="347">
        <f t="shared" si="10"/>
        <v>274.59730624999997</v>
      </c>
      <c r="Q77" s="347">
        <f t="shared" si="11"/>
        <v>587.41730625000002</v>
      </c>
      <c r="R77" s="347">
        <f t="shared" si="12"/>
        <v>10.437787222517864</v>
      </c>
      <c r="S77" s="347">
        <f t="shared" si="13"/>
        <v>22.328466863691652</v>
      </c>
      <c r="U77" s="447">
        <f>U76</f>
        <v>5.009230203001902E-2</v>
      </c>
    </row>
    <row r="78" spans="1:21">
      <c r="A78" s="67"/>
      <c r="B78">
        <v>71</v>
      </c>
      <c r="C78" s="380">
        <v>2019</v>
      </c>
      <c r="D78" s="380" t="s">
        <v>102</v>
      </c>
      <c r="E78" s="381">
        <v>17</v>
      </c>
      <c r="F78" s="380">
        <v>2963.1</v>
      </c>
      <c r="G78" s="404">
        <v>3</v>
      </c>
      <c r="H78">
        <v>71</v>
      </c>
      <c r="I78" s="404">
        <v>20422</v>
      </c>
      <c r="J78" s="404" t="s">
        <v>1725</v>
      </c>
      <c r="K78" s="404">
        <v>70.7</v>
      </c>
      <c r="L78" s="324">
        <v>705.2</v>
      </c>
      <c r="M78" s="105">
        <f t="shared" si="7"/>
        <v>705.05000000000007</v>
      </c>
      <c r="N78">
        <f t="shared" si="8"/>
        <v>7.0505000000000004</v>
      </c>
      <c r="O78">
        <f t="shared" si="9"/>
        <v>8.8131250000000012</v>
      </c>
      <c r="P78">
        <f t="shared" si="10"/>
        <v>247.56068125000004</v>
      </c>
      <c r="Q78">
        <f t="shared" si="11"/>
        <v>529.58068125000011</v>
      </c>
      <c r="R78">
        <f t="shared" si="12"/>
        <v>8.3547865833080248</v>
      </c>
      <c r="S78">
        <f t="shared" si="13"/>
        <v>17.872521388073306</v>
      </c>
    </row>
    <row r="79" spans="1:21" ht="15" thickBot="1">
      <c r="A79" s="293"/>
      <c r="B79" s="288">
        <v>72</v>
      </c>
      <c r="C79" s="383">
        <v>2019</v>
      </c>
      <c r="D79" s="383" t="s">
        <v>102</v>
      </c>
      <c r="E79" s="382">
        <v>18</v>
      </c>
      <c r="F79" s="383">
        <v>2629</v>
      </c>
      <c r="G79" s="404">
        <v>3</v>
      </c>
      <c r="H79">
        <v>72</v>
      </c>
      <c r="I79" s="404">
        <v>20423</v>
      </c>
      <c r="J79" s="404" t="s">
        <v>1725</v>
      </c>
      <c r="K79" s="404">
        <v>51.7</v>
      </c>
      <c r="L79" s="324">
        <v>515.20000000000005</v>
      </c>
      <c r="M79" s="105">
        <f t="shared" si="7"/>
        <v>515.05000000000007</v>
      </c>
      <c r="N79">
        <f t="shared" si="8"/>
        <v>5.150500000000001</v>
      </c>
      <c r="O79">
        <f t="shared" si="9"/>
        <v>6.4381250000000012</v>
      </c>
      <c r="P79">
        <f t="shared" si="10"/>
        <v>180.84693125000004</v>
      </c>
      <c r="Q79">
        <f t="shared" si="11"/>
        <v>386.86693125000011</v>
      </c>
      <c r="R79">
        <f t="shared" si="12"/>
        <v>6.8789247337390655</v>
      </c>
      <c r="S79">
        <f t="shared" si="13"/>
        <v>14.715364444655767</v>
      </c>
    </row>
    <row r="80" spans="1:21" ht="15" thickTop="1">
      <c r="A80" s="67"/>
      <c r="B80">
        <v>73</v>
      </c>
      <c r="C80" s="384">
        <v>2019</v>
      </c>
      <c r="D80" s="384" t="s">
        <v>102</v>
      </c>
      <c r="E80" s="385">
        <v>19</v>
      </c>
      <c r="F80" s="384">
        <v>2223.1</v>
      </c>
      <c r="G80" s="404">
        <v>3</v>
      </c>
      <c r="H80">
        <v>73</v>
      </c>
      <c r="I80" s="404">
        <v>20424</v>
      </c>
      <c r="J80" s="404" t="s">
        <v>1725</v>
      </c>
      <c r="K80" s="404">
        <v>38.200000000000003</v>
      </c>
      <c r="L80" s="324">
        <v>380.2</v>
      </c>
      <c r="M80" s="105">
        <f t="shared" si="7"/>
        <v>380.05</v>
      </c>
      <c r="N80">
        <f t="shared" si="8"/>
        <v>3.8005</v>
      </c>
      <c r="O80">
        <f t="shared" si="9"/>
        <v>4.7506250000000003</v>
      </c>
      <c r="P80">
        <f t="shared" si="10"/>
        <v>133.44505625000002</v>
      </c>
      <c r="Q80">
        <f t="shared" si="11"/>
        <v>285.46505625000003</v>
      </c>
      <c r="R80">
        <f t="shared" si="12"/>
        <v>6.0026564819396357</v>
      </c>
      <c r="S80">
        <f t="shared" si="13"/>
        <v>12.840855393369621</v>
      </c>
    </row>
    <row r="81" spans="1:19">
      <c r="A81" s="67"/>
      <c r="B81">
        <v>74</v>
      </c>
      <c r="C81" s="380">
        <v>2019</v>
      </c>
      <c r="D81" s="380" t="s">
        <v>102</v>
      </c>
      <c r="E81" s="381">
        <v>20</v>
      </c>
      <c r="F81" s="380">
        <v>3162.9</v>
      </c>
      <c r="G81" s="404">
        <v>3</v>
      </c>
      <c r="H81">
        <v>74</v>
      </c>
      <c r="I81" s="404">
        <v>20425</v>
      </c>
      <c r="J81" s="404" t="s">
        <v>1725</v>
      </c>
      <c r="K81" s="404">
        <v>47.6</v>
      </c>
      <c r="L81" s="324">
        <v>474.2</v>
      </c>
      <c r="M81" s="105">
        <f t="shared" si="7"/>
        <v>474.05</v>
      </c>
      <c r="N81">
        <f t="shared" si="8"/>
        <v>4.7404999999999999</v>
      </c>
      <c r="O81">
        <f t="shared" si="9"/>
        <v>5.9256250000000001</v>
      </c>
      <c r="P81">
        <f t="shared" si="10"/>
        <v>166.45080625</v>
      </c>
      <c r="Q81">
        <f t="shared" si="11"/>
        <v>356.07080625000003</v>
      </c>
      <c r="R81">
        <f t="shared" si="12"/>
        <v>5.2626009753707041</v>
      </c>
      <c r="S81">
        <f t="shared" si="13"/>
        <v>11.257732025988808</v>
      </c>
    </row>
    <row r="82" spans="1:19">
      <c r="A82" s="67"/>
      <c r="B82">
        <v>75</v>
      </c>
      <c r="C82" s="380">
        <v>2019</v>
      </c>
      <c r="D82" s="380" t="s">
        <v>102</v>
      </c>
      <c r="E82" s="381">
        <v>21</v>
      </c>
      <c r="F82" s="380">
        <v>2340.1</v>
      </c>
      <c r="G82" s="404">
        <v>3</v>
      </c>
      <c r="H82">
        <v>75</v>
      </c>
      <c r="I82" s="404">
        <v>20426</v>
      </c>
      <c r="J82" s="404" t="s">
        <v>1725</v>
      </c>
      <c r="K82" s="404">
        <v>28.9</v>
      </c>
      <c r="L82" s="324">
        <v>287.2</v>
      </c>
      <c r="M82" s="105">
        <f t="shared" si="7"/>
        <v>287.05</v>
      </c>
      <c r="N82">
        <f t="shared" si="8"/>
        <v>2.8705000000000003</v>
      </c>
      <c r="O82">
        <f t="shared" si="9"/>
        <v>3.5881250000000002</v>
      </c>
      <c r="P82">
        <f t="shared" si="10"/>
        <v>100.79043125000001</v>
      </c>
      <c r="Q82">
        <f t="shared" si="11"/>
        <v>215.61043125000003</v>
      </c>
      <c r="R82">
        <f t="shared" si="12"/>
        <v>4.3070993226785186</v>
      </c>
      <c r="S82">
        <f t="shared" si="13"/>
        <v>9.2137272445622003</v>
      </c>
    </row>
    <row r="83" spans="1:19">
      <c r="A83" s="389"/>
      <c r="B83" s="390">
        <v>76</v>
      </c>
      <c r="C83" s="390"/>
      <c r="D83" s="393" t="s">
        <v>1719</v>
      </c>
      <c r="E83" s="390"/>
      <c r="F83" s="391"/>
      <c r="G83" s="405">
        <v>3</v>
      </c>
      <c r="H83" s="390">
        <v>76</v>
      </c>
      <c r="I83" s="405">
        <v>20427</v>
      </c>
      <c r="J83" s="405" t="s">
        <v>1725</v>
      </c>
      <c r="K83" s="405" t="s">
        <v>1726</v>
      </c>
      <c r="L83" s="412">
        <v>0.2</v>
      </c>
      <c r="M83" s="105">
        <f t="shared" si="7"/>
        <v>4.9999999999999989E-2</v>
      </c>
      <c r="N83">
        <f t="shared" si="8"/>
        <v>4.999999999999999E-4</v>
      </c>
      <c r="O83">
        <f t="shared" si="9"/>
        <v>6.249999999999999E-4</v>
      </c>
      <c r="P83">
        <f t="shared" si="10"/>
        <v>1.7556249999999999E-2</v>
      </c>
      <c r="Q83">
        <f t="shared" si="11"/>
        <v>3.7556249999999999E-2</v>
      </c>
      <c r="R83" t="e">
        <f t="shared" si="12"/>
        <v>#DIV/0!</v>
      </c>
      <c r="S83" t="e">
        <f t="shared" si="13"/>
        <v>#DIV/0!</v>
      </c>
    </row>
    <row r="84" spans="1:19">
      <c r="A84" s="394"/>
      <c r="B84" s="395">
        <v>77</v>
      </c>
      <c r="C84" s="395" t="s">
        <v>1716</v>
      </c>
      <c r="D84" s="396" t="s">
        <v>1706</v>
      </c>
      <c r="E84" s="397">
        <v>4</v>
      </c>
      <c r="F84" s="398">
        <v>2379.9</v>
      </c>
      <c r="G84" s="406">
        <v>3</v>
      </c>
      <c r="H84" s="395">
        <v>77</v>
      </c>
      <c r="I84" s="406">
        <v>20428</v>
      </c>
      <c r="J84" s="406" t="s">
        <v>1725</v>
      </c>
      <c r="K84" s="406">
        <v>29.8</v>
      </c>
      <c r="L84" s="413">
        <v>296.2</v>
      </c>
      <c r="M84" s="105">
        <f t="shared" si="7"/>
        <v>296.05</v>
      </c>
      <c r="N84">
        <f t="shared" si="8"/>
        <v>2.9605000000000006</v>
      </c>
      <c r="O84">
        <f t="shared" si="9"/>
        <v>3.7006250000000005</v>
      </c>
      <c r="P84">
        <f t="shared" si="10"/>
        <v>103.95055625000002</v>
      </c>
      <c r="Q84">
        <f t="shared" si="11"/>
        <v>222.37055625000005</v>
      </c>
      <c r="R84">
        <f t="shared" si="12"/>
        <v>4.3678539539476455</v>
      </c>
      <c r="S84">
        <f t="shared" si="13"/>
        <v>9.343693274927519</v>
      </c>
    </row>
    <row r="85" spans="1:19">
      <c r="A85" s="394"/>
      <c r="B85" s="395">
        <v>78</v>
      </c>
      <c r="C85" s="395" t="s">
        <v>1716</v>
      </c>
      <c r="D85" s="396" t="s">
        <v>1706</v>
      </c>
      <c r="E85" s="397">
        <v>5</v>
      </c>
      <c r="F85" s="398">
        <v>2946.1</v>
      </c>
      <c r="G85" s="406">
        <v>3</v>
      </c>
      <c r="H85" s="395">
        <v>78</v>
      </c>
      <c r="I85" s="406">
        <v>20429</v>
      </c>
      <c r="J85" s="406" t="s">
        <v>1725</v>
      </c>
      <c r="K85" s="406">
        <v>36</v>
      </c>
      <c r="L85" s="413">
        <v>358.2</v>
      </c>
      <c r="M85" s="105">
        <f t="shared" si="7"/>
        <v>358.05</v>
      </c>
      <c r="N85">
        <f t="shared" si="8"/>
        <v>3.5805000000000002</v>
      </c>
      <c r="O85">
        <f t="shared" si="9"/>
        <v>4.475625</v>
      </c>
      <c r="P85">
        <f t="shared" si="10"/>
        <v>125.72030624999999</v>
      </c>
      <c r="Q85">
        <f t="shared" si="11"/>
        <v>268.94030624999999</v>
      </c>
      <c r="R85">
        <f t="shared" si="12"/>
        <v>4.267346873833203</v>
      </c>
      <c r="S85">
        <f t="shared" si="13"/>
        <v>9.1286889871355346</v>
      </c>
    </row>
    <row r="87" spans="1:19">
      <c r="A87" s="76" t="s">
        <v>1755</v>
      </c>
    </row>
    <row r="88" spans="1:19">
      <c r="B88" s="561" t="s">
        <v>1741</v>
      </c>
      <c r="C88" s="562"/>
      <c r="D88" s="562"/>
      <c r="E88" s="562"/>
      <c r="F88" s="562"/>
      <c r="G88"/>
      <c r="I88" s="1" t="s">
        <v>1742</v>
      </c>
      <c r="J88" s="1"/>
    </row>
    <row r="89" spans="1:19">
      <c r="B89" s="3" t="s">
        <v>1743</v>
      </c>
      <c r="C89" s="3"/>
      <c r="E89" s="3"/>
      <c r="F89" s="3"/>
      <c r="G89"/>
      <c r="I89" s="3" t="s">
        <v>1743</v>
      </c>
      <c r="J89" s="3"/>
    </row>
    <row r="90" spans="1:19">
      <c r="A90" s="1" t="s">
        <v>1744</v>
      </c>
      <c r="B90" s="460">
        <v>88.227999999999994</v>
      </c>
      <c r="G90"/>
      <c r="I90" s="197" t="s">
        <v>1745</v>
      </c>
      <c r="J90" s="197"/>
    </row>
    <row r="91" spans="1:19">
      <c r="A91" s="1" t="s">
        <v>1746</v>
      </c>
      <c r="B91" s="460">
        <v>87.842600000000004</v>
      </c>
      <c r="C91" s="4"/>
      <c r="E91" s="4"/>
      <c r="F91" s="4"/>
      <c r="G91"/>
      <c r="I91" s="4"/>
      <c r="J91" s="4"/>
    </row>
    <row r="92" spans="1:19">
      <c r="A92" t="s">
        <v>1747</v>
      </c>
      <c r="B92" s="460">
        <v>3.3480000000000003E-2</v>
      </c>
      <c r="C92" s="4"/>
      <c r="E92" s="4"/>
      <c r="F92" s="4"/>
      <c r="G92"/>
      <c r="I92"/>
      <c r="J92" s="117"/>
    </row>
    <row r="93" spans="1:19">
      <c r="G93"/>
      <c r="I93"/>
      <c r="J93"/>
    </row>
    <row r="94" spans="1:19">
      <c r="A94" s="1" t="s">
        <v>1748</v>
      </c>
      <c r="B94" s="4">
        <v>0.2</v>
      </c>
      <c r="C94" s="4"/>
      <c r="D94" s="4"/>
      <c r="E94" s="4"/>
      <c r="F94" s="4"/>
      <c r="G94"/>
      <c r="I94"/>
      <c r="J94"/>
    </row>
    <row r="95" spans="1:19">
      <c r="G95"/>
      <c r="I95"/>
      <c r="J95"/>
    </row>
    <row r="96" spans="1:19">
      <c r="A96" s="1" t="s">
        <v>1749</v>
      </c>
      <c r="B96" s="461" t="s">
        <v>1750</v>
      </c>
      <c r="C96" s="461"/>
      <c r="D96" s="461"/>
      <c r="E96" s="461"/>
      <c r="F96" s="461"/>
      <c r="G96"/>
      <c r="I96"/>
      <c r="J96"/>
    </row>
    <row r="97" spans="1:10">
      <c r="A97" s="173" t="s">
        <v>1751</v>
      </c>
      <c r="G97"/>
      <c r="I97"/>
      <c r="J97"/>
    </row>
    <row r="98" spans="1:10">
      <c r="G98"/>
      <c r="I98"/>
      <c r="J98"/>
    </row>
    <row r="99" spans="1:10">
      <c r="A99" s="76" t="s">
        <v>1752</v>
      </c>
      <c r="B99" s="76" t="s">
        <v>1753</v>
      </c>
      <c r="G99"/>
      <c r="I99"/>
      <c r="J99"/>
    </row>
    <row r="100" spans="1:10">
      <c r="A100" s="142" t="s">
        <v>1754</v>
      </c>
      <c r="G100"/>
      <c r="I100"/>
      <c r="J100"/>
    </row>
    <row r="101" spans="1:10">
      <c r="G101"/>
      <c r="I101"/>
      <c r="J101"/>
    </row>
    <row r="102" spans="1:10">
      <c r="G102"/>
      <c r="I102"/>
      <c r="J102"/>
    </row>
    <row r="103" spans="1:10">
      <c r="G103"/>
      <c r="I103"/>
      <c r="J103"/>
    </row>
    <row r="104" spans="1:10">
      <c r="G104"/>
      <c r="I104"/>
      <c r="J104"/>
    </row>
  </sheetData>
  <mergeCells count="1">
    <mergeCell ref="B88:F88"/>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B07F-9A7F-439D-BDD3-5CDCDA8701B6}">
  <dimension ref="A1:I76"/>
  <sheetViews>
    <sheetView workbookViewId="0">
      <selection activeCell="H18" sqref="H18"/>
    </sheetView>
  </sheetViews>
  <sheetFormatPr defaultRowHeight="14.5"/>
  <cols>
    <col min="1" max="1" width="25.7265625" customWidth="1"/>
  </cols>
  <sheetData>
    <row r="1" spans="1:9">
      <c r="A1" s="76" t="s">
        <v>1710</v>
      </c>
    </row>
    <row r="2" spans="1:9">
      <c r="A2" s="76" t="s">
        <v>1759</v>
      </c>
    </row>
    <row r="3" spans="1:9">
      <c r="A3" t="s">
        <v>1760</v>
      </c>
    </row>
    <row r="4" spans="1:9">
      <c r="A4" t="s">
        <v>1761</v>
      </c>
    </row>
    <row r="5" spans="1:9">
      <c r="A5" s="89" t="s">
        <v>1762</v>
      </c>
    </row>
    <row r="6" spans="1:9">
      <c r="A6" s="380" t="s">
        <v>1763</v>
      </c>
      <c r="B6" s="380" t="s">
        <v>1764</v>
      </c>
      <c r="C6" s="380" t="s">
        <v>1342</v>
      </c>
      <c r="D6" s="380" t="s">
        <v>145</v>
      </c>
      <c r="E6" s="380" t="s">
        <v>146</v>
      </c>
      <c r="F6" s="380" t="s">
        <v>147</v>
      </c>
      <c r="G6" s="380" t="s">
        <v>1714</v>
      </c>
      <c r="H6" s="380"/>
      <c r="I6" s="380"/>
    </row>
    <row r="7" spans="1:9">
      <c r="A7" s="467">
        <v>44131</v>
      </c>
      <c r="B7" s="380" t="s">
        <v>1765</v>
      </c>
      <c r="C7" s="380" t="s">
        <v>1766</v>
      </c>
      <c r="D7" s="380">
        <v>2019</v>
      </c>
      <c r="E7" s="380" t="s">
        <v>98</v>
      </c>
      <c r="F7" s="380">
        <v>1</v>
      </c>
      <c r="G7" s="398">
        <v>2987.3</v>
      </c>
      <c r="H7" s="380"/>
      <c r="I7" s="380"/>
    </row>
    <row r="8" spans="1:9">
      <c r="A8" s="467">
        <v>44131</v>
      </c>
      <c r="B8" s="380" t="s">
        <v>1765</v>
      </c>
      <c r="C8" s="380" t="s">
        <v>1766</v>
      </c>
      <c r="D8" s="380">
        <v>2019</v>
      </c>
      <c r="E8" s="380" t="s">
        <v>98</v>
      </c>
      <c r="F8" s="380" t="s">
        <v>1684</v>
      </c>
      <c r="G8" s="398">
        <v>2128.8000000000002</v>
      </c>
      <c r="H8" s="380"/>
      <c r="I8" s="380"/>
    </row>
    <row r="9" spans="1:9">
      <c r="A9" s="467">
        <v>44131</v>
      </c>
      <c r="B9" s="380" t="s">
        <v>1765</v>
      </c>
      <c r="C9" s="380" t="s">
        <v>1766</v>
      </c>
      <c r="D9" s="380">
        <v>2019</v>
      </c>
      <c r="E9" s="380" t="s">
        <v>98</v>
      </c>
      <c r="F9" s="380" t="s">
        <v>1685</v>
      </c>
      <c r="G9" s="398">
        <v>2338.1</v>
      </c>
      <c r="H9" s="380"/>
      <c r="I9" s="380"/>
    </row>
    <row r="10" spans="1:9">
      <c r="A10" s="467">
        <v>44131</v>
      </c>
      <c r="B10" s="380" t="s">
        <v>1765</v>
      </c>
      <c r="C10" s="380" t="s">
        <v>1766</v>
      </c>
      <c r="D10" s="380">
        <v>2019</v>
      </c>
      <c r="E10" s="380" t="s">
        <v>98</v>
      </c>
      <c r="F10" s="380">
        <v>3</v>
      </c>
      <c r="G10" s="398">
        <v>2110.6999999999998</v>
      </c>
      <c r="H10" s="380"/>
      <c r="I10" s="380"/>
    </row>
    <row r="11" spans="1:9">
      <c r="A11" s="467">
        <v>44131</v>
      </c>
      <c r="B11" s="380" t="s">
        <v>1765</v>
      </c>
      <c r="C11" s="380" t="s">
        <v>1766</v>
      </c>
      <c r="D11" s="380">
        <v>2019</v>
      </c>
      <c r="E11" s="380" t="s">
        <v>98</v>
      </c>
      <c r="F11" s="380">
        <v>4</v>
      </c>
      <c r="G11" s="398">
        <v>2249.5</v>
      </c>
      <c r="H11" s="380"/>
      <c r="I11" s="380"/>
    </row>
    <row r="12" spans="1:9">
      <c r="A12" s="467">
        <v>44131</v>
      </c>
      <c r="B12" s="380" t="s">
        <v>1765</v>
      </c>
      <c r="C12" s="380" t="s">
        <v>1766</v>
      </c>
      <c r="D12" s="380">
        <v>2019</v>
      </c>
      <c r="E12" s="380" t="s">
        <v>98</v>
      </c>
      <c r="F12" s="380">
        <v>5</v>
      </c>
      <c r="G12" s="398">
        <v>2823.5</v>
      </c>
      <c r="H12" s="380"/>
      <c r="I12" s="380"/>
    </row>
    <row r="13" spans="1:9">
      <c r="A13" s="467">
        <v>44131</v>
      </c>
      <c r="B13" s="380" t="s">
        <v>1765</v>
      </c>
      <c r="C13" s="380" t="s">
        <v>1766</v>
      </c>
      <c r="D13" s="380">
        <v>2019</v>
      </c>
      <c r="E13" s="380" t="s">
        <v>98</v>
      </c>
      <c r="F13" s="380">
        <v>6</v>
      </c>
      <c r="G13" s="398">
        <v>2102.4</v>
      </c>
      <c r="H13" s="380"/>
      <c r="I13" s="380"/>
    </row>
    <row r="14" spans="1:9">
      <c r="A14" s="467">
        <v>44131</v>
      </c>
      <c r="B14" s="380" t="s">
        <v>1765</v>
      </c>
      <c r="C14" s="380" t="s">
        <v>1766</v>
      </c>
      <c r="D14" s="380">
        <v>2019</v>
      </c>
      <c r="E14" s="380" t="s">
        <v>98</v>
      </c>
      <c r="F14" s="380">
        <v>7</v>
      </c>
      <c r="G14" s="398">
        <v>2652.8</v>
      </c>
      <c r="H14" s="380"/>
      <c r="I14" s="380"/>
    </row>
    <row r="15" spans="1:9">
      <c r="A15" s="467">
        <v>44131</v>
      </c>
      <c r="B15" s="380" t="s">
        <v>1765</v>
      </c>
      <c r="C15" s="380" t="s">
        <v>1766</v>
      </c>
      <c r="D15" s="380">
        <v>2019</v>
      </c>
      <c r="E15" s="380" t="s">
        <v>98</v>
      </c>
      <c r="F15" s="380">
        <v>8</v>
      </c>
      <c r="G15" s="398">
        <v>2650</v>
      </c>
      <c r="H15" s="380"/>
      <c r="I15" s="380"/>
    </row>
    <row r="16" spans="1:9">
      <c r="A16" s="467">
        <v>44131</v>
      </c>
      <c r="B16" s="380" t="s">
        <v>1765</v>
      </c>
      <c r="C16" s="380" t="s">
        <v>1766</v>
      </c>
      <c r="D16" s="380">
        <v>2019</v>
      </c>
      <c r="E16" s="380" t="s">
        <v>98</v>
      </c>
      <c r="F16" s="380">
        <v>9</v>
      </c>
      <c r="G16" s="398">
        <v>2186.5</v>
      </c>
      <c r="H16" s="380"/>
      <c r="I16" s="380"/>
    </row>
    <row r="17" spans="1:9">
      <c r="A17" s="467">
        <v>44131</v>
      </c>
      <c r="B17" s="380" t="s">
        <v>1765</v>
      </c>
      <c r="C17" s="380" t="s">
        <v>1766</v>
      </c>
      <c r="D17" s="380">
        <v>2019</v>
      </c>
      <c r="E17" s="380" t="s">
        <v>98</v>
      </c>
      <c r="F17" s="380">
        <v>10</v>
      </c>
      <c r="G17" s="398">
        <v>2144.9</v>
      </c>
      <c r="H17" s="380"/>
      <c r="I17" s="380"/>
    </row>
    <row r="18" spans="1:9">
      <c r="A18" s="467">
        <v>44131</v>
      </c>
      <c r="B18" s="380" t="s">
        <v>1765</v>
      </c>
      <c r="C18" s="380" t="s">
        <v>1767</v>
      </c>
      <c r="D18" s="380">
        <v>2019</v>
      </c>
      <c r="E18" s="380" t="s">
        <v>98</v>
      </c>
      <c r="F18" s="380">
        <v>11</v>
      </c>
      <c r="G18" s="398">
        <v>3010.8</v>
      </c>
      <c r="H18" s="380"/>
      <c r="I18" s="380"/>
    </row>
    <row r="19" spans="1:9">
      <c r="A19" s="467">
        <v>44131</v>
      </c>
      <c r="B19" s="380" t="s">
        <v>1765</v>
      </c>
      <c r="C19" s="380" t="s">
        <v>1767</v>
      </c>
      <c r="D19" s="380">
        <v>2019</v>
      </c>
      <c r="E19" s="380" t="s">
        <v>98</v>
      </c>
      <c r="F19" s="380">
        <v>12</v>
      </c>
      <c r="G19" s="398">
        <v>2101.3000000000002</v>
      </c>
      <c r="H19" s="380"/>
      <c r="I19" s="380"/>
    </row>
    <row r="20" spans="1:9">
      <c r="A20" s="467">
        <v>44131</v>
      </c>
      <c r="B20" s="380" t="s">
        <v>1765</v>
      </c>
      <c r="C20" s="380" t="s">
        <v>1767</v>
      </c>
      <c r="D20" s="380">
        <v>2019</v>
      </c>
      <c r="E20" s="380" t="s">
        <v>98</v>
      </c>
      <c r="F20" s="380">
        <v>13</v>
      </c>
      <c r="G20" s="398">
        <v>2524.6999999999998</v>
      </c>
      <c r="H20" s="380"/>
      <c r="I20" s="380"/>
    </row>
    <row r="21" spans="1:9">
      <c r="A21" s="467">
        <v>44131</v>
      </c>
      <c r="B21" s="380" t="s">
        <v>1765</v>
      </c>
      <c r="C21" s="380" t="s">
        <v>1767</v>
      </c>
      <c r="D21" s="380">
        <v>2019</v>
      </c>
      <c r="E21" s="380" t="s">
        <v>98</v>
      </c>
      <c r="F21" s="380" t="s">
        <v>1686</v>
      </c>
      <c r="G21" s="398">
        <v>3069.3</v>
      </c>
      <c r="H21" s="380"/>
      <c r="I21" s="380"/>
    </row>
    <row r="22" spans="1:9">
      <c r="A22" s="467">
        <v>44131</v>
      </c>
      <c r="B22" s="380" t="s">
        <v>1765</v>
      </c>
      <c r="C22" s="380" t="s">
        <v>1767</v>
      </c>
      <c r="D22" s="380">
        <v>2019</v>
      </c>
      <c r="E22" s="380" t="s">
        <v>98</v>
      </c>
      <c r="F22" s="380" t="s">
        <v>1687</v>
      </c>
      <c r="G22" s="398">
        <v>2464.3000000000002</v>
      </c>
      <c r="H22" s="380"/>
      <c r="I22" s="380"/>
    </row>
    <row r="23" spans="1:9">
      <c r="A23" s="467">
        <v>44131</v>
      </c>
      <c r="B23" s="380" t="s">
        <v>1765</v>
      </c>
      <c r="C23" s="380" t="s">
        <v>1767</v>
      </c>
      <c r="D23" s="380">
        <v>2019</v>
      </c>
      <c r="E23" s="380" t="s">
        <v>98</v>
      </c>
      <c r="F23" s="380">
        <v>15</v>
      </c>
      <c r="G23" s="398">
        <v>2356.5</v>
      </c>
      <c r="H23" s="380"/>
      <c r="I23" s="380"/>
    </row>
    <row r="24" spans="1:9">
      <c r="A24" s="467">
        <v>44131</v>
      </c>
      <c r="B24" s="380" t="s">
        <v>1765</v>
      </c>
      <c r="C24" s="380" t="s">
        <v>1767</v>
      </c>
      <c r="D24" s="380">
        <v>2019</v>
      </c>
      <c r="E24" s="380" t="s">
        <v>98</v>
      </c>
      <c r="F24" s="380">
        <v>16</v>
      </c>
      <c r="G24" s="398">
        <v>2723.6</v>
      </c>
      <c r="H24" s="380"/>
      <c r="I24" s="380"/>
    </row>
    <row r="25" spans="1:9">
      <c r="A25" s="467">
        <v>44131</v>
      </c>
      <c r="B25" s="380" t="s">
        <v>1765</v>
      </c>
      <c r="C25" s="380" t="s">
        <v>1768</v>
      </c>
      <c r="D25" s="380">
        <v>2019</v>
      </c>
      <c r="E25" s="380" t="s">
        <v>98</v>
      </c>
      <c r="F25" s="380">
        <v>17</v>
      </c>
      <c r="G25" s="398">
        <v>2521.5</v>
      </c>
      <c r="H25" s="380"/>
      <c r="I25" s="380"/>
    </row>
    <row r="26" spans="1:9">
      <c r="A26" s="467">
        <v>44131</v>
      </c>
      <c r="B26" s="380" t="s">
        <v>1765</v>
      </c>
      <c r="C26" s="380" t="s">
        <v>1768</v>
      </c>
      <c r="D26" s="380">
        <v>2019</v>
      </c>
      <c r="E26" s="380" t="s">
        <v>98</v>
      </c>
      <c r="F26" s="380">
        <v>18</v>
      </c>
      <c r="G26" s="398">
        <v>2172.6999999999998</v>
      </c>
      <c r="H26" s="380"/>
      <c r="I26" s="380"/>
    </row>
    <row r="27" spans="1:9">
      <c r="A27" s="467">
        <v>44131</v>
      </c>
      <c r="B27" s="380" t="s">
        <v>1765</v>
      </c>
      <c r="C27" s="380" t="s">
        <v>1768</v>
      </c>
      <c r="D27" s="380">
        <v>2019</v>
      </c>
      <c r="E27" s="380" t="s">
        <v>98</v>
      </c>
      <c r="F27" s="380">
        <v>19</v>
      </c>
      <c r="G27" s="398">
        <v>2512.5</v>
      </c>
      <c r="H27" s="380"/>
      <c r="I27" s="380"/>
    </row>
    <row r="28" spans="1:9">
      <c r="A28" s="467">
        <v>44131</v>
      </c>
      <c r="B28" s="380" t="s">
        <v>1765</v>
      </c>
      <c r="C28" s="380" t="s">
        <v>1768</v>
      </c>
      <c r="D28" s="380">
        <v>2019</v>
      </c>
      <c r="E28" s="380" t="s">
        <v>98</v>
      </c>
      <c r="F28" s="380">
        <v>20</v>
      </c>
      <c r="G28" s="398">
        <v>2601.6999999999998</v>
      </c>
      <c r="H28" s="380"/>
      <c r="I28" s="380"/>
    </row>
    <row r="29" spans="1:9">
      <c r="A29" s="467">
        <v>44131</v>
      </c>
      <c r="B29" s="380" t="s">
        <v>1765</v>
      </c>
      <c r="C29" s="380" t="s">
        <v>1768</v>
      </c>
      <c r="D29" s="380">
        <v>2019</v>
      </c>
      <c r="E29" s="380" t="s">
        <v>98</v>
      </c>
      <c r="F29" s="380">
        <v>21</v>
      </c>
      <c r="G29" s="398">
        <v>2458.1999999999998</v>
      </c>
      <c r="H29" s="380"/>
      <c r="I29" s="380"/>
    </row>
    <row r="30" spans="1:9">
      <c r="A30" s="467">
        <v>44131</v>
      </c>
      <c r="B30" s="380" t="s">
        <v>1765</v>
      </c>
      <c r="C30" s="380" t="s">
        <v>1768</v>
      </c>
      <c r="D30" s="380">
        <v>2019</v>
      </c>
      <c r="E30" s="380" t="s">
        <v>101</v>
      </c>
      <c r="F30" s="380">
        <v>1</v>
      </c>
      <c r="G30" s="398">
        <v>2617.6999999999998</v>
      </c>
      <c r="H30" s="380"/>
      <c r="I30" s="380"/>
    </row>
    <row r="31" spans="1:9">
      <c r="A31" s="467">
        <v>44131</v>
      </c>
      <c r="B31" s="380" t="s">
        <v>1765</v>
      </c>
      <c r="C31" s="380" t="s">
        <v>1768</v>
      </c>
      <c r="D31" s="380">
        <v>2019</v>
      </c>
      <c r="E31" s="380" t="s">
        <v>101</v>
      </c>
      <c r="F31" s="380">
        <v>2</v>
      </c>
      <c r="G31" s="398">
        <v>2606.1</v>
      </c>
      <c r="H31" s="380"/>
      <c r="I31" s="380"/>
    </row>
    <row r="32" spans="1:9">
      <c r="A32" s="467">
        <v>44131</v>
      </c>
      <c r="B32" s="380" t="s">
        <v>1765</v>
      </c>
      <c r="C32" s="380" t="s">
        <v>1768</v>
      </c>
      <c r="D32" s="380">
        <v>2019</v>
      </c>
      <c r="E32" s="380" t="s">
        <v>101</v>
      </c>
      <c r="F32" s="380" t="s">
        <v>1689</v>
      </c>
      <c r="G32" s="398">
        <v>2137.4</v>
      </c>
      <c r="H32" s="380"/>
      <c r="I32" s="380"/>
    </row>
    <row r="33" spans="1:9">
      <c r="A33" s="467">
        <v>44131</v>
      </c>
      <c r="B33" s="380" t="s">
        <v>1765</v>
      </c>
      <c r="C33" s="380" t="s">
        <v>1768</v>
      </c>
      <c r="D33" s="380">
        <v>2019</v>
      </c>
      <c r="E33" s="380" t="s">
        <v>101</v>
      </c>
      <c r="F33" s="380" t="s">
        <v>1691</v>
      </c>
      <c r="G33" s="398">
        <v>2374</v>
      </c>
      <c r="H33" s="380"/>
      <c r="I33" s="380"/>
    </row>
    <row r="34" spans="1:9">
      <c r="A34" s="467">
        <v>44131</v>
      </c>
      <c r="B34" s="380" t="s">
        <v>1765</v>
      </c>
      <c r="C34" s="380" t="s">
        <v>1768</v>
      </c>
      <c r="D34" s="380">
        <v>2019</v>
      </c>
      <c r="E34" s="380" t="s">
        <v>101</v>
      </c>
      <c r="F34" s="380">
        <v>4</v>
      </c>
      <c r="G34" s="398">
        <v>2301.1</v>
      </c>
      <c r="H34" s="380"/>
      <c r="I34" s="380"/>
    </row>
    <row r="35" spans="1:9">
      <c r="A35" s="467">
        <v>44131</v>
      </c>
      <c r="B35" s="380" t="s">
        <v>1765</v>
      </c>
      <c r="C35" s="380" t="s">
        <v>1768</v>
      </c>
      <c r="D35" s="380">
        <v>2019</v>
      </c>
      <c r="E35" s="380" t="s">
        <v>101</v>
      </c>
      <c r="F35" s="380">
        <v>5</v>
      </c>
      <c r="G35" s="398">
        <v>2673.3</v>
      </c>
      <c r="H35" s="380"/>
      <c r="I35" s="380"/>
    </row>
    <row r="36" spans="1:9">
      <c r="A36" s="467">
        <v>44131</v>
      </c>
      <c r="B36" s="380" t="s">
        <v>1765</v>
      </c>
      <c r="C36" s="380" t="s">
        <v>1768</v>
      </c>
      <c r="D36" s="380">
        <v>2019</v>
      </c>
      <c r="E36" s="380" t="s">
        <v>101</v>
      </c>
      <c r="F36" s="380">
        <v>6</v>
      </c>
      <c r="G36" s="398">
        <v>2415.6</v>
      </c>
      <c r="H36" s="380"/>
      <c r="I36" s="380"/>
    </row>
    <row r="37" spans="1:9">
      <c r="A37" s="467">
        <v>44131</v>
      </c>
      <c r="B37" s="380" t="s">
        <v>1765</v>
      </c>
      <c r="C37" s="380" t="s">
        <v>1768</v>
      </c>
      <c r="D37" s="380">
        <v>2019</v>
      </c>
      <c r="E37" s="380" t="s">
        <v>101</v>
      </c>
      <c r="F37" s="380">
        <v>7</v>
      </c>
      <c r="G37" s="398">
        <v>2316.6999999999998</v>
      </c>
      <c r="H37" s="380"/>
      <c r="I37" s="380"/>
    </row>
    <row r="38" spans="1:9">
      <c r="A38" s="467">
        <v>44131</v>
      </c>
      <c r="B38" s="380" t="s">
        <v>1765</v>
      </c>
      <c r="C38" s="380" t="s">
        <v>1768</v>
      </c>
      <c r="D38" s="380">
        <v>2019</v>
      </c>
      <c r="E38" s="380" t="s">
        <v>101</v>
      </c>
      <c r="F38" s="380">
        <v>8</v>
      </c>
      <c r="G38" s="398">
        <v>2843.9</v>
      </c>
      <c r="H38" s="380"/>
      <c r="I38" s="380"/>
    </row>
    <row r="39" spans="1:9">
      <c r="A39" s="467">
        <v>44131</v>
      </c>
      <c r="B39" s="380" t="s">
        <v>1765</v>
      </c>
      <c r="C39" s="380" t="s">
        <v>1768</v>
      </c>
      <c r="D39" s="380">
        <v>2019</v>
      </c>
      <c r="E39" s="380" t="s">
        <v>101</v>
      </c>
      <c r="F39" s="380">
        <v>9</v>
      </c>
      <c r="G39" s="398">
        <v>3255.7</v>
      </c>
      <c r="H39" s="380"/>
      <c r="I39" s="380"/>
    </row>
    <row r="40" spans="1:9">
      <c r="A40" s="467">
        <v>44131</v>
      </c>
      <c r="B40" s="380" t="s">
        <v>1765</v>
      </c>
      <c r="C40" s="380" t="s">
        <v>1768</v>
      </c>
      <c r="D40" s="380">
        <v>2019</v>
      </c>
      <c r="E40" s="380" t="s">
        <v>101</v>
      </c>
      <c r="F40" s="380">
        <v>10</v>
      </c>
      <c r="G40" s="398">
        <v>2608.8000000000002</v>
      </c>
      <c r="H40" s="380"/>
      <c r="I40" s="380"/>
    </row>
    <row r="41" spans="1:9">
      <c r="A41" s="467">
        <v>44131</v>
      </c>
      <c r="B41" s="380" t="s">
        <v>1765</v>
      </c>
      <c r="C41" s="380" t="s">
        <v>1769</v>
      </c>
      <c r="D41" s="380">
        <v>2019</v>
      </c>
      <c r="E41" s="380" t="s">
        <v>101</v>
      </c>
      <c r="F41" s="380">
        <v>11</v>
      </c>
      <c r="G41" s="398">
        <v>2970.1</v>
      </c>
      <c r="H41" s="380"/>
      <c r="I41" s="380"/>
    </row>
    <row r="42" spans="1:9">
      <c r="A42" s="467">
        <v>44131</v>
      </c>
      <c r="B42" s="380" t="s">
        <v>1765</v>
      </c>
      <c r="C42" s="380" t="s">
        <v>1769</v>
      </c>
      <c r="D42" s="380">
        <v>2019</v>
      </c>
      <c r="E42" s="380" t="s">
        <v>101</v>
      </c>
      <c r="F42" s="380">
        <v>12</v>
      </c>
      <c r="G42" s="398">
        <v>2484.6</v>
      </c>
      <c r="H42" s="380"/>
      <c r="I42" s="380"/>
    </row>
    <row r="43" spans="1:9">
      <c r="A43" s="467">
        <v>44131</v>
      </c>
      <c r="B43" s="380" t="s">
        <v>1765</v>
      </c>
      <c r="C43" s="380" t="s">
        <v>1769</v>
      </c>
      <c r="D43" s="380">
        <v>2019</v>
      </c>
      <c r="E43" s="380" t="s">
        <v>101</v>
      </c>
      <c r="F43" s="380">
        <v>13</v>
      </c>
      <c r="G43" s="398">
        <v>2282.8000000000002</v>
      </c>
      <c r="H43" s="380"/>
      <c r="I43" s="380"/>
    </row>
    <row r="44" spans="1:9">
      <c r="A44" s="467">
        <v>44131</v>
      </c>
      <c r="B44" s="380" t="s">
        <v>1765</v>
      </c>
      <c r="C44" s="380" t="s">
        <v>1769</v>
      </c>
      <c r="D44" s="380">
        <v>2019</v>
      </c>
      <c r="E44" s="380" t="s">
        <v>101</v>
      </c>
      <c r="F44" s="380" t="s">
        <v>1686</v>
      </c>
      <c r="G44" s="398">
        <v>2675.8</v>
      </c>
      <c r="H44" s="380"/>
      <c r="I44" s="380"/>
    </row>
    <row r="45" spans="1:9">
      <c r="A45" s="467">
        <v>44131</v>
      </c>
      <c r="B45" s="380" t="s">
        <v>1765</v>
      </c>
      <c r="C45" s="380" t="s">
        <v>1769</v>
      </c>
      <c r="D45" s="380">
        <v>2019</v>
      </c>
      <c r="E45" s="380" t="s">
        <v>101</v>
      </c>
      <c r="F45" s="380" t="s">
        <v>1687</v>
      </c>
      <c r="G45" s="398">
        <v>3516.7</v>
      </c>
      <c r="H45" s="380"/>
      <c r="I45" s="380"/>
    </row>
    <row r="46" spans="1:9">
      <c r="A46" s="467">
        <v>44131</v>
      </c>
      <c r="B46" s="380" t="s">
        <v>1765</v>
      </c>
      <c r="C46" s="380" t="s">
        <v>1769</v>
      </c>
      <c r="D46" s="380">
        <v>2019</v>
      </c>
      <c r="E46" s="380" t="s">
        <v>101</v>
      </c>
      <c r="F46" s="380">
        <v>15</v>
      </c>
      <c r="G46" s="398">
        <v>2236.1</v>
      </c>
      <c r="H46" s="380"/>
      <c r="I46" s="380"/>
    </row>
    <row r="47" spans="1:9">
      <c r="A47" s="467">
        <v>44131</v>
      </c>
      <c r="B47" s="380" t="s">
        <v>1765</v>
      </c>
      <c r="C47" s="380" t="s">
        <v>1769</v>
      </c>
      <c r="D47" s="380">
        <v>2019</v>
      </c>
      <c r="E47" s="380" t="s">
        <v>101</v>
      </c>
      <c r="F47" s="380">
        <v>16</v>
      </c>
      <c r="G47" s="398">
        <v>2022</v>
      </c>
      <c r="H47" s="380"/>
      <c r="I47" s="380"/>
    </row>
    <row r="48" spans="1:9">
      <c r="A48" s="467">
        <v>44131</v>
      </c>
      <c r="B48" s="380" t="s">
        <v>1765</v>
      </c>
      <c r="C48" s="380" t="s">
        <v>1769</v>
      </c>
      <c r="D48" s="380">
        <v>2019</v>
      </c>
      <c r="E48" s="380" t="s">
        <v>101</v>
      </c>
      <c r="F48" s="380">
        <v>17</v>
      </c>
      <c r="G48" s="398">
        <v>2477.4</v>
      </c>
      <c r="H48" s="380"/>
      <c r="I48" s="380"/>
    </row>
    <row r="49" spans="1:9">
      <c r="A49" s="467">
        <v>44131</v>
      </c>
      <c r="B49" s="380" t="s">
        <v>1765</v>
      </c>
      <c r="C49" s="380" t="s">
        <v>1769</v>
      </c>
      <c r="D49" s="380">
        <v>2019</v>
      </c>
      <c r="E49" s="380" t="s">
        <v>101</v>
      </c>
      <c r="F49" s="380">
        <v>18</v>
      </c>
      <c r="G49" s="398">
        <v>2226.6</v>
      </c>
      <c r="H49" s="380"/>
      <c r="I49" s="380"/>
    </row>
    <row r="50" spans="1:9">
      <c r="A50" s="467">
        <v>44133</v>
      </c>
      <c r="B50" s="380" t="s">
        <v>1770</v>
      </c>
      <c r="C50" s="380" t="s">
        <v>1771</v>
      </c>
      <c r="D50" s="380">
        <v>2019</v>
      </c>
      <c r="E50" s="380" t="s">
        <v>101</v>
      </c>
      <c r="F50" s="380">
        <v>19</v>
      </c>
      <c r="G50" s="398">
        <v>2195.6999999999998</v>
      </c>
      <c r="H50" s="380"/>
      <c r="I50" s="380"/>
    </row>
    <row r="51" spans="1:9">
      <c r="A51" s="467">
        <v>44133</v>
      </c>
      <c r="B51" s="380" t="s">
        <v>1770</v>
      </c>
      <c r="C51" s="380" t="s">
        <v>1771</v>
      </c>
      <c r="D51" s="380">
        <v>2019</v>
      </c>
      <c r="E51" s="380" t="s">
        <v>101</v>
      </c>
      <c r="F51" s="380">
        <v>20</v>
      </c>
      <c r="G51" s="398">
        <v>3020</v>
      </c>
      <c r="H51" s="380"/>
      <c r="I51" s="380"/>
    </row>
    <row r="52" spans="1:9">
      <c r="A52" s="467">
        <v>44133</v>
      </c>
      <c r="B52" s="380" t="s">
        <v>1770</v>
      </c>
      <c r="C52" s="380" t="s">
        <v>1771</v>
      </c>
      <c r="D52" s="380">
        <v>2019</v>
      </c>
      <c r="E52" s="380" t="s">
        <v>101</v>
      </c>
      <c r="F52" s="380">
        <v>21</v>
      </c>
      <c r="G52" s="398">
        <v>2720.1</v>
      </c>
      <c r="H52" s="380"/>
      <c r="I52" s="380"/>
    </row>
    <row r="53" spans="1:9">
      <c r="A53" s="467">
        <v>44133</v>
      </c>
      <c r="B53" s="380" t="s">
        <v>1770</v>
      </c>
      <c r="C53" s="380" t="s">
        <v>1771</v>
      </c>
      <c r="D53" s="380">
        <v>2019</v>
      </c>
      <c r="E53" s="380" t="s">
        <v>102</v>
      </c>
      <c r="F53" s="380">
        <v>1</v>
      </c>
      <c r="G53" s="398">
        <v>2206.8000000000002</v>
      </c>
      <c r="H53" s="380"/>
      <c r="I53" s="380"/>
    </row>
    <row r="54" spans="1:9">
      <c r="A54" s="467">
        <v>44133</v>
      </c>
      <c r="B54" s="380" t="s">
        <v>1770</v>
      </c>
      <c r="C54" s="380" t="s">
        <v>1771</v>
      </c>
      <c r="D54" s="380">
        <v>2019</v>
      </c>
      <c r="E54" s="380" t="s">
        <v>102</v>
      </c>
      <c r="F54" s="380">
        <v>2</v>
      </c>
      <c r="G54" s="398">
        <v>2442.6999999999998</v>
      </c>
      <c r="H54" s="380"/>
      <c r="I54" s="380"/>
    </row>
    <row r="55" spans="1:9">
      <c r="A55" s="467">
        <v>44133</v>
      </c>
      <c r="B55" s="380" t="s">
        <v>1770</v>
      </c>
      <c r="C55" s="380" t="s">
        <v>1771</v>
      </c>
      <c r="D55" s="380">
        <v>2019</v>
      </c>
      <c r="E55" s="380" t="s">
        <v>102</v>
      </c>
      <c r="F55" s="380">
        <v>3</v>
      </c>
      <c r="G55" s="398">
        <v>2457</v>
      </c>
      <c r="H55" s="380"/>
      <c r="I55" s="380"/>
    </row>
    <row r="56" spans="1:9">
      <c r="A56" s="467">
        <v>44133</v>
      </c>
      <c r="B56" s="380" t="s">
        <v>1770</v>
      </c>
      <c r="C56" s="380" t="s">
        <v>1771</v>
      </c>
      <c r="D56" s="380">
        <v>2019</v>
      </c>
      <c r="E56" s="380" t="s">
        <v>102</v>
      </c>
      <c r="F56" s="380">
        <v>4</v>
      </c>
      <c r="G56" s="398">
        <v>2968.2</v>
      </c>
      <c r="H56" s="380"/>
      <c r="I56" s="380"/>
    </row>
    <row r="57" spans="1:9">
      <c r="A57" s="467">
        <v>44133</v>
      </c>
      <c r="B57" s="380" t="s">
        <v>1770</v>
      </c>
      <c r="C57" s="380" t="s">
        <v>1772</v>
      </c>
      <c r="D57" s="380">
        <v>2019</v>
      </c>
      <c r="E57" s="380" t="s">
        <v>102</v>
      </c>
      <c r="F57" s="380">
        <v>5</v>
      </c>
      <c r="G57" s="398">
        <v>2225</v>
      </c>
      <c r="H57" s="380"/>
      <c r="I57" s="380"/>
    </row>
    <row r="58" spans="1:9">
      <c r="A58" s="467">
        <v>44133</v>
      </c>
      <c r="B58" s="380" t="s">
        <v>1770</v>
      </c>
      <c r="C58" s="380" t="s">
        <v>1772</v>
      </c>
      <c r="D58" s="380">
        <v>2019</v>
      </c>
      <c r="E58" s="380" t="s">
        <v>102</v>
      </c>
      <c r="F58" s="380" t="s">
        <v>1693</v>
      </c>
      <c r="G58" s="398">
        <v>2605</v>
      </c>
      <c r="H58" s="380"/>
      <c r="I58" s="380"/>
    </row>
    <row r="59" spans="1:9">
      <c r="A59" s="467">
        <v>44133</v>
      </c>
      <c r="B59" s="380" t="s">
        <v>1770</v>
      </c>
      <c r="C59" s="380" t="s">
        <v>1772</v>
      </c>
      <c r="D59" s="380">
        <v>2019</v>
      </c>
      <c r="E59" s="380" t="s">
        <v>102</v>
      </c>
      <c r="F59" s="380" t="s">
        <v>1695</v>
      </c>
      <c r="G59" s="398">
        <v>2449.5</v>
      </c>
      <c r="H59" s="380"/>
      <c r="I59" s="380"/>
    </row>
    <row r="60" spans="1:9">
      <c r="A60" s="467">
        <v>44133</v>
      </c>
      <c r="B60" s="380" t="s">
        <v>1770</v>
      </c>
      <c r="C60" s="380" t="s">
        <v>1772</v>
      </c>
      <c r="D60" s="380">
        <v>2019</v>
      </c>
      <c r="E60" s="380" t="s">
        <v>102</v>
      </c>
      <c r="F60" s="380">
        <v>7</v>
      </c>
      <c r="G60" s="398">
        <v>3079.8</v>
      </c>
      <c r="H60" s="380"/>
      <c r="I60" s="380"/>
    </row>
    <row r="61" spans="1:9">
      <c r="A61" s="467">
        <v>44133</v>
      </c>
      <c r="B61" s="380" t="s">
        <v>1770</v>
      </c>
      <c r="C61" s="380" t="s">
        <v>1772</v>
      </c>
      <c r="D61" s="380">
        <v>2019</v>
      </c>
      <c r="E61" s="380" t="s">
        <v>102</v>
      </c>
      <c r="F61" s="380">
        <v>8</v>
      </c>
      <c r="G61" s="398">
        <v>2095.9</v>
      </c>
      <c r="H61" s="380"/>
      <c r="I61" s="380"/>
    </row>
    <row r="62" spans="1:9">
      <c r="A62" s="467">
        <v>44133</v>
      </c>
      <c r="B62" s="380" t="s">
        <v>1770</v>
      </c>
      <c r="C62" s="380" t="s">
        <v>1772</v>
      </c>
      <c r="D62" s="380">
        <v>2019</v>
      </c>
      <c r="E62" s="380" t="s">
        <v>102</v>
      </c>
      <c r="F62" s="380">
        <v>9</v>
      </c>
      <c r="G62" s="398">
        <v>2877.7</v>
      </c>
      <c r="H62" s="380"/>
      <c r="I62" s="380"/>
    </row>
    <row r="63" spans="1:9">
      <c r="A63" s="467">
        <v>44133</v>
      </c>
      <c r="B63" s="380" t="s">
        <v>1770</v>
      </c>
      <c r="C63" s="380" t="s">
        <v>1772</v>
      </c>
      <c r="D63" s="380">
        <v>2019</v>
      </c>
      <c r="E63" s="380" t="s">
        <v>102</v>
      </c>
      <c r="F63" s="380">
        <v>10</v>
      </c>
      <c r="G63" s="398">
        <v>2312.9</v>
      </c>
      <c r="H63" s="380"/>
      <c r="I63" s="380"/>
    </row>
    <row r="64" spans="1:9">
      <c r="A64" s="467">
        <v>44133</v>
      </c>
      <c r="B64" s="380" t="s">
        <v>1770</v>
      </c>
      <c r="C64" s="380" t="s">
        <v>1772</v>
      </c>
      <c r="D64" s="380">
        <v>2019</v>
      </c>
      <c r="E64" s="380" t="s">
        <v>102</v>
      </c>
      <c r="F64" s="380">
        <v>11</v>
      </c>
      <c r="G64" s="398">
        <v>2998.3</v>
      </c>
      <c r="H64" s="380"/>
      <c r="I64" s="380"/>
    </row>
    <row r="65" spans="1:9">
      <c r="A65" s="467">
        <v>44133</v>
      </c>
      <c r="B65" s="380" t="s">
        <v>1770</v>
      </c>
      <c r="C65" s="380" t="s">
        <v>1772</v>
      </c>
      <c r="D65" s="380">
        <v>2019</v>
      </c>
      <c r="E65" s="380" t="s">
        <v>102</v>
      </c>
      <c r="F65" s="380">
        <v>12</v>
      </c>
      <c r="G65" s="398">
        <v>3252.3</v>
      </c>
      <c r="H65" s="380"/>
      <c r="I65" s="380"/>
    </row>
    <row r="66" spans="1:9">
      <c r="A66" s="467">
        <v>44133</v>
      </c>
      <c r="B66" s="380" t="s">
        <v>1770</v>
      </c>
      <c r="C66" s="380" t="s">
        <v>1772</v>
      </c>
      <c r="D66" s="380">
        <v>2019</v>
      </c>
      <c r="E66" s="380" t="s">
        <v>102</v>
      </c>
      <c r="F66" s="380">
        <v>13</v>
      </c>
      <c r="G66" s="398">
        <v>2717.4</v>
      </c>
      <c r="H66" s="380"/>
      <c r="I66" s="380"/>
    </row>
    <row r="67" spans="1:9">
      <c r="A67" s="467">
        <v>44133</v>
      </c>
      <c r="B67" s="380" t="s">
        <v>1770</v>
      </c>
      <c r="C67" s="380" t="s">
        <v>1773</v>
      </c>
      <c r="D67" s="380">
        <v>2019</v>
      </c>
      <c r="E67" s="380" t="s">
        <v>102</v>
      </c>
      <c r="F67" s="380">
        <v>14</v>
      </c>
      <c r="G67" s="398">
        <v>2340.3000000000002</v>
      </c>
      <c r="H67" s="380"/>
      <c r="I67" s="380"/>
    </row>
    <row r="68" spans="1:9">
      <c r="A68" s="467">
        <v>44133</v>
      </c>
      <c r="B68" s="380" t="s">
        <v>1770</v>
      </c>
      <c r="C68" s="380" t="s">
        <v>1773</v>
      </c>
      <c r="D68" s="380">
        <v>2019</v>
      </c>
      <c r="E68" s="380" t="s">
        <v>102</v>
      </c>
      <c r="F68" s="380">
        <v>15</v>
      </c>
      <c r="G68" s="398">
        <v>3197.1</v>
      </c>
      <c r="H68" s="380"/>
      <c r="I68" s="380"/>
    </row>
    <row r="69" spans="1:9">
      <c r="A69" s="467">
        <v>44133</v>
      </c>
      <c r="B69" s="380" t="s">
        <v>1770</v>
      </c>
      <c r="C69" s="380" t="s">
        <v>1773</v>
      </c>
      <c r="D69" s="380">
        <v>2019</v>
      </c>
      <c r="E69" s="380" t="s">
        <v>102</v>
      </c>
      <c r="F69" s="380" t="s">
        <v>1698</v>
      </c>
      <c r="G69" s="398">
        <v>2469.6999999999998</v>
      </c>
      <c r="H69" s="380"/>
      <c r="I69" s="380"/>
    </row>
    <row r="70" spans="1:9">
      <c r="A70" s="467">
        <v>44133</v>
      </c>
      <c r="B70" s="380" t="s">
        <v>1770</v>
      </c>
      <c r="C70" s="380" t="s">
        <v>1773</v>
      </c>
      <c r="D70" s="380">
        <v>2019</v>
      </c>
      <c r="E70" s="380" t="s">
        <v>102</v>
      </c>
      <c r="F70" s="380" t="s">
        <v>1699</v>
      </c>
      <c r="G70" s="398">
        <v>2373.6</v>
      </c>
      <c r="H70" s="380"/>
      <c r="I70" s="380"/>
    </row>
    <row r="71" spans="1:9">
      <c r="A71" s="467">
        <v>44133</v>
      </c>
      <c r="B71" s="380" t="s">
        <v>1770</v>
      </c>
      <c r="C71" s="380" t="s">
        <v>1773</v>
      </c>
      <c r="D71" s="380">
        <v>2019</v>
      </c>
      <c r="E71" s="380" t="s">
        <v>102</v>
      </c>
      <c r="F71" s="380">
        <v>17</v>
      </c>
      <c r="G71" s="398">
        <v>2343.3000000000002</v>
      </c>
      <c r="H71" s="380"/>
      <c r="I71" s="380"/>
    </row>
    <row r="72" spans="1:9">
      <c r="A72" s="467">
        <v>44133</v>
      </c>
      <c r="B72" s="380" t="s">
        <v>1770</v>
      </c>
      <c r="C72" s="380" t="s">
        <v>1773</v>
      </c>
      <c r="D72" s="380">
        <v>2019</v>
      </c>
      <c r="E72" s="380" t="s">
        <v>102</v>
      </c>
      <c r="F72" s="380">
        <v>18</v>
      </c>
      <c r="G72" s="398">
        <v>2692.7</v>
      </c>
      <c r="H72" s="380"/>
      <c r="I72" s="380"/>
    </row>
    <row r="73" spans="1:9">
      <c r="A73" s="467">
        <v>44133</v>
      </c>
      <c r="B73" s="380" t="s">
        <v>1770</v>
      </c>
      <c r="C73" s="380" t="s">
        <v>1773</v>
      </c>
      <c r="D73" s="380">
        <v>2019</v>
      </c>
      <c r="E73" s="380" t="s">
        <v>102</v>
      </c>
      <c r="F73" s="380">
        <v>19</v>
      </c>
      <c r="G73" s="398">
        <v>2741.9</v>
      </c>
      <c r="H73" s="380"/>
      <c r="I73" s="380"/>
    </row>
    <row r="74" spans="1:9">
      <c r="A74" s="467">
        <v>44133</v>
      </c>
      <c r="B74" s="380" t="s">
        <v>1770</v>
      </c>
      <c r="C74" s="380" t="s">
        <v>1774</v>
      </c>
      <c r="D74" s="380">
        <v>2019</v>
      </c>
      <c r="E74" s="380" t="s">
        <v>102</v>
      </c>
      <c r="F74" s="380">
        <v>20</v>
      </c>
      <c r="G74" s="398">
        <v>2904.3</v>
      </c>
      <c r="H74" s="380"/>
      <c r="I74" s="380"/>
    </row>
    <row r="75" spans="1:9">
      <c r="A75" s="467">
        <v>44133</v>
      </c>
      <c r="B75" s="380" t="s">
        <v>1770</v>
      </c>
      <c r="C75" s="380" t="s">
        <v>1774</v>
      </c>
      <c r="D75" s="380">
        <v>2019</v>
      </c>
      <c r="E75" s="380" t="s">
        <v>102</v>
      </c>
      <c r="F75" s="380">
        <v>21</v>
      </c>
      <c r="G75" s="398">
        <v>2132.6</v>
      </c>
      <c r="H75" s="380"/>
      <c r="I75" s="380"/>
    </row>
    <row r="76" spans="1:9">
      <c r="A76" s="6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2326-20D6-4BE4-93B8-47A4EC645D51}">
  <dimension ref="A1:AN210"/>
  <sheetViews>
    <sheetView topLeftCell="O19" workbookViewId="0">
      <selection activeCell="AK37" sqref="AK37"/>
    </sheetView>
  </sheetViews>
  <sheetFormatPr defaultRowHeight="14.5"/>
  <cols>
    <col min="1" max="1" width="11.81640625" customWidth="1"/>
    <col min="3" max="3" width="18.26953125" bestFit="1" customWidth="1"/>
    <col min="24" max="24" width="10.7265625" bestFit="1" customWidth="1"/>
  </cols>
  <sheetData>
    <row r="1" spans="1:40" s="235" customFormat="1" ht="15.5">
      <c r="A1" s="468" t="s">
        <v>1775</v>
      </c>
    </row>
    <row r="2" spans="1:40" ht="15" thickBot="1"/>
    <row r="3" spans="1:40" ht="29">
      <c r="A3" s="469"/>
      <c r="B3" s="470"/>
      <c r="C3" s="471"/>
      <c r="D3" s="472" t="s">
        <v>1776</v>
      </c>
      <c r="E3" s="473" t="s">
        <v>1777</v>
      </c>
      <c r="F3" s="473" t="s">
        <v>1776</v>
      </c>
      <c r="G3" s="474"/>
      <c r="H3" s="473"/>
      <c r="I3" s="473" t="s">
        <v>1778</v>
      </c>
      <c r="J3" s="474"/>
      <c r="K3" s="563" t="s">
        <v>1779</v>
      </c>
      <c r="L3" s="564"/>
      <c r="M3" s="563" t="s">
        <v>1780</v>
      </c>
      <c r="N3" s="565"/>
      <c r="O3" s="475"/>
      <c r="P3" s="475"/>
      <c r="Q3" s="475"/>
      <c r="R3" s="475"/>
      <c r="S3" s="471"/>
      <c r="T3" s="471"/>
      <c r="U3" s="471"/>
      <c r="X3" s="499" t="s">
        <v>1848</v>
      </c>
      <c r="Y3" s="500"/>
      <c r="Z3" s="500"/>
      <c r="AA3" s="500"/>
      <c r="AB3" s="501"/>
    </row>
    <row r="4" spans="1:40" ht="87">
      <c r="A4" s="476" t="s">
        <v>1781</v>
      </c>
      <c r="B4" s="477" t="s">
        <v>1782</v>
      </c>
      <c r="C4" s="478" t="s">
        <v>1783</v>
      </c>
      <c r="D4" s="479" t="s">
        <v>1714</v>
      </c>
      <c r="E4" s="472"/>
      <c r="F4" s="472" t="s">
        <v>1784</v>
      </c>
      <c r="G4" s="472" t="s">
        <v>1785</v>
      </c>
      <c r="H4" s="472" t="s">
        <v>1786</v>
      </c>
      <c r="I4" s="472" t="s">
        <v>1787</v>
      </c>
      <c r="J4" s="472" t="s">
        <v>1788</v>
      </c>
      <c r="K4" s="480" t="s">
        <v>1789</v>
      </c>
      <c r="L4" s="481" t="s">
        <v>1790</v>
      </c>
      <c r="M4" s="472" t="s">
        <v>1789</v>
      </c>
      <c r="N4" s="482" t="s">
        <v>1791</v>
      </c>
      <c r="O4" s="472" t="s">
        <v>1792</v>
      </c>
      <c r="P4" s="472" t="s">
        <v>1793</v>
      </c>
      <c r="Q4" s="472" t="s">
        <v>1794</v>
      </c>
      <c r="R4" s="472" t="s">
        <v>1795</v>
      </c>
      <c r="S4" s="478" t="s">
        <v>1796</v>
      </c>
      <c r="T4" s="478" t="s">
        <v>1797</v>
      </c>
      <c r="U4" s="479" t="s">
        <v>164</v>
      </c>
      <c r="X4" s="502" t="s">
        <v>1849</v>
      </c>
      <c r="Y4" s="503" t="s">
        <v>1850</v>
      </c>
      <c r="Z4" s="504" t="s">
        <v>1851</v>
      </c>
      <c r="AA4" s="504" t="s">
        <v>1852</v>
      </c>
      <c r="AB4" s="505" t="s">
        <v>1853</v>
      </c>
      <c r="AC4" s="506" t="s">
        <v>145</v>
      </c>
      <c r="AD4" s="507" t="s">
        <v>1409</v>
      </c>
      <c r="AE4" s="506" t="s">
        <v>30</v>
      </c>
      <c r="AF4" s="506" t="s">
        <v>1791</v>
      </c>
      <c r="AG4" s="506" t="s">
        <v>1854</v>
      </c>
      <c r="AJ4" s="568" t="s">
        <v>1938</v>
      </c>
      <c r="AK4" s="2"/>
      <c r="AL4" s="2"/>
      <c r="AM4" s="2"/>
      <c r="AN4" s="8"/>
    </row>
    <row r="5" spans="1:40" ht="15.5">
      <c r="X5" s="508"/>
      <c r="Y5" s="509"/>
      <c r="Z5" s="510">
        <f>MAX(Y14,Y50,Y85,Y120,Y155,Y190)</f>
        <v>5.5114847004811987</v>
      </c>
      <c r="AA5" s="510">
        <f>MIN(Y14,Y50,Y85,Y120,Y155,Y190)</f>
        <v>3.0828252562275322</v>
      </c>
      <c r="AB5" s="511">
        <f>(Z5/12.01)*100.0869</f>
        <v>45.930675942430618</v>
      </c>
      <c r="AC5" s="506"/>
      <c r="AD5" s="507"/>
      <c r="AE5" s="506"/>
      <c r="AF5" s="506"/>
      <c r="AG5" s="506"/>
      <c r="AJ5" s="568"/>
      <c r="AK5" s="168" t="s">
        <v>1939</v>
      </c>
      <c r="AL5" s="2"/>
      <c r="AM5" s="168"/>
      <c r="AN5" s="8"/>
    </row>
    <row r="6" spans="1:40" ht="16" thickBot="1">
      <c r="A6" s="483" t="s">
        <v>1798</v>
      </c>
      <c r="B6" s="112"/>
      <c r="D6" s="105"/>
      <c r="E6" s="105"/>
      <c r="F6" s="105"/>
      <c r="G6" s="105"/>
      <c r="H6" s="446"/>
      <c r="I6" s="281"/>
      <c r="J6" s="105"/>
      <c r="K6" s="484"/>
      <c r="L6" s="485"/>
      <c r="M6" s="105"/>
      <c r="N6" s="485"/>
      <c r="O6" s="379"/>
      <c r="P6" s="379"/>
      <c r="Q6" s="105"/>
      <c r="R6" s="105"/>
      <c r="X6" s="566" t="s">
        <v>1855</v>
      </c>
      <c r="Y6" s="567"/>
      <c r="Z6" s="512">
        <f>(Z5/AK15)*100</f>
        <v>2.8330498199253222</v>
      </c>
      <c r="AA6" s="512">
        <f>(AA5/AK15)*100</f>
        <v>1.5846542286970535</v>
      </c>
      <c r="AB6" s="513">
        <f>(AB5/((AK15/12.01)*100.0869))*100</f>
        <v>2.8330498199253227</v>
      </c>
      <c r="AC6" s="506"/>
      <c r="AD6" s="507"/>
      <c r="AE6" s="506" t="s">
        <v>1856</v>
      </c>
      <c r="AF6" s="506" t="s">
        <v>1857</v>
      </c>
      <c r="AG6" s="506"/>
      <c r="AJ6" s="568"/>
      <c r="AK6" s="2"/>
      <c r="AL6" s="2"/>
      <c r="AM6" s="168" t="s">
        <v>1935</v>
      </c>
      <c r="AN6" s="8"/>
    </row>
    <row r="7" spans="1:40" ht="15.5">
      <c r="A7" s="486" t="s">
        <v>1799</v>
      </c>
      <c r="B7" s="112"/>
      <c r="D7" s="105"/>
      <c r="E7" s="105"/>
      <c r="F7" s="105"/>
      <c r="G7" s="105"/>
      <c r="H7" s="446"/>
      <c r="I7" s="281"/>
      <c r="J7" s="105"/>
      <c r="K7" s="484"/>
      <c r="L7" s="485"/>
      <c r="M7" s="105"/>
      <c r="N7" s="485"/>
      <c r="O7" s="379"/>
      <c r="P7" s="379"/>
      <c r="Q7" s="105"/>
      <c r="R7" s="105"/>
      <c r="X7" s="487">
        <f>A9</f>
        <v>44243</v>
      </c>
      <c r="AJ7" s="168" t="s">
        <v>1573</v>
      </c>
      <c r="AK7" s="16">
        <f>AVERAGE(H9:H11,H17:H19,H22,H29,H36,H38,H44:H46,H52:H54,H57,H64,H71,H79:H81,H87:H89,H92,H99,H106,H108,H114:H116,H122:H124,H127,H134,H141,H143,H149:H151,H157:H159,H162,H169,H176,H178,H184:H186,H192:H194,H197,H203,H208,H210)</f>
        <v>0.12731355932203392</v>
      </c>
      <c r="AL7" s="2"/>
      <c r="AM7" s="16">
        <f>(AK7/AK15)*100</f>
        <v>6.5442557842871119E-2</v>
      </c>
      <c r="AN7" s="8"/>
    </row>
    <row r="8" spans="1:40" ht="46.5">
      <c r="A8" s="483" t="s">
        <v>1800</v>
      </c>
      <c r="B8" s="112"/>
      <c r="D8" s="105"/>
      <c r="E8" s="105"/>
      <c r="F8" s="105"/>
      <c r="G8" s="105"/>
      <c r="H8" s="446"/>
      <c r="I8" s="105"/>
      <c r="J8" s="105"/>
      <c r="K8" s="484"/>
      <c r="L8" s="485"/>
      <c r="M8" s="105"/>
      <c r="N8" s="485"/>
      <c r="O8" s="105"/>
      <c r="P8" s="105"/>
      <c r="Q8" s="105"/>
      <c r="R8" s="105"/>
      <c r="X8" s="105">
        <f>((J11-INDEX(LINEST($J$11:$J$16,$G$11:$G$16),2))/INDEX(LINEST($J$11:$J$16,$G$11:$G$16),1)/100.09)*12.01</f>
        <v>0.15424990675480371</v>
      </c>
      <c r="Y8" s="105">
        <f>(J11-X8)^2</f>
        <v>6.7650778388434864E-3</v>
      </c>
      <c r="AC8" s="88">
        <v>2019</v>
      </c>
      <c r="AD8" s="88" t="s">
        <v>98</v>
      </c>
      <c r="AE8" s="88">
        <v>1</v>
      </c>
      <c r="AF8" s="105">
        <f>L139</f>
        <v>59.129763840253617</v>
      </c>
      <c r="AH8" s="517" t="s">
        <v>1942</v>
      </c>
      <c r="AJ8" s="168" t="s">
        <v>1356</v>
      </c>
      <c r="AK8" s="16">
        <f>_xlfn.STDEV.P(H9:H11,H17:H19,H22,H29,H36,H38,H44:H46,H52:H54,H57,H64,H71,H79:H81,H87:H89,H92,H99,H106,H108,H114:H116,H122:H124,H127,H134,H141,H143,H149:H151,H157:H159,H162,H169,H176,H178,H184:H186,H192:H194,H197,H203,H208,H210)</f>
        <v>0.13064686450877913</v>
      </c>
    </row>
    <row r="9" spans="1:40" ht="15.5">
      <c r="A9" s="487">
        <v>44243</v>
      </c>
      <c r="B9" s="112">
        <v>1</v>
      </c>
      <c r="C9" s="76" t="s">
        <v>1715</v>
      </c>
      <c r="D9" s="105"/>
      <c r="E9" s="105"/>
      <c r="F9" s="105"/>
      <c r="H9" s="89">
        <v>0.3301</v>
      </c>
      <c r="I9" s="105"/>
      <c r="J9" s="105"/>
      <c r="K9" s="484"/>
      <c r="L9" s="485"/>
      <c r="M9" s="105"/>
      <c r="N9" s="485"/>
      <c r="O9" s="105"/>
      <c r="P9" s="105"/>
      <c r="Q9" s="105"/>
      <c r="R9" s="105"/>
      <c r="X9" s="105">
        <f t="shared" ref="X9:X12" si="0">((J12-INDEX(LINEST($J$11:$J$16,$G$11:$G$16),2))/INDEX(LINEST($J$11:$J$16,$G$11:$G$16),1)/100.09)*12.01</f>
        <v>36.267495095679998</v>
      </c>
      <c r="Y9" s="105">
        <f>(J12-X9)^2</f>
        <v>0.26336920623000115</v>
      </c>
      <c r="AC9" s="88">
        <v>2019</v>
      </c>
      <c r="AD9" s="88" t="s">
        <v>98</v>
      </c>
      <c r="AE9" s="88">
        <v>2</v>
      </c>
      <c r="AF9" s="105">
        <f>AVERAGE(L163,L170)</f>
        <v>57.583515638982547</v>
      </c>
      <c r="AG9" s="76" t="s">
        <v>1858</v>
      </c>
      <c r="AH9">
        <f>((L163-L170)/AVERAGE(L163,L170))*100</f>
        <v>0.75004019895663998</v>
      </c>
      <c r="AJ9" s="168" t="s">
        <v>1940</v>
      </c>
      <c r="AK9" s="2">
        <f>COUNT(H9:H11,H17:H19,H22,H29,H36,H38,H44:H46,H52:H54,H57,H64,H71,H79:H81,H87:H89,H92,H99,H106,H108,H114:H116,H122:H124,H127,H134,H141,H143,H149:H151,H157:H159,H162,H169,H176,H178,H184:H186,H192:H194,H197,H203,H208,H210)</f>
        <v>59</v>
      </c>
    </row>
    <row r="10" spans="1:40" ht="15.5">
      <c r="A10" s="487">
        <v>44243</v>
      </c>
      <c r="B10" s="112">
        <v>2</v>
      </c>
      <c r="C10" s="76" t="s">
        <v>1801</v>
      </c>
      <c r="D10" s="105"/>
      <c r="E10" s="105"/>
      <c r="F10" s="105"/>
      <c r="H10" s="89">
        <v>0.23799999999999999</v>
      </c>
      <c r="I10" s="105"/>
      <c r="J10" s="105"/>
      <c r="K10" s="484"/>
      <c r="L10" s="485"/>
      <c r="M10" s="105"/>
      <c r="N10" s="485"/>
      <c r="O10" s="105"/>
      <c r="P10" s="105"/>
      <c r="Q10" s="105"/>
      <c r="R10" s="105"/>
      <c r="X10" s="105">
        <f t="shared" si="0"/>
        <v>146.28601085524437</v>
      </c>
      <c r="Y10" s="105">
        <f t="shared" ref="Y10:Y12" si="1">(J13-X10)^2</f>
        <v>5.4159103647672504</v>
      </c>
      <c r="AC10" s="88">
        <v>2019</v>
      </c>
      <c r="AD10" s="88" t="s">
        <v>98</v>
      </c>
      <c r="AE10" s="88">
        <v>3</v>
      </c>
      <c r="AF10" s="105">
        <f>L140</f>
        <v>71.776054170038094</v>
      </c>
      <c r="AJ10" s="168"/>
      <c r="AK10" s="2"/>
    </row>
    <row r="11" spans="1:40">
      <c r="A11" s="487">
        <v>44243</v>
      </c>
      <c r="B11" s="112">
        <v>3</v>
      </c>
      <c r="C11" s="76" t="s">
        <v>1802</v>
      </c>
      <c r="D11" s="105"/>
      <c r="E11" s="105"/>
      <c r="F11" s="105"/>
      <c r="G11">
        <v>0</v>
      </c>
      <c r="H11" s="89">
        <v>0.3</v>
      </c>
      <c r="I11" s="281">
        <v>0.23650000000000002</v>
      </c>
      <c r="J11" s="105">
        <v>0.23650000000000002</v>
      </c>
      <c r="K11" s="484"/>
      <c r="L11" s="485"/>
      <c r="M11" s="105"/>
      <c r="N11" s="485"/>
      <c r="O11" s="105"/>
      <c r="P11" s="105"/>
      <c r="Q11" s="105"/>
      <c r="R11" s="105"/>
      <c r="X11" s="105">
        <f t="shared" si="0"/>
        <v>241.76143611058967</v>
      </c>
      <c r="Y11" s="105">
        <f t="shared" si="1"/>
        <v>15.22120372501317</v>
      </c>
      <c r="AC11" s="88">
        <v>2019</v>
      </c>
      <c r="AD11" s="88" t="s">
        <v>98</v>
      </c>
      <c r="AE11" s="88">
        <v>4</v>
      </c>
      <c r="AF11" s="105">
        <f>L164</f>
        <v>54.752876891954458</v>
      </c>
    </row>
    <row r="12" spans="1:40" ht="15.5">
      <c r="A12" s="487">
        <v>44243</v>
      </c>
      <c r="B12" s="112">
        <v>4</v>
      </c>
      <c r="C12" t="s">
        <v>1836</v>
      </c>
      <c r="D12" s="105">
        <v>303.39999999999998</v>
      </c>
      <c r="E12" s="105"/>
      <c r="F12" s="105"/>
      <c r="G12" s="105">
        <v>303.33931999999999</v>
      </c>
      <c r="H12" s="89">
        <v>35.9908</v>
      </c>
      <c r="I12" s="281">
        <v>0.23650000000000002</v>
      </c>
      <c r="J12" s="105">
        <v>35.754300000000001</v>
      </c>
      <c r="K12" s="488">
        <v>302.24925762919327</v>
      </c>
      <c r="L12" s="489">
        <v>99.640645871162789</v>
      </c>
      <c r="M12" s="281">
        <v>297.97234696086593</v>
      </c>
      <c r="N12" s="489">
        <v>98.230703148166199</v>
      </c>
      <c r="O12" s="379">
        <v>128</v>
      </c>
      <c r="P12" s="379">
        <v>41.7</v>
      </c>
      <c r="Q12" s="105">
        <v>100</v>
      </c>
      <c r="R12" s="105">
        <v>3</v>
      </c>
      <c r="S12" t="s">
        <v>50</v>
      </c>
      <c r="T12" t="s">
        <v>50</v>
      </c>
      <c r="X12" s="105">
        <f t="shared" si="0"/>
        <v>373.59290996473112</v>
      </c>
      <c r="Y12" s="105">
        <f t="shared" si="1"/>
        <v>36.906961083575084</v>
      </c>
      <c r="AC12" s="88">
        <v>2019</v>
      </c>
      <c r="AD12" s="88" t="s">
        <v>98</v>
      </c>
      <c r="AE12" s="88">
        <v>5</v>
      </c>
      <c r="AF12" s="105">
        <f t="shared" ref="AF12:AF15" si="2">L165</f>
        <v>59.05862393790845</v>
      </c>
      <c r="AJ12" s="2"/>
      <c r="AK12" s="2"/>
    </row>
    <row r="13" spans="1:40" ht="15.5">
      <c r="A13" s="487">
        <v>44243</v>
      </c>
      <c r="B13" s="112">
        <v>5</v>
      </c>
      <c r="C13" t="s">
        <v>1837</v>
      </c>
      <c r="D13" s="105">
        <v>1219</v>
      </c>
      <c r="E13" s="105"/>
      <c r="F13" s="105"/>
      <c r="G13" s="105">
        <v>1218.7562</v>
      </c>
      <c r="H13" s="89">
        <v>144.1953</v>
      </c>
      <c r="I13" s="281">
        <v>0.23650000000000002</v>
      </c>
      <c r="J13" s="105">
        <v>143.9588</v>
      </c>
      <c r="K13" s="488">
        <v>1219.131292797786</v>
      </c>
      <c r="L13" s="489">
        <v>100.03077668838</v>
      </c>
      <c r="M13" s="281">
        <v>1199.7365771856787</v>
      </c>
      <c r="N13" s="489">
        <v>98.439423502885873</v>
      </c>
      <c r="O13" s="379">
        <v>128</v>
      </c>
      <c r="P13" s="379">
        <v>41.7</v>
      </c>
      <c r="Q13" s="105">
        <v>100</v>
      </c>
      <c r="R13" s="105">
        <v>3</v>
      </c>
      <c r="S13" t="s">
        <v>50</v>
      </c>
      <c r="T13" t="s">
        <v>50</v>
      </c>
      <c r="X13" s="105">
        <f>((J16-INDEX(LINEST($J$11:$J$16,$G$11:$G$16),2))/INDEX(LINEST($J$11:$J$16,$G$11:$G$16),1)/100.09)*12.01</f>
        <v>434.90910842767568</v>
      </c>
      <c r="Y13" s="105">
        <f>(J16-X13)^2</f>
        <v>50.212932648775734</v>
      </c>
      <c r="AA13" s="227" t="s">
        <v>1935</v>
      </c>
      <c r="AC13" s="88">
        <v>2019</v>
      </c>
      <c r="AD13" s="88" t="s">
        <v>98</v>
      </c>
      <c r="AE13" s="88">
        <v>6</v>
      </c>
      <c r="AF13" s="105">
        <f t="shared" si="2"/>
        <v>53.560029468903714</v>
      </c>
      <c r="AJ13" s="2"/>
      <c r="AK13" s="168" t="s">
        <v>1941</v>
      </c>
    </row>
    <row r="14" spans="1:40" ht="15.5">
      <c r="A14" s="487">
        <v>44243</v>
      </c>
      <c r="B14" s="112">
        <v>6</v>
      </c>
      <c r="C14" t="s">
        <v>1838</v>
      </c>
      <c r="D14" s="105">
        <v>2021.3</v>
      </c>
      <c r="E14" s="105"/>
      <c r="F14" s="105"/>
      <c r="G14" s="105">
        <v>2020.8957399999999</v>
      </c>
      <c r="H14" s="89">
        <v>238.09649999999999</v>
      </c>
      <c r="I14" s="281">
        <v>0.23650000000000002</v>
      </c>
      <c r="J14" s="105">
        <v>237.85999999999999</v>
      </c>
      <c r="K14" s="488">
        <v>2014.8128343304679</v>
      </c>
      <c r="L14" s="489">
        <v>99.698999530300753</v>
      </c>
      <c r="M14" s="281">
        <v>1982.2987010824313</v>
      </c>
      <c r="N14" s="489">
        <v>98.090102415794661</v>
      </c>
      <c r="O14" s="379">
        <v>128</v>
      </c>
      <c r="P14" s="379">
        <v>41.7</v>
      </c>
      <c r="Q14" s="105">
        <v>100</v>
      </c>
      <c r="R14" s="105">
        <v>3</v>
      </c>
      <c r="S14" t="s">
        <v>50</v>
      </c>
      <c r="T14" t="s">
        <v>50</v>
      </c>
      <c r="Y14" s="226">
        <f>SQRT(SUM(Y8:Y13)/(6-2))</f>
        <v>5.1968053192851107</v>
      </c>
      <c r="Z14" s="227" t="s">
        <v>1936</v>
      </c>
      <c r="AA14" s="226">
        <f>(Y14/$AK$15)*100</f>
        <v>2.6712962430435878</v>
      </c>
      <c r="AC14" s="88">
        <v>2019</v>
      </c>
      <c r="AD14" s="88" t="s">
        <v>98</v>
      </c>
      <c r="AE14" s="88">
        <v>7</v>
      </c>
      <c r="AF14" s="105">
        <f t="shared" si="2"/>
        <v>54.837901787100641</v>
      </c>
      <c r="AJ14" s="2"/>
      <c r="AK14" s="2"/>
    </row>
    <row r="15" spans="1:40" ht="15.5">
      <c r="A15" s="487">
        <v>44243</v>
      </c>
      <c r="B15" s="112">
        <v>7</v>
      </c>
      <c r="C15" t="s">
        <v>1839</v>
      </c>
      <c r="D15" s="105">
        <v>3099.4</v>
      </c>
      <c r="E15" s="105"/>
      <c r="F15" s="105"/>
      <c r="G15" s="105">
        <v>3098.7801200000004</v>
      </c>
      <c r="H15" s="89">
        <v>367.7543</v>
      </c>
      <c r="I15" s="281">
        <v>0.23650000000000002</v>
      </c>
      <c r="J15" s="105">
        <v>367.51780000000002</v>
      </c>
      <c r="K15" s="488">
        <v>3113.4816285070724</v>
      </c>
      <c r="L15" s="489">
        <v>100.47442890226984</v>
      </c>
      <c r="M15" s="281">
        <v>3062.8523398834313</v>
      </c>
      <c r="N15" s="489">
        <v>98.84058310931178</v>
      </c>
      <c r="O15" s="379">
        <v>128</v>
      </c>
      <c r="P15" s="379">
        <v>41.7</v>
      </c>
      <c r="Q15" s="105">
        <v>100</v>
      </c>
      <c r="R15" s="105">
        <v>3</v>
      </c>
      <c r="S15" t="s">
        <v>50</v>
      </c>
      <c r="T15" t="s">
        <v>50</v>
      </c>
      <c r="Y15" s="226">
        <f>(Y14/12.01)*100.09</f>
        <v>43.309595704183742</v>
      </c>
      <c r="Z15" s="227" t="s">
        <v>1937</v>
      </c>
      <c r="AC15" s="88">
        <v>2019</v>
      </c>
      <c r="AD15" s="88" t="s">
        <v>98</v>
      </c>
      <c r="AE15" s="88">
        <v>8</v>
      </c>
      <c r="AF15" s="105">
        <f t="shared" si="2"/>
        <v>46.766667166115496</v>
      </c>
      <c r="AJ15" s="168" t="s">
        <v>1573</v>
      </c>
      <c r="AK15" s="16">
        <f>AVERAGE(J23:J28,J30:J35,J58:J63,J65:J70,J93:J98,J100:J105,J128:J133,J135:J140,J163:J168,J170:J175,J198:J202,J204:J207)</f>
        <v>194.54245603864737</v>
      </c>
    </row>
    <row r="16" spans="1:40" ht="15.5">
      <c r="A16" s="487">
        <v>44243</v>
      </c>
      <c r="B16" s="112">
        <v>8</v>
      </c>
      <c r="C16" t="s">
        <v>1840</v>
      </c>
      <c r="D16" s="105">
        <v>3634.4</v>
      </c>
      <c r="E16" s="105"/>
      <c r="F16" s="105"/>
      <c r="G16" s="105">
        <v>3633.6731200000004</v>
      </c>
      <c r="H16" s="89">
        <v>428.05950000000001</v>
      </c>
      <c r="I16" s="281">
        <v>0.23650000000000002</v>
      </c>
      <c r="J16" s="105">
        <v>427.82300000000004</v>
      </c>
      <c r="K16" s="488">
        <v>3624.4839852228192</v>
      </c>
      <c r="L16" s="489">
        <v>99.747111683585317</v>
      </c>
      <c r="M16" s="281">
        <v>3565.4291482098256</v>
      </c>
      <c r="N16" s="489">
        <v>98.121901185482116</v>
      </c>
      <c r="O16" s="379">
        <v>128</v>
      </c>
      <c r="P16" s="379">
        <v>41.7</v>
      </c>
      <c r="Q16" s="105">
        <v>100</v>
      </c>
      <c r="R16" s="105">
        <v>3</v>
      </c>
      <c r="S16" t="s">
        <v>50</v>
      </c>
      <c r="T16" t="s">
        <v>50</v>
      </c>
      <c r="AC16" s="88">
        <v>2019</v>
      </c>
      <c r="AD16" s="88" t="s">
        <v>98</v>
      </c>
      <c r="AE16" s="88">
        <v>9</v>
      </c>
      <c r="AF16" s="105">
        <f>L171</f>
        <v>41.380263512828492</v>
      </c>
      <c r="AJ16" s="168" t="s">
        <v>1356</v>
      </c>
      <c r="AK16" s="2">
        <f>_xlfn.STDEV.P(J23:J28,J30:J35,J58:J63,J65:J70,J93:J98,J100:J105,J128:J133,J135:J140,J163:J168,J170:J175,J198:J202,J204:J207)</f>
        <v>37.111362960103662</v>
      </c>
    </row>
    <row r="17" spans="1:37" ht="15.5">
      <c r="A17" s="487">
        <v>44243</v>
      </c>
      <c r="B17" s="112">
        <v>9</v>
      </c>
      <c r="C17" t="s">
        <v>1803</v>
      </c>
      <c r="D17" s="105"/>
      <c r="E17" s="105"/>
      <c r="F17" s="105"/>
      <c r="G17" s="105"/>
      <c r="H17" s="89">
        <v>0.33839999999999998</v>
      </c>
      <c r="I17" s="281">
        <v>0.23650000000000002</v>
      </c>
      <c r="J17" s="105">
        <v>0.10189999999999996</v>
      </c>
      <c r="K17" s="488">
        <v>0.14495447502924588</v>
      </c>
      <c r="L17" s="489"/>
      <c r="M17" s="281">
        <v>0.84922323064113214</v>
      </c>
      <c r="N17" s="489"/>
      <c r="O17" s="379">
        <v>128</v>
      </c>
      <c r="P17" s="379">
        <v>41.7</v>
      </c>
      <c r="Q17" s="105">
        <v>100</v>
      </c>
      <c r="R17" s="105">
        <v>3</v>
      </c>
      <c r="S17" t="s">
        <v>50</v>
      </c>
      <c r="T17" t="s">
        <v>50</v>
      </c>
      <c r="AC17" s="88">
        <v>2019</v>
      </c>
      <c r="AD17" s="88" t="s">
        <v>98</v>
      </c>
      <c r="AE17" s="88">
        <v>10</v>
      </c>
      <c r="AF17" s="105">
        <f t="shared" ref="AF17:AF20" si="3">L172</f>
        <v>58.07429164962403</v>
      </c>
      <c r="AJ17" s="168" t="s">
        <v>1940</v>
      </c>
      <c r="AK17" s="2">
        <f>COUNT(J23:J28,J30:J35,J58:J63,J65:J70,J93:J98,J100:J105,J128:J133,J135:J140,J163:J168,J170:J175,J198:J202,J204:J207)</f>
        <v>69</v>
      </c>
    </row>
    <row r="18" spans="1:37">
      <c r="A18" s="487">
        <v>44243</v>
      </c>
      <c r="B18" s="112">
        <v>10</v>
      </c>
      <c r="C18" t="s">
        <v>1804</v>
      </c>
      <c r="D18" s="105"/>
      <c r="E18" s="105"/>
      <c r="F18" s="105"/>
      <c r="G18" s="105"/>
      <c r="H18" s="89">
        <v>0.374</v>
      </c>
      <c r="I18" s="281">
        <v>0.23650000000000002</v>
      </c>
      <c r="J18" s="105">
        <v>0.13749999999999998</v>
      </c>
      <c r="K18" s="488">
        <v>0.44661476135746625</v>
      </c>
      <c r="L18" s="489"/>
      <c r="M18" s="281">
        <v>1.1459096586178183</v>
      </c>
      <c r="N18" s="489"/>
      <c r="O18" s="379">
        <v>128</v>
      </c>
      <c r="P18" s="379">
        <v>41.7</v>
      </c>
      <c r="Q18" s="105">
        <v>100</v>
      </c>
      <c r="R18" s="105">
        <v>3</v>
      </c>
      <c r="S18" t="s">
        <v>50</v>
      </c>
      <c r="T18" t="s">
        <v>50</v>
      </c>
      <c r="AC18" s="88">
        <v>2019</v>
      </c>
      <c r="AD18" s="88" t="s">
        <v>98</v>
      </c>
      <c r="AE18" s="88">
        <v>11</v>
      </c>
      <c r="AF18" s="105">
        <f t="shared" si="3"/>
        <v>61.74930965606795</v>
      </c>
    </row>
    <row r="19" spans="1:37">
      <c r="A19" s="487">
        <v>44243</v>
      </c>
      <c r="B19" s="112">
        <v>11</v>
      </c>
      <c r="C19" t="s">
        <v>1805</v>
      </c>
      <c r="D19" s="105"/>
      <c r="E19" s="105"/>
      <c r="F19" s="105"/>
      <c r="G19" s="105"/>
      <c r="H19" s="89">
        <v>0.1</v>
      </c>
      <c r="I19" s="281">
        <v>0.23650000000000002</v>
      </c>
      <c r="J19" s="105">
        <v>-0.13650000000000001</v>
      </c>
      <c r="K19" s="488">
        <v>-1.875152610944004</v>
      </c>
      <c r="L19" s="489"/>
      <c r="M19" s="281">
        <v>-1.1375757701915072</v>
      </c>
      <c r="N19" s="489"/>
      <c r="O19" s="379">
        <v>128</v>
      </c>
      <c r="P19" s="379">
        <v>41.7</v>
      </c>
      <c r="Q19" s="105">
        <v>100</v>
      </c>
      <c r="R19" s="105">
        <v>3</v>
      </c>
      <c r="S19" t="s">
        <v>50</v>
      </c>
      <c r="T19" t="s">
        <v>50</v>
      </c>
      <c r="AC19" s="88">
        <v>2019</v>
      </c>
      <c r="AD19" s="88" t="s">
        <v>98</v>
      </c>
      <c r="AE19" s="88">
        <v>12</v>
      </c>
      <c r="AF19" s="105">
        <f t="shared" si="3"/>
        <v>68.586367428182143</v>
      </c>
    </row>
    <row r="20" spans="1:37">
      <c r="A20" s="487">
        <v>44243</v>
      </c>
      <c r="B20" s="112">
        <v>12</v>
      </c>
      <c r="C20" s="66" t="s">
        <v>1806</v>
      </c>
      <c r="D20" s="490">
        <v>1167.2</v>
      </c>
      <c r="E20" s="263"/>
      <c r="F20" s="263"/>
      <c r="G20" s="263"/>
      <c r="H20" s="89">
        <v>18.342400000000001</v>
      </c>
      <c r="I20" s="281">
        <v>0.23650000000000002</v>
      </c>
      <c r="J20" s="105">
        <v>18.105900000000002</v>
      </c>
      <c r="K20" s="488">
        <v>152.70371276304266</v>
      </c>
      <c r="L20" s="491">
        <v>13.082908907046148</v>
      </c>
      <c r="M20" s="490">
        <v>150.89255045795173</v>
      </c>
      <c r="N20" s="491">
        <v>12.927737359317318</v>
      </c>
      <c r="O20" s="379">
        <v>128</v>
      </c>
      <c r="P20" s="379">
        <v>41.7</v>
      </c>
      <c r="Q20" s="105">
        <v>100</v>
      </c>
      <c r="R20" s="105">
        <v>3</v>
      </c>
      <c r="S20" t="s">
        <v>50</v>
      </c>
      <c r="T20" t="s">
        <v>50</v>
      </c>
      <c r="AC20" s="88">
        <v>2019</v>
      </c>
      <c r="AD20" s="88" t="s">
        <v>98</v>
      </c>
      <c r="AE20" s="88">
        <v>13</v>
      </c>
      <c r="AF20" s="105">
        <f t="shared" si="3"/>
        <v>73.949080995875718</v>
      </c>
    </row>
    <row r="21" spans="1:37">
      <c r="A21" s="487">
        <v>44243</v>
      </c>
      <c r="B21" s="112">
        <v>13</v>
      </c>
      <c r="C21" s="66" t="s">
        <v>1806</v>
      </c>
      <c r="D21" s="490">
        <v>2006.1</v>
      </c>
      <c r="E21" s="263"/>
      <c r="F21" s="263"/>
      <c r="G21" s="263"/>
      <c r="H21" s="89">
        <v>28.0609</v>
      </c>
      <c r="I21" s="281">
        <v>0.23650000000000002</v>
      </c>
      <c r="J21" s="105">
        <v>27.824400000000001</v>
      </c>
      <c r="K21" s="488">
        <v>235.05442884958222</v>
      </c>
      <c r="L21" s="491">
        <v>11.716984639329157</v>
      </c>
      <c r="M21" s="490">
        <v>231.88544512905915</v>
      </c>
      <c r="N21" s="491">
        <v>11.559017253828781</v>
      </c>
      <c r="O21" s="379">
        <v>128</v>
      </c>
      <c r="P21" s="379">
        <v>41.7</v>
      </c>
      <c r="Q21" s="105">
        <v>100</v>
      </c>
      <c r="R21" s="105">
        <v>3</v>
      </c>
      <c r="S21" t="s">
        <v>50</v>
      </c>
      <c r="T21" t="s">
        <v>50</v>
      </c>
      <c r="AC21" s="88">
        <v>2019</v>
      </c>
      <c r="AD21" s="88" t="s">
        <v>98</v>
      </c>
      <c r="AE21" s="88">
        <v>14</v>
      </c>
      <c r="AF21" s="105">
        <f>AVERAGE(L198,L204)</f>
        <v>72.135137171254925</v>
      </c>
      <c r="AG21" s="76" t="s">
        <v>1858</v>
      </c>
      <c r="AH21">
        <f>((L198-L204)/AVERAGE(L198,L204))*100</f>
        <v>-0.7596728153793566</v>
      </c>
    </row>
    <row r="22" spans="1:37">
      <c r="A22" s="487">
        <v>44243</v>
      </c>
      <c r="B22" s="112">
        <v>14</v>
      </c>
      <c r="C22" t="s">
        <v>1807</v>
      </c>
      <c r="D22" s="105"/>
      <c r="E22" s="105"/>
      <c r="F22" s="105"/>
      <c r="G22" s="105"/>
      <c r="H22" s="89">
        <v>0</v>
      </c>
      <c r="I22" s="281">
        <v>0.23650000000000002</v>
      </c>
      <c r="J22" s="105">
        <v>-0.23650000000000002</v>
      </c>
      <c r="K22" s="488">
        <v>-2.7225129657985554</v>
      </c>
      <c r="L22" s="489"/>
      <c r="M22" s="281">
        <v>-1.9709646128226479</v>
      </c>
      <c r="N22" s="489" t="e">
        <v>#DIV/0!</v>
      </c>
      <c r="O22" s="379">
        <v>128</v>
      </c>
      <c r="P22" s="379">
        <v>41.7</v>
      </c>
      <c r="Q22" s="105">
        <v>100</v>
      </c>
      <c r="R22" s="105">
        <v>3</v>
      </c>
      <c r="S22" t="s">
        <v>50</v>
      </c>
      <c r="T22" t="s">
        <v>50</v>
      </c>
      <c r="AC22" s="88">
        <v>2019</v>
      </c>
      <c r="AD22" s="88" t="s">
        <v>98</v>
      </c>
      <c r="AE22" s="88">
        <v>15</v>
      </c>
      <c r="AF22" s="105">
        <f>L199</f>
        <v>66.051429418283774</v>
      </c>
    </row>
    <row r="23" spans="1:37">
      <c r="A23" s="487">
        <v>44243</v>
      </c>
      <c r="B23" s="112">
        <v>15</v>
      </c>
      <c r="C23" t="s">
        <v>1808</v>
      </c>
      <c r="D23" s="380">
        <v>2206.8000000000002</v>
      </c>
      <c r="E23" s="105"/>
      <c r="F23" s="105"/>
      <c r="G23" s="105"/>
      <c r="H23" s="89">
        <v>189.5239</v>
      </c>
      <c r="I23" s="281">
        <v>0.23650000000000002</v>
      </c>
      <c r="J23" s="105">
        <v>189.28739999999999</v>
      </c>
      <c r="K23" s="488">
        <v>1603.2278786083862</v>
      </c>
      <c r="L23" s="489">
        <v>72.64944166251523</v>
      </c>
      <c r="M23" s="281">
        <v>1577.5000721065778</v>
      </c>
      <c r="N23" s="489">
        <v>71.48359942480414</v>
      </c>
      <c r="O23" s="379">
        <v>128</v>
      </c>
      <c r="P23" s="379">
        <v>41.7</v>
      </c>
      <c r="Q23" s="105">
        <v>100</v>
      </c>
      <c r="R23" s="105">
        <v>3</v>
      </c>
      <c r="S23" t="s">
        <v>50</v>
      </c>
      <c r="T23" t="s">
        <v>50</v>
      </c>
      <c r="AC23" s="88">
        <v>2019</v>
      </c>
      <c r="AD23" s="88" t="s">
        <v>98</v>
      </c>
      <c r="AE23" s="88">
        <v>16</v>
      </c>
      <c r="AF23" s="105">
        <f t="shared" ref="AF23:AF25" si="4">L200</f>
        <v>49.392042607860581</v>
      </c>
    </row>
    <row r="24" spans="1:37">
      <c r="A24" s="487">
        <v>44243</v>
      </c>
      <c r="B24" s="112">
        <v>16</v>
      </c>
      <c r="C24" t="s">
        <v>1809</v>
      </c>
      <c r="D24" s="380">
        <v>2442.6999999999998</v>
      </c>
      <c r="E24" s="105"/>
      <c r="F24" s="105"/>
      <c r="G24" s="105"/>
      <c r="H24" s="89">
        <v>207.97040000000001</v>
      </c>
      <c r="I24" s="281">
        <v>0.23650000000000002</v>
      </c>
      <c r="J24" s="105">
        <v>207.73390000000001</v>
      </c>
      <c r="K24" s="488">
        <v>1759.536206466631</v>
      </c>
      <c r="L24" s="489">
        <v>72.032431590724656</v>
      </c>
      <c r="M24" s="281">
        <v>1731.2311449625315</v>
      </c>
      <c r="N24" s="489">
        <v>70.873670322288106</v>
      </c>
      <c r="O24" s="379">
        <v>128</v>
      </c>
      <c r="P24" s="379">
        <v>41.7</v>
      </c>
      <c r="Q24" s="105">
        <v>100</v>
      </c>
      <c r="R24" s="105">
        <v>3</v>
      </c>
      <c r="S24" t="s">
        <v>50</v>
      </c>
      <c r="T24" t="s">
        <v>50</v>
      </c>
      <c r="AC24" s="88">
        <v>2019</v>
      </c>
      <c r="AD24" s="88" t="s">
        <v>98</v>
      </c>
      <c r="AE24" s="88">
        <v>17</v>
      </c>
      <c r="AF24" s="105">
        <f t="shared" si="4"/>
        <v>57.31474619803241</v>
      </c>
    </row>
    <row r="25" spans="1:37">
      <c r="A25" s="487">
        <v>44243</v>
      </c>
      <c r="B25" s="112">
        <v>17</v>
      </c>
      <c r="C25" t="s">
        <v>1810</v>
      </c>
      <c r="D25" s="380">
        <v>2457</v>
      </c>
      <c r="E25" s="105"/>
      <c r="F25" s="105"/>
      <c r="G25" s="105"/>
      <c r="H25" s="89">
        <v>221.0521</v>
      </c>
      <c r="I25" s="281">
        <v>0.23650000000000002</v>
      </c>
      <c r="J25" s="105">
        <v>220.81559999999999</v>
      </c>
      <c r="K25" s="488">
        <v>1870.3853460076386</v>
      </c>
      <c r="L25" s="489">
        <v>76.124759707270599</v>
      </c>
      <c r="M25" s="281">
        <v>1840.2525731890091</v>
      </c>
      <c r="N25" s="489">
        <v>74.898354627147299</v>
      </c>
      <c r="O25" s="379">
        <v>128</v>
      </c>
      <c r="P25" s="379">
        <v>41.7</v>
      </c>
      <c r="Q25" s="105">
        <v>100</v>
      </c>
      <c r="R25" s="105">
        <v>3</v>
      </c>
      <c r="S25" t="s">
        <v>50</v>
      </c>
      <c r="T25" t="s">
        <v>50</v>
      </c>
      <c r="AC25" s="88">
        <v>2019</v>
      </c>
      <c r="AD25" s="88" t="s">
        <v>98</v>
      </c>
      <c r="AE25" s="88">
        <v>18</v>
      </c>
      <c r="AF25" s="105">
        <f t="shared" si="4"/>
        <v>51.46975723752265</v>
      </c>
    </row>
    <row r="26" spans="1:37">
      <c r="A26" s="487">
        <v>44243</v>
      </c>
      <c r="B26" s="112">
        <v>18</v>
      </c>
      <c r="C26" t="s">
        <v>1811</v>
      </c>
      <c r="D26" s="380">
        <v>2968.2</v>
      </c>
      <c r="E26" s="105"/>
      <c r="F26" s="105"/>
      <c r="G26" s="105"/>
      <c r="H26" s="89">
        <v>256.38150000000002</v>
      </c>
      <c r="I26" s="281">
        <v>0.23650000000000002</v>
      </c>
      <c r="J26" s="105">
        <v>256.14500000000004</v>
      </c>
      <c r="K26" s="488">
        <v>2169.7526752156227</v>
      </c>
      <c r="L26" s="489">
        <v>73.099948629324942</v>
      </c>
      <c r="M26" s="281">
        <v>2134.6838509575359</v>
      </c>
      <c r="N26" s="489">
        <v>71.918464084547409</v>
      </c>
      <c r="O26" s="379">
        <v>128</v>
      </c>
      <c r="P26" s="379">
        <v>41.7</v>
      </c>
      <c r="Q26" s="105">
        <v>100</v>
      </c>
      <c r="R26" s="105">
        <v>3</v>
      </c>
      <c r="S26" t="s">
        <v>50</v>
      </c>
      <c r="T26" t="s">
        <v>50</v>
      </c>
      <c r="AC26" s="88">
        <v>2019</v>
      </c>
      <c r="AD26" s="88" t="s">
        <v>98</v>
      </c>
      <c r="AE26" s="88">
        <v>19</v>
      </c>
      <c r="AF26" s="105">
        <f>L205</f>
        <v>57.699537117459684</v>
      </c>
    </row>
    <row r="27" spans="1:37">
      <c r="A27" s="487">
        <v>44243</v>
      </c>
      <c r="B27" s="112">
        <v>19</v>
      </c>
      <c r="C27" t="s">
        <v>1812</v>
      </c>
      <c r="D27" s="380">
        <v>2225</v>
      </c>
      <c r="E27" s="105"/>
      <c r="F27" s="105"/>
      <c r="G27" s="105"/>
      <c r="H27" s="89">
        <v>166.26</v>
      </c>
      <c r="I27" s="281">
        <v>0.23650000000000002</v>
      </c>
      <c r="J27" s="105">
        <v>166.02349999999998</v>
      </c>
      <c r="K27" s="488">
        <v>1406.0988130153783</v>
      </c>
      <c r="L27" s="489">
        <v>63.195452270354082</v>
      </c>
      <c r="M27" s="281">
        <v>1383.621325145712</v>
      </c>
      <c r="N27" s="489">
        <v>62.185228096436489</v>
      </c>
      <c r="O27" s="379">
        <v>128</v>
      </c>
      <c r="P27" s="379">
        <v>41.7</v>
      </c>
      <c r="Q27" s="105">
        <v>100</v>
      </c>
      <c r="R27" s="105">
        <v>3</v>
      </c>
      <c r="S27" t="s">
        <v>50</v>
      </c>
      <c r="T27" t="s">
        <v>50</v>
      </c>
      <c r="AC27" s="88">
        <v>2019</v>
      </c>
      <c r="AD27" s="88" t="s">
        <v>98</v>
      </c>
      <c r="AE27" s="88">
        <v>20</v>
      </c>
      <c r="AF27" s="105">
        <f t="shared" ref="AF27:AF28" si="5">L206</f>
        <v>52.406630128377785</v>
      </c>
    </row>
    <row r="28" spans="1:37">
      <c r="A28" s="492">
        <v>44243</v>
      </c>
      <c r="B28" s="493">
        <v>20</v>
      </c>
      <c r="C28" s="395" t="s">
        <v>1813</v>
      </c>
      <c r="D28" s="398">
        <v>2605</v>
      </c>
      <c r="E28" s="449"/>
      <c r="F28" s="449"/>
      <c r="G28" s="449"/>
      <c r="H28" s="494">
        <v>200.6865</v>
      </c>
      <c r="I28" s="495">
        <v>0.23650000000000002</v>
      </c>
      <c r="J28" s="449">
        <v>200.45</v>
      </c>
      <c r="K28" s="496">
        <v>1697.8153255793802</v>
      </c>
      <c r="L28" s="497">
        <v>65.175252421473331</v>
      </c>
      <c r="M28" s="495">
        <v>1670.5279350541216</v>
      </c>
      <c r="N28" s="497">
        <v>64.127751825494101</v>
      </c>
      <c r="O28" s="498">
        <v>128</v>
      </c>
      <c r="P28" s="498">
        <v>41.7</v>
      </c>
      <c r="Q28" s="449">
        <v>100</v>
      </c>
      <c r="R28" s="449">
        <v>3</v>
      </c>
      <c r="S28" s="395" t="s">
        <v>50</v>
      </c>
      <c r="T28" s="395" t="s">
        <v>50</v>
      </c>
      <c r="AC28" s="88">
        <v>2019</v>
      </c>
      <c r="AD28" s="88" t="s">
        <v>98</v>
      </c>
      <c r="AE28" s="88">
        <v>21</v>
      </c>
      <c r="AF28" s="105">
        <f t="shared" si="5"/>
        <v>65.359231399229074</v>
      </c>
    </row>
    <row r="29" spans="1:37">
      <c r="A29" s="487">
        <v>44243</v>
      </c>
      <c r="B29" s="112">
        <v>21</v>
      </c>
      <c r="C29" t="s">
        <v>1814</v>
      </c>
      <c r="D29" s="105"/>
      <c r="E29" s="105"/>
      <c r="F29" s="105"/>
      <c r="G29" s="105"/>
      <c r="H29" s="89">
        <v>0.22239999999999999</v>
      </c>
      <c r="I29" s="281">
        <v>0.23650000000000002</v>
      </c>
      <c r="J29" s="105">
        <v>-1.4100000000000029E-2</v>
      </c>
      <c r="K29" s="488">
        <v>-0.83798353660203351</v>
      </c>
      <c r="L29" s="489"/>
      <c r="M29" s="281">
        <v>-0.11750782681099109</v>
      </c>
      <c r="N29" s="489" t="e">
        <v>#DIV/0!</v>
      </c>
      <c r="O29" s="379">
        <v>128</v>
      </c>
      <c r="P29" s="379">
        <v>41.7</v>
      </c>
      <c r="Q29" s="105">
        <v>100</v>
      </c>
      <c r="R29" s="105">
        <v>3</v>
      </c>
      <c r="S29" t="s">
        <v>50</v>
      </c>
      <c r="T29" t="s">
        <v>50</v>
      </c>
      <c r="AC29">
        <v>2019</v>
      </c>
      <c r="AD29" t="s">
        <v>101</v>
      </c>
      <c r="AE29">
        <v>1</v>
      </c>
      <c r="AF29" s="105">
        <f>L70</f>
        <v>65.379281650516432</v>
      </c>
    </row>
    <row r="30" spans="1:37">
      <c r="A30" s="492">
        <v>44243</v>
      </c>
      <c r="B30" s="493">
        <v>22</v>
      </c>
      <c r="C30" s="395" t="s">
        <v>1815</v>
      </c>
      <c r="D30" s="398">
        <v>2449.5</v>
      </c>
      <c r="E30" s="449"/>
      <c r="F30" s="449"/>
      <c r="G30" s="449"/>
      <c r="H30" s="494">
        <v>189.0257</v>
      </c>
      <c r="I30" s="495">
        <v>0.23650000000000002</v>
      </c>
      <c r="J30" s="449">
        <v>188.78919999999999</v>
      </c>
      <c r="K30" s="496">
        <v>1599.0063293205008</v>
      </c>
      <c r="L30" s="497">
        <v>65.278886683833477</v>
      </c>
      <c r="M30" s="495">
        <v>1573.3481288925893</v>
      </c>
      <c r="N30" s="497">
        <v>64.231399424069778</v>
      </c>
      <c r="O30" s="498">
        <v>128</v>
      </c>
      <c r="P30" s="498">
        <v>41.7</v>
      </c>
      <c r="Q30" s="449">
        <v>100</v>
      </c>
      <c r="R30" s="449">
        <v>3</v>
      </c>
      <c r="S30" s="395" t="s">
        <v>50</v>
      </c>
      <c r="T30" s="395" t="s">
        <v>50</v>
      </c>
      <c r="AC30">
        <v>2019</v>
      </c>
      <c r="AD30" t="s">
        <v>101</v>
      </c>
      <c r="AE30">
        <v>2</v>
      </c>
      <c r="AF30" s="105">
        <f>L93</f>
        <v>64.482712401487859</v>
      </c>
    </row>
    <row r="31" spans="1:37">
      <c r="A31" s="487">
        <v>44243</v>
      </c>
      <c r="B31" s="112">
        <v>23</v>
      </c>
      <c r="C31" t="s">
        <v>1816</v>
      </c>
      <c r="D31" s="380">
        <v>3079.8</v>
      </c>
      <c r="E31" s="105"/>
      <c r="F31" s="105"/>
      <c r="G31" s="105"/>
      <c r="H31" s="89">
        <v>225.51830000000001</v>
      </c>
      <c r="I31" s="281">
        <v>0.23650000000000002</v>
      </c>
      <c r="J31" s="105">
        <v>225.2818</v>
      </c>
      <c r="K31" s="488">
        <v>1908.2301541761528</v>
      </c>
      <c r="L31" s="489">
        <v>61.959547833500636</v>
      </c>
      <c r="M31" s="281">
        <v>1877.4733856786013</v>
      </c>
      <c r="N31" s="489">
        <v>60.960886605578324</v>
      </c>
      <c r="O31" s="379">
        <v>128</v>
      </c>
      <c r="P31" s="379">
        <v>41.7</v>
      </c>
      <c r="Q31" s="105">
        <v>100</v>
      </c>
      <c r="R31" s="105">
        <v>3</v>
      </c>
      <c r="S31" t="s">
        <v>50</v>
      </c>
      <c r="T31" t="s">
        <v>50</v>
      </c>
      <c r="AC31">
        <v>2019</v>
      </c>
      <c r="AD31" t="s">
        <v>101</v>
      </c>
      <c r="AE31">
        <v>3</v>
      </c>
      <c r="AF31" s="105">
        <f>AVERAGE(L94,L100)</f>
        <v>70.547956134967279</v>
      </c>
      <c r="AG31" s="76" t="s">
        <v>1858</v>
      </c>
      <c r="AH31">
        <f>((L94-L100)/AVERAGE(L94,L100))*100</f>
        <v>-0.17410208532528182</v>
      </c>
    </row>
    <row r="32" spans="1:37">
      <c r="A32" s="487">
        <v>44243</v>
      </c>
      <c r="B32" s="112">
        <v>24</v>
      </c>
      <c r="C32" t="s">
        <v>1817</v>
      </c>
      <c r="D32" s="380">
        <v>2095.9</v>
      </c>
      <c r="E32" s="105"/>
      <c r="F32" s="105"/>
      <c r="G32" s="105"/>
      <c r="H32" s="89">
        <v>155.96469999999999</v>
      </c>
      <c r="I32" s="281">
        <v>0.23650000000000002</v>
      </c>
      <c r="J32" s="105">
        <v>155.72819999999999</v>
      </c>
      <c r="K32" s="488">
        <v>1318.8605224020375</v>
      </c>
      <c r="L32" s="489">
        <v>62.925737029535647</v>
      </c>
      <c r="M32" s="281">
        <v>1297.8214436303081</v>
      </c>
      <c r="N32" s="489">
        <v>61.921916295162362</v>
      </c>
      <c r="O32" s="379">
        <v>128</v>
      </c>
      <c r="P32" s="379">
        <v>41.7</v>
      </c>
      <c r="Q32" s="105">
        <v>100</v>
      </c>
      <c r="R32" s="105">
        <v>3</v>
      </c>
      <c r="S32" t="s">
        <v>50</v>
      </c>
      <c r="T32" t="s">
        <v>50</v>
      </c>
      <c r="AC32">
        <v>2019</v>
      </c>
      <c r="AD32" t="s">
        <v>101</v>
      </c>
      <c r="AE32">
        <v>4</v>
      </c>
      <c r="AF32" s="105">
        <f>L95</f>
        <v>58.986623827841768</v>
      </c>
    </row>
    <row r="33" spans="1:34">
      <c r="A33" s="487">
        <v>44243</v>
      </c>
      <c r="B33" s="112">
        <v>25</v>
      </c>
      <c r="C33" t="s">
        <v>1818</v>
      </c>
      <c r="D33" s="380">
        <v>2877.7</v>
      </c>
      <c r="E33" s="105"/>
      <c r="F33" s="105"/>
      <c r="G33" s="105"/>
      <c r="H33" s="89">
        <v>223.99610000000001</v>
      </c>
      <c r="I33" s="281">
        <v>0.23650000000000002</v>
      </c>
      <c r="J33" s="105">
        <v>223.75960000000001</v>
      </c>
      <c r="K33" s="488">
        <v>1895.3316348545568</v>
      </c>
      <c r="L33" s="489">
        <v>65.862724914152167</v>
      </c>
      <c r="M33" s="281">
        <v>1864.78754071607</v>
      </c>
      <c r="N33" s="489">
        <v>64.801318438894612</v>
      </c>
      <c r="O33" s="379">
        <v>128</v>
      </c>
      <c r="P33" s="379">
        <v>41.7</v>
      </c>
      <c r="Q33" s="105">
        <v>100</v>
      </c>
      <c r="R33" s="105">
        <v>3</v>
      </c>
      <c r="S33" t="s">
        <v>50</v>
      </c>
      <c r="T33" t="s">
        <v>50</v>
      </c>
      <c r="AC33">
        <v>2019</v>
      </c>
      <c r="AD33" t="s">
        <v>101</v>
      </c>
      <c r="AE33">
        <v>5</v>
      </c>
      <c r="AF33" s="105">
        <f t="shared" ref="AF33:AF35" si="6">L96</f>
        <v>55.970229043578925</v>
      </c>
    </row>
    <row r="34" spans="1:34">
      <c r="A34" s="487">
        <v>44243</v>
      </c>
      <c r="B34" s="112">
        <v>26</v>
      </c>
      <c r="C34" t="s">
        <v>1819</v>
      </c>
      <c r="D34" s="380">
        <v>2312.9</v>
      </c>
      <c r="E34" s="105"/>
      <c r="F34" s="105"/>
      <c r="G34" s="105"/>
      <c r="H34" s="89">
        <v>189.9453</v>
      </c>
      <c r="I34" s="281">
        <v>0.23650000000000002</v>
      </c>
      <c r="J34" s="105">
        <v>189.7088</v>
      </c>
      <c r="K34" s="488">
        <v>1606.7986551437432</v>
      </c>
      <c r="L34" s="489">
        <v>69.471168452753815</v>
      </c>
      <c r="M34" s="281">
        <v>1581.0119726894254</v>
      </c>
      <c r="N34" s="489">
        <v>68.356261519712277</v>
      </c>
      <c r="O34" s="379">
        <v>128</v>
      </c>
      <c r="P34" s="379">
        <v>41.7</v>
      </c>
      <c r="Q34" s="105">
        <v>100</v>
      </c>
      <c r="R34" s="105">
        <v>3</v>
      </c>
      <c r="S34" t="s">
        <v>50</v>
      </c>
      <c r="T34" t="s">
        <v>50</v>
      </c>
      <c r="AC34">
        <v>2019</v>
      </c>
      <c r="AD34" t="s">
        <v>101</v>
      </c>
      <c r="AE34">
        <v>6</v>
      </c>
      <c r="AF34" s="105">
        <f t="shared" si="6"/>
        <v>59.738062201019737</v>
      </c>
    </row>
    <row r="35" spans="1:34">
      <c r="A35" s="487">
        <v>44243</v>
      </c>
      <c r="B35" s="112">
        <v>27</v>
      </c>
      <c r="C35" t="s">
        <v>1820</v>
      </c>
      <c r="D35" s="380">
        <v>2998.3</v>
      </c>
      <c r="E35" s="105"/>
      <c r="F35" s="105"/>
      <c r="G35" s="105"/>
      <c r="H35" s="89">
        <v>247.25729999999999</v>
      </c>
      <c r="I35" s="281">
        <v>0.23650000000000002</v>
      </c>
      <c r="J35" s="105">
        <v>247.02079999999998</v>
      </c>
      <c r="K35" s="488">
        <v>2092.4378217179833</v>
      </c>
      <c r="L35" s="489">
        <v>69.787473625653973</v>
      </c>
      <c r="M35" s="281">
        <v>2058.6437861781847</v>
      </c>
      <c r="N35" s="489">
        <v>68.660367080618499</v>
      </c>
      <c r="O35" s="379">
        <v>128</v>
      </c>
      <c r="P35" s="379">
        <v>41.7</v>
      </c>
      <c r="Q35" s="105">
        <v>100</v>
      </c>
      <c r="R35" s="105">
        <v>3</v>
      </c>
      <c r="S35" t="s">
        <v>50</v>
      </c>
      <c r="T35" t="s">
        <v>50</v>
      </c>
      <c r="AC35">
        <v>2019</v>
      </c>
      <c r="AD35" t="s">
        <v>101</v>
      </c>
      <c r="AE35">
        <v>7</v>
      </c>
      <c r="AF35" s="105">
        <f t="shared" si="6"/>
        <v>59.862641912889522</v>
      </c>
    </row>
    <row r="36" spans="1:34">
      <c r="A36" s="487">
        <v>44243</v>
      </c>
      <c r="B36" s="112">
        <v>28</v>
      </c>
      <c r="C36" t="s">
        <v>1821</v>
      </c>
      <c r="D36" s="105"/>
      <c r="E36" s="105"/>
      <c r="F36" s="105"/>
      <c r="G36" s="105"/>
      <c r="H36" s="89">
        <v>0.28000000000000003</v>
      </c>
      <c r="I36" s="281">
        <v>0.23650000000000002</v>
      </c>
      <c r="J36" s="105">
        <v>4.3500000000000011E-2</v>
      </c>
      <c r="K36" s="488">
        <v>-0.3499039722058116</v>
      </c>
      <c r="L36" s="489"/>
      <c r="M36" s="281">
        <v>0.36252414654454634</v>
      </c>
      <c r="N36" s="489" t="e">
        <v>#DIV/0!</v>
      </c>
      <c r="O36" s="379">
        <v>128</v>
      </c>
      <c r="P36" s="379">
        <v>41.7</v>
      </c>
      <c r="Q36" s="105">
        <v>100</v>
      </c>
      <c r="R36" s="105">
        <v>3</v>
      </c>
      <c r="S36" t="s">
        <v>50</v>
      </c>
      <c r="T36" t="s">
        <v>50</v>
      </c>
      <c r="AC36">
        <v>2019</v>
      </c>
      <c r="AD36" t="s">
        <v>101</v>
      </c>
      <c r="AE36">
        <v>8</v>
      </c>
      <c r="AF36" s="105">
        <f>L101</f>
        <v>61.924951763985788</v>
      </c>
    </row>
    <row r="37" spans="1:34">
      <c r="A37" s="487">
        <v>44243</v>
      </c>
      <c r="B37" s="112">
        <v>29</v>
      </c>
      <c r="C37" t="s">
        <v>1841</v>
      </c>
      <c r="D37" s="105">
        <v>2374.5</v>
      </c>
      <c r="E37" s="105"/>
      <c r="F37" s="105"/>
      <c r="G37" s="105">
        <v>2374.0250999999998</v>
      </c>
      <c r="H37" s="89">
        <v>280.48169999999999</v>
      </c>
      <c r="I37" s="281">
        <v>0.23650000000000002</v>
      </c>
      <c r="J37" s="105">
        <v>280.24520000000001</v>
      </c>
      <c r="K37" s="488">
        <v>2373.9682154562788</v>
      </c>
      <c r="L37" s="489">
        <v>99.997603877746656</v>
      </c>
      <c r="M37" s="281">
        <v>2335.5322288093257</v>
      </c>
      <c r="N37" s="489">
        <v>98.358906245918106</v>
      </c>
      <c r="O37" s="379">
        <v>128</v>
      </c>
      <c r="P37" s="379">
        <v>41.7</v>
      </c>
      <c r="Q37" s="105">
        <v>100</v>
      </c>
      <c r="R37" s="105">
        <v>3</v>
      </c>
      <c r="S37" t="s">
        <v>50</v>
      </c>
      <c r="T37" t="s">
        <v>50</v>
      </c>
      <c r="AC37">
        <v>2019</v>
      </c>
      <c r="AD37" t="s">
        <v>101</v>
      </c>
      <c r="AE37">
        <v>9</v>
      </c>
      <c r="AF37" s="105">
        <f t="shared" ref="AF37:AF40" si="7">L102</f>
        <v>58.525862619899229</v>
      </c>
    </row>
    <row r="38" spans="1:34">
      <c r="A38" s="487">
        <v>44243</v>
      </c>
      <c r="B38" s="112">
        <v>30</v>
      </c>
      <c r="C38" t="s">
        <v>1822</v>
      </c>
      <c r="D38" s="105"/>
      <c r="E38" s="105"/>
      <c r="F38" s="105"/>
      <c r="G38" s="105"/>
      <c r="H38" s="89">
        <v>0.18210000000000001</v>
      </c>
      <c r="I38" s="281">
        <v>0.23650000000000002</v>
      </c>
      <c r="J38" s="105">
        <v>-5.4400000000000004E-2</v>
      </c>
      <c r="K38" s="488">
        <v>-1.1794697596084174</v>
      </c>
      <c r="L38" s="489" t="e">
        <v>#DIV/0!</v>
      </c>
      <c r="M38" s="281">
        <v>-0.45336353039134064</v>
      </c>
      <c r="N38" s="489" t="e">
        <v>#DIV/0!</v>
      </c>
      <c r="O38" s="379">
        <v>128</v>
      </c>
      <c r="P38" s="379">
        <v>41.7</v>
      </c>
      <c r="Q38" s="105">
        <v>100</v>
      </c>
      <c r="R38" s="105">
        <v>3</v>
      </c>
      <c r="S38" t="s">
        <v>50</v>
      </c>
      <c r="T38" t="s">
        <v>50</v>
      </c>
      <c r="AC38">
        <v>2019</v>
      </c>
      <c r="AD38" t="s">
        <v>101</v>
      </c>
      <c r="AE38">
        <v>10</v>
      </c>
      <c r="AF38" s="105">
        <f t="shared" si="7"/>
        <v>55.96647736049902</v>
      </c>
    </row>
    <row r="39" spans="1:34">
      <c r="A39" s="487"/>
      <c r="B39" s="112"/>
      <c r="D39" s="105"/>
      <c r="E39" s="105"/>
      <c r="F39" s="105"/>
      <c r="G39" s="105"/>
      <c r="H39" s="446"/>
      <c r="I39" s="105"/>
      <c r="J39" s="105"/>
      <c r="K39" s="484"/>
      <c r="L39" s="485"/>
      <c r="M39" s="105"/>
      <c r="N39" s="485"/>
      <c r="O39" s="105"/>
      <c r="P39" s="105"/>
      <c r="Q39" s="105"/>
      <c r="R39" s="105"/>
      <c r="AC39">
        <v>2019</v>
      </c>
      <c r="AD39" t="s">
        <v>101</v>
      </c>
      <c r="AE39">
        <v>11</v>
      </c>
      <c r="AF39" s="105">
        <f t="shared" si="7"/>
        <v>61.26420480710317</v>
      </c>
    </row>
    <row r="40" spans="1:34">
      <c r="A40" s="487"/>
      <c r="B40" s="112"/>
      <c r="D40" s="105"/>
      <c r="E40" s="105"/>
      <c r="F40" s="105"/>
      <c r="G40" s="105"/>
      <c r="H40" s="446"/>
      <c r="I40" s="105"/>
      <c r="J40" s="105"/>
      <c r="K40" s="484"/>
      <c r="L40" s="485"/>
      <c r="M40" s="105"/>
      <c r="N40" s="485"/>
      <c r="O40" s="105"/>
      <c r="P40" s="105"/>
      <c r="Q40" s="105"/>
      <c r="R40" s="105"/>
      <c r="AC40">
        <v>2019</v>
      </c>
      <c r="AD40" t="s">
        <v>101</v>
      </c>
      <c r="AE40">
        <v>12</v>
      </c>
      <c r="AF40" s="105">
        <f t="shared" si="7"/>
        <v>67.949709523039971</v>
      </c>
    </row>
    <row r="41" spans="1:34">
      <c r="A41" s="483" t="s">
        <v>1798</v>
      </c>
      <c r="B41" s="112"/>
      <c r="D41" s="105"/>
      <c r="E41" s="105"/>
      <c r="F41" s="105"/>
      <c r="G41" s="105"/>
      <c r="H41" s="446"/>
      <c r="I41" s="281"/>
      <c r="J41" s="105"/>
      <c r="K41" s="484"/>
      <c r="L41" s="485"/>
      <c r="M41" s="105"/>
      <c r="N41" s="485"/>
      <c r="O41" s="379"/>
      <c r="P41" s="379"/>
      <c r="Q41" s="105"/>
      <c r="R41" s="105"/>
      <c r="AC41">
        <v>2019</v>
      </c>
      <c r="AD41" t="s">
        <v>101</v>
      </c>
      <c r="AE41">
        <v>13</v>
      </c>
      <c r="AF41" s="105">
        <f>L128</f>
        <v>71.183719741281195</v>
      </c>
    </row>
    <row r="42" spans="1:34">
      <c r="A42" s="486" t="s">
        <v>1799</v>
      </c>
      <c r="B42" s="112"/>
      <c r="D42" s="105"/>
      <c r="E42" s="105"/>
      <c r="F42" s="105"/>
      <c r="G42" s="105"/>
      <c r="H42" s="446"/>
      <c r="I42" s="281"/>
      <c r="J42" s="105"/>
      <c r="K42" s="484"/>
      <c r="L42" s="485"/>
      <c r="M42" s="105"/>
      <c r="N42" s="485"/>
      <c r="O42" s="379"/>
      <c r="P42" s="379"/>
      <c r="Q42" s="105"/>
      <c r="R42" s="105"/>
      <c r="AC42">
        <v>2019</v>
      </c>
      <c r="AD42" t="s">
        <v>101</v>
      </c>
      <c r="AE42">
        <v>14</v>
      </c>
      <c r="AF42" s="105">
        <f>AVERAGE(L129,L135)</f>
        <v>69.013458088383175</v>
      </c>
      <c r="AG42" s="76" t="s">
        <v>1858</v>
      </c>
      <c r="AH42" s="66">
        <f>((L129-L135)/AVERAGE(L129,L135))*100</f>
        <v>-1.549492007137834</v>
      </c>
    </row>
    <row r="43" spans="1:34">
      <c r="A43" s="483" t="s">
        <v>1823</v>
      </c>
      <c r="B43" s="112"/>
      <c r="D43" s="105"/>
      <c r="E43" s="105"/>
      <c r="F43" s="105"/>
      <c r="G43" s="105"/>
      <c r="H43" s="446"/>
      <c r="I43" s="105"/>
      <c r="J43" s="105"/>
      <c r="K43" s="484"/>
      <c r="L43" s="485"/>
      <c r="M43" s="105"/>
      <c r="N43" s="485"/>
      <c r="O43" s="105"/>
      <c r="P43" s="105"/>
      <c r="Q43" s="105"/>
      <c r="R43" s="105"/>
      <c r="X43" s="487">
        <f>A48</f>
        <v>44243</v>
      </c>
      <c r="AC43">
        <v>2019</v>
      </c>
      <c r="AD43" t="s">
        <v>101</v>
      </c>
      <c r="AE43">
        <v>15</v>
      </c>
      <c r="AF43" s="105">
        <f>L130</f>
        <v>68.207281791119982</v>
      </c>
    </row>
    <row r="44" spans="1:34">
      <c r="A44" s="487">
        <v>44243</v>
      </c>
      <c r="B44" s="112">
        <v>1</v>
      </c>
      <c r="C44" s="76" t="s">
        <v>1715</v>
      </c>
      <c r="D44" s="105"/>
      <c r="E44" s="105"/>
      <c r="F44" s="105"/>
      <c r="H44" s="89">
        <v>0</v>
      </c>
      <c r="I44" s="105"/>
      <c r="J44" s="105"/>
      <c r="K44" s="484"/>
      <c r="L44" s="485"/>
      <c r="M44" s="105"/>
      <c r="N44" s="485"/>
      <c r="O44" s="105"/>
      <c r="P44" s="105"/>
      <c r="Q44" s="105"/>
      <c r="R44" s="105"/>
      <c r="X44" s="105">
        <f>((J46-INDEX(LINEST($J$46:$J$51,$G$46:$G$51),2))/INDEX(LINEST($J$46:$J$51,$G$46:$G$51),1)/100.09)*12.01</f>
        <v>1.3322657968842762</v>
      </c>
      <c r="Y44" s="105">
        <f>(J46-X44)^2</f>
        <v>1.6826967569134412</v>
      </c>
      <c r="AC44">
        <v>2019</v>
      </c>
      <c r="AD44" t="s">
        <v>101</v>
      </c>
      <c r="AE44">
        <v>16</v>
      </c>
      <c r="AF44" s="105">
        <f t="shared" ref="AF44:AF46" si="8">L131</f>
        <v>71.818591868795949</v>
      </c>
    </row>
    <row r="45" spans="1:34">
      <c r="A45" s="487">
        <v>44243</v>
      </c>
      <c r="B45" s="112">
        <v>2</v>
      </c>
      <c r="C45" s="76" t="s">
        <v>1801</v>
      </c>
      <c r="D45" s="105"/>
      <c r="E45" s="105"/>
      <c r="F45" s="105"/>
      <c r="H45" s="89">
        <v>0.13780000000000001</v>
      </c>
      <c r="I45" s="105"/>
      <c r="J45" s="105"/>
      <c r="K45" s="484"/>
      <c r="L45" s="485"/>
      <c r="M45" s="105"/>
      <c r="N45" s="485"/>
      <c r="O45" s="105"/>
      <c r="P45" s="105"/>
      <c r="Q45" s="105"/>
      <c r="R45" s="105"/>
      <c r="X45" s="105">
        <f t="shared" ref="X45:X48" si="9">((J47-INDEX(LINEST($J$46:$J$51,$G$46:$G$51),2))/INDEX(LINEST($J$46:$J$51,$G$46:$G$51),1)/100.09)*12.01</f>
        <v>29.599888416514119</v>
      </c>
      <c r="Y45" s="105">
        <f t="shared" ref="Y45:Y49" si="10">(J47-X45)^2</f>
        <v>2.7924622257052127</v>
      </c>
      <c r="AC45">
        <v>2019</v>
      </c>
      <c r="AD45" t="s">
        <v>101</v>
      </c>
      <c r="AE45">
        <v>17</v>
      </c>
      <c r="AF45" s="105">
        <f t="shared" si="8"/>
        <v>71.987999303169346</v>
      </c>
    </row>
    <row r="46" spans="1:34">
      <c r="A46" s="487">
        <v>44243</v>
      </c>
      <c r="B46" s="112">
        <v>3</v>
      </c>
      <c r="C46" s="76" t="s">
        <v>1802</v>
      </c>
      <c r="D46" s="105"/>
      <c r="E46" s="105"/>
      <c r="F46" s="105"/>
      <c r="G46">
        <v>0</v>
      </c>
      <c r="H46" s="89">
        <v>0</v>
      </c>
      <c r="I46" s="281">
        <v>3.5077777777777777E-2</v>
      </c>
      <c r="J46" s="281">
        <v>3.5077777777777777E-2</v>
      </c>
      <c r="K46" s="484"/>
      <c r="L46" s="485"/>
      <c r="M46" s="105"/>
      <c r="N46" s="485"/>
      <c r="O46" s="105"/>
      <c r="P46" s="105"/>
      <c r="Q46" s="105"/>
      <c r="R46" s="105"/>
      <c r="X46" s="105">
        <f t="shared" si="9"/>
        <v>130.93488304919325</v>
      </c>
      <c r="Y46" s="105">
        <f t="shared" si="10"/>
        <v>9.0682940302155508</v>
      </c>
      <c r="AC46">
        <v>2019</v>
      </c>
      <c r="AD46" t="s">
        <v>101</v>
      </c>
      <c r="AE46">
        <v>18</v>
      </c>
      <c r="AF46" s="105">
        <f t="shared" si="8"/>
        <v>73.445995797693215</v>
      </c>
    </row>
    <row r="47" spans="1:34">
      <c r="A47" s="487">
        <v>44243</v>
      </c>
      <c r="B47" s="112">
        <v>4</v>
      </c>
      <c r="C47" t="s">
        <v>1842</v>
      </c>
      <c r="D47" s="281">
        <v>238.2</v>
      </c>
      <c r="E47" s="105"/>
      <c r="F47" s="105"/>
      <c r="G47" s="105">
        <v>238.15235999999999</v>
      </c>
      <c r="H47" s="89">
        <v>27.963899999999999</v>
      </c>
      <c r="I47" s="281">
        <v>3.5077777777777777E-2</v>
      </c>
      <c r="J47" s="281">
        <v>27.92882222222222</v>
      </c>
      <c r="K47" s="488">
        <v>246.68216749449613</v>
      </c>
      <c r="L47" s="489">
        <v>103.58165986450696</v>
      </c>
      <c r="M47" s="281">
        <v>232.75568827828661</v>
      </c>
      <c r="N47" s="489">
        <v>97.733941531499681</v>
      </c>
      <c r="O47" s="379">
        <v>128</v>
      </c>
      <c r="P47" s="379">
        <v>41.7</v>
      </c>
      <c r="Q47" s="105">
        <v>100</v>
      </c>
      <c r="R47" s="105">
        <v>3</v>
      </c>
      <c r="S47" t="s">
        <v>50</v>
      </c>
      <c r="T47" t="s">
        <v>50</v>
      </c>
      <c r="X47" s="105">
        <f t="shared" si="9"/>
        <v>280.14144497950269</v>
      </c>
      <c r="Y47" s="105">
        <f t="shared" si="10"/>
        <v>24.848457921500831</v>
      </c>
      <c r="AC47">
        <v>2019</v>
      </c>
      <c r="AD47" t="s">
        <v>101</v>
      </c>
      <c r="AE47">
        <v>19</v>
      </c>
      <c r="AF47" s="105">
        <f>L136</f>
        <v>78.368074419808238</v>
      </c>
    </row>
    <row r="48" spans="1:34">
      <c r="A48" s="487">
        <v>44243</v>
      </c>
      <c r="B48" s="112">
        <v>5</v>
      </c>
      <c r="C48" t="s">
        <v>1843</v>
      </c>
      <c r="D48" s="281">
        <v>1102.5999999999999</v>
      </c>
      <c r="E48" s="105"/>
      <c r="F48" s="105"/>
      <c r="G48" s="105">
        <v>1102.3794799999998</v>
      </c>
      <c r="H48" s="89">
        <v>127.9586</v>
      </c>
      <c r="I48" s="281">
        <v>3.5077777777777777E-2</v>
      </c>
      <c r="J48" s="281">
        <v>127.92352222222223</v>
      </c>
      <c r="K48" s="488">
        <v>1091.1967064441094</v>
      </c>
      <c r="L48" s="489">
        <v>98.985578581715757</v>
      </c>
      <c r="M48" s="281">
        <v>1066.1003613007681</v>
      </c>
      <c r="N48" s="489">
        <v>96.709017234316477</v>
      </c>
      <c r="O48" s="379">
        <v>128</v>
      </c>
      <c r="P48" s="379">
        <v>41.7</v>
      </c>
      <c r="Q48" s="105">
        <v>100</v>
      </c>
      <c r="R48" s="105">
        <v>3</v>
      </c>
      <c r="S48" t="s">
        <v>50</v>
      </c>
      <c r="T48" t="s">
        <v>50</v>
      </c>
      <c r="X48" s="105">
        <f t="shared" si="9"/>
        <v>341.30329453319519</v>
      </c>
      <c r="Y48" s="105">
        <f t="shared" si="10"/>
        <v>33.567797591396726</v>
      </c>
      <c r="AC48">
        <v>2019</v>
      </c>
      <c r="AD48" t="s">
        <v>101</v>
      </c>
      <c r="AE48">
        <v>20</v>
      </c>
      <c r="AF48" s="105">
        <f t="shared" ref="AF48:AF49" si="11">L137</f>
        <v>75.270877521923367</v>
      </c>
    </row>
    <row r="49" spans="1:34" ht="15.5">
      <c r="A49" s="487">
        <v>44243</v>
      </c>
      <c r="B49" s="112">
        <v>6</v>
      </c>
      <c r="C49" t="s">
        <v>1844</v>
      </c>
      <c r="D49" s="281">
        <v>2363.6999999999998</v>
      </c>
      <c r="E49" s="105"/>
      <c r="F49" s="105"/>
      <c r="G49" s="105">
        <v>2363.2272599999997</v>
      </c>
      <c r="H49" s="89">
        <v>275.19170000000003</v>
      </c>
      <c r="I49" s="281">
        <v>3.5077777777777777E-2</v>
      </c>
      <c r="J49" s="281">
        <v>275.15662222222227</v>
      </c>
      <c r="K49" s="488">
        <v>2334.6675460448314</v>
      </c>
      <c r="L49" s="489">
        <v>98.791495238796116</v>
      </c>
      <c r="M49" s="281">
        <v>2293.1245893607183</v>
      </c>
      <c r="N49" s="489">
        <v>97.033604350041173</v>
      </c>
      <c r="O49" s="379">
        <v>128</v>
      </c>
      <c r="P49" s="379">
        <v>41.7</v>
      </c>
      <c r="Q49" s="105">
        <v>100</v>
      </c>
      <c r="R49" s="105">
        <v>3</v>
      </c>
      <c r="S49" t="s">
        <v>50</v>
      </c>
      <c r="T49" t="s">
        <v>50</v>
      </c>
      <c r="X49" s="105">
        <f>((J51-INDEX(LINEST($J$46:$J$51,$G$46:$G$51),2))/INDEX(LINEST($J$46:$J$51,$G$46:$G$51),1)/100.09)*12.01</f>
        <v>435.44322454352357</v>
      </c>
      <c r="Y49" s="105">
        <f t="shared" si="10"/>
        <v>49.546145888821535</v>
      </c>
      <c r="AA49" s="227" t="s">
        <v>1935</v>
      </c>
      <c r="AC49">
        <v>2019</v>
      </c>
      <c r="AD49" t="s">
        <v>101</v>
      </c>
      <c r="AE49">
        <v>21</v>
      </c>
      <c r="AF49" s="105">
        <f t="shared" si="11"/>
        <v>78.604697514320065</v>
      </c>
    </row>
    <row r="50" spans="1:34" ht="15.5">
      <c r="A50" s="487">
        <v>44243</v>
      </c>
      <c r="B50" s="112">
        <v>7</v>
      </c>
      <c r="C50" t="s">
        <v>1845</v>
      </c>
      <c r="D50" s="281">
        <v>2852.1</v>
      </c>
      <c r="E50" s="105"/>
      <c r="F50" s="105"/>
      <c r="G50" s="105">
        <v>2851.5295799999999</v>
      </c>
      <c r="H50" s="89">
        <v>335.5446</v>
      </c>
      <c r="I50" s="281">
        <v>3.5077777777777777E-2</v>
      </c>
      <c r="J50" s="281">
        <v>335.50952222222224</v>
      </c>
      <c r="K50" s="488">
        <v>2844.3835761721489</v>
      </c>
      <c r="L50" s="489">
        <v>99.749397520615901</v>
      </c>
      <c r="M50" s="281">
        <v>2796.0989241650482</v>
      </c>
      <c r="N50" s="489">
        <v>98.056107984159439</v>
      </c>
      <c r="O50" s="379">
        <v>128</v>
      </c>
      <c r="P50" s="379">
        <v>41.7</v>
      </c>
      <c r="Q50" s="105">
        <v>100</v>
      </c>
      <c r="R50" s="105">
        <v>3</v>
      </c>
      <c r="S50" t="s">
        <v>50</v>
      </c>
      <c r="T50" t="s">
        <v>50</v>
      </c>
      <c r="Y50" s="226">
        <f>SQRT(SUM(Y44:Y49)/(6-2))</f>
        <v>5.5114847004811987</v>
      </c>
      <c r="Z50" s="227" t="s">
        <v>1936</v>
      </c>
      <c r="AA50" s="226">
        <f>(Y50/$AK$15)*100</f>
        <v>2.8330498199253222</v>
      </c>
      <c r="AC50">
        <v>2019</v>
      </c>
      <c r="AD50" t="s">
        <v>102</v>
      </c>
      <c r="AE50">
        <v>1</v>
      </c>
      <c r="AF50" s="105">
        <f>L23</f>
        <v>72.64944166251523</v>
      </c>
    </row>
    <row r="51" spans="1:34" ht="15.5">
      <c r="A51" s="487">
        <v>44243</v>
      </c>
      <c r="B51" s="112">
        <v>8</v>
      </c>
      <c r="C51" t="s">
        <v>1846</v>
      </c>
      <c r="D51" s="281">
        <v>3602.4</v>
      </c>
      <c r="E51" s="105"/>
      <c r="F51" s="105"/>
      <c r="G51" s="105">
        <v>3601.6795200000001</v>
      </c>
      <c r="H51" s="89">
        <v>428.43939999999998</v>
      </c>
      <c r="I51" s="281">
        <v>3.5077777777777777E-2</v>
      </c>
      <c r="J51" s="281">
        <v>428.40432222222222</v>
      </c>
      <c r="K51" s="488">
        <v>3628.9352493389911</v>
      </c>
      <c r="L51" s="489">
        <v>100.75675054339624</v>
      </c>
      <c r="M51" s="281">
        <v>3570.2738227495606</v>
      </c>
      <c r="N51" s="489">
        <v>99.128026325606015</v>
      </c>
      <c r="O51" s="379">
        <v>128</v>
      </c>
      <c r="P51" s="379">
        <v>41.7</v>
      </c>
      <c r="Q51" s="105">
        <v>100</v>
      </c>
      <c r="R51" s="105">
        <v>3</v>
      </c>
      <c r="S51" t="s">
        <v>50</v>
      </c>
      <c r="T51" t="s">
        <v>50</v>
      </c>
      <c r="Y51" s="226">
        <f>(Y50/12.01)*100.09</f>
        <v>45.932098557132655</v>
      </c>
      <c r="Z51" s="227" t="s">
        <v>1937</v>
      </c>
      <c r="AC51">
        <v>2019</v>
      </c>
      <c r="AD51" t="s">
        <v>102</v>
      </c>
      <c r="AE51">
        <v>2</v>
      </c>
      <c r="AF51" s="105">
        <f t="shared" ref="AF51:AF54" si="12">L24</f>
        <v>72.032431590724656</v>
      </c>
    </row>
    <row r="52" spans="1:34">
      <c r="A52" s="487">
        <v>44243</v>
      </c>
      <c r="B52" s="112">
        <v>9</v>
      </c>
      <c r="C52" t="s">
        <v>1803</v>
      </c>
      <c r="D52" s="105"/>
      <c r="E52" s="105"/>
      <c r="F52" s="105"/>
      <c r="G52" s="105"/>
      <c r="H52" s="89">
        <v>0</v>
      </c>
      <c r="I52" s="281">
        <v>3.5077777777777777E-2</v>
      </c>
      <c r="J52" s="281">
        <v>-3.5077777777777777E-2</v>
      </c>
      <c r="K52" s="488">
        <v>10.510449236097601</v>
      </c>
      <c r="L52" s="489"/>
      <c r="M52" s="281">
        <v>-0.29233428624294572</v>
      </c>
      <c r="N52" s="489"/>
      <c r="O52" s="379">
        <v>128</v>
      </c>
      <c r="P52" s="379">
        <v>41.7</v>
      </c>
      <c r="Q52" s="105">
        <v>100</v>
      </c>
      <c r="R52" s="105">
        <v>3</v>
      </c>
      <c r="S52" t="s">
        <v>50</v>
      </c>
      <c r="T52" t="s">
        <v>50</v>
      </c>
      <c r="AC52">
        <v>2019</v>
      </c>
      <c r="AD52" t="s">
        <v>102</v>
      </c>
      <c r="AE52" s="66">
        <v>3</v>
      </c>
      <c r="AF52" s="105">
        <f t="shared" si="12"/>
        <v>76.124759707270599</v>
      </c>
    </row>
    <row r="53" spans="1:34">
      <c r="A53" s="487">
        <v>44243</v>
      </c>
      <c r="B53" s="112">
        <v>10</v>
      </c>
      <c r="C53" t="s">
        <v>1804</v>
      </c>
      <c r="D53" s="105"/>
      <c r="E53" s="105"/>
      <c r="F53" s="105"/>
      <c r="G53" s="105"/>
      <c r="H53" s="89">
        <v>0.1779</v>
      </c>
      <c r="I53" s="281">
        <v>3.5077777777777777E-2</v>
      </c>
      <c r="J53" s="281">
        <v>0.14282222222222224</v>
      </c>
      <c r="K53" s="488">
        <v>12.012920231851737</v>
      </c>
      <c r="L53" s="489"/>
      <c r="M53" s="281">
        <v>1.1902644647978537</v>
      </c>
      <c r="N53" s="489"/>
      <c r="O53" s="379">
        <v>128</v>
      </c>
      <c r="P53" s="379">
        <v>41.7</v>
      </c>
      <c r="Q53" s="105">
        <v>100</v>
      </c>
      <c r="R53" s="105">
        <v>3</v>
      </c>
      <c r="S53" t="s">
        <v>50</v>
      </c>
      <c r="T53" t="s">
        <v>50</v>
      </c>
      <c r="AC53">
        <v>2019</v>
      </c>
      <c r="AD53" t="s">
        <v>102</v>
      </c>
      <c r="AE53">
        <v>4</v>
      </c>
      <c r="AF53" s="105">
        <f t="shared" si="12"/>
        <v>73.099948629324942</v>
      </c>
    </row>
    <row r="54" spans="1:34">
      <c r="A54" s="487">
        <v>44243</v>
      </c>
      <c r="B54" s="112">
        <v>11</v>
      </c>
      <c r="C54" t="s">
        <v>1805</v>
      </c>
      <c r="D54" s="105"/>
      <c r="E54" s="105"/>
      <c r="F54" s="105"/>
      <c r="G54" s="105"/>
      <c r="H54" s="89">
        <v>0</v>
      </c>
      <c r="I54" s="281">
        <v>3.5077777777777777E-2</v>
      </c>
      <c r="J54" s="281">
        <v>-3.5077777777777777E-2</v>
      </c>
      <c r="K54" s="488">
        <v>10.510449236097601</v>
      </c>
      <c r="L54" s="489"/>
      <c r="M54" s="281">
        <v>-0.29233428624294572</v>
      </c>
      <c r="N54" s="489"/>
      <c r="O54" s="379">
        <v>128</v>
      </c>
      <c r="P54" s="379">
        <v>41.7</v>
      </c>
      <c r="Q54" s="105">
        <v>100</v>
      </c>
      <c r="R54" s="105">
        <v>3</v>
      </c>
      <c r="S54" t="s">
        <v>50</v>
      </c>
      <c r="T54" t="s">
        <v>50</v>
      </c>
      <c r="AC54">
        <v>2019</v>
      </c>
      <c r="AD54" t="s">
        <v>102</v>
      </c>
      <c r="AE54">
        <v>5</v>
      </c>
      <c r="AF54" s="105">
        <f t="shared" si="12"/>
        <v>63.195452270354082</v>
      </c>
    </row>
    <row r="55" spans="1:34">
      <c r="A55" s="487">
        <v>44243</v>
      </c>
      <c r="B55" s="112">
        <v>12</v>
      </c>
      <c r="C55" s="66" t="s">
        <v>1806</v>
      </c>
      <c r="D55" s="490">
        <v>1019.2</v>
      </c>
      <c r="E55" s="263"/>
      <c r="F55" s="263"/>
      <c r="G55" s="263"/>
      <c r="H55" s="89">
        <v>14.326000000000001</v>
      </c>
      <c r="I55" s="490">
        <v>3.5077777777777777E-2</v>
      </c>
      <c r="J55" s="281">
        <v>14.290922222222223</v>
      </c>
      <c r="K55" s="488">
        <v>131.50201463898551</v>
      </c>
      <c r="L55" s="491">
        <v>12.902473963793712</v>
      </c>
      <c r="M55" s="490">
        <v>119.09895130909429</v>
      </c>
      <c r="N55" s="491">
        <v>11.685532899243944</v>
      </c>
      <c r="O55" s="379">
        <v>128</v>
      </c>
      <c r="P55" s="379">
        <v>41.7</v>
      </c>
      <c r="Q55" s="105">
        <v>100</v>
      </c>
      <c r="R55" s="105">
        <v>3</v>
      </c>
      <c r="S55" t="s">
        <v>50</v>
      </c>
      <c r="T55" t="s">
        <v>50</v>
      </c>
      <c r="AC55">
        <v>2019</v>
      </c>
      <c r="AD55" t="s">
        <v>102</v>
      </c>
      <c r="AE55">
        <v>6</v>
      </c>
      <c r="AF55" s="105">
        <f>AVERAGE(L28,L30)</f>
        <v>65.227069552653404</v>
      </c>
      <c r="AG55" s="76" t="s">
        <v>1858</v>
      </c>
      <c r="AH55">
        <f>((L28-L30)/AVERAGE(L28,L30))*100</f>
        <v>-0.15888229085086933</v>
      </c>
    </row>
    <row r="56" spans="1:34">
      <c r="A56" s="487">
        <v>44243</v>
      </c>
      <c r="B56" s="112">
        <v>13</v>
      </c>
      <c r="C56" s="66" t="s">
        <v>1806</v>
      </c>
      <c r="D56" s="490">
        <v>1918</v>
      </c>
      <c r="E56" s="263"/>
      <c r="F56" s="263"/>
      <c r="G56" s="263"/>
      <c r="H56" s="89">
        <v>27.8369</v>
      </c>
      <c r="I56" s="490">
        <v>3.5077777777777777E-2</v>
      </c>
      <c r="J56" s="281">
        <v>27.801822222222221</v>
      </c>
      <c r="K56" s="488">
        <v>245.60957718274361</v>
      </c>
      <c r="L56" s="491">
        <v>12.805504545502794</v>
      </c>
      <c r="M56" s="490">
        <v>231.69728444814507</v>
      </c>
      <c r="N56" s="491">
        <v>12.080150388328732</v>
      </c>
      <c r="O56" s="379">
        <v>128</v>
      </c>
      <c r="P56" s="379">
        <v>41.7</v>
      </c>
      <c r="Q56" s="105">
        <v>100</v>
      </c>
      <c r="R56" s="105">
        <v>3</v>
      </c>
      <c r="S56" t="s">
        <v>50</v>
      </c>
      <c r="T56" t="s">
        <v>50</v>
      </c>
      <c r="AC56">
        <v>2019</v>
      </c>
      <c r="AD56" t="s">
        <v>102</v>
      </c>
      <c r="AE56">
        <v>7</v>
      </c>
      <c r="AF56" s="105">
        <f>L31</f>
        <v>61.959547833500636</v>
      </c>
    </row>
    <row r="57" spans="1:34">
      <c r="A57" s="487">
        <v>44243</v>
      </c>
      <c r="B57" s="112">
        <v>14</v>
      </c>
      <c r="C57" t="s">
        <v>1807</v>
      </c>
      <c r="D57" s="105"/>
      <c r="E57" s="105"/>
      <c r="F57" s="105"/>
      <c r="G57" s="105"/>
      <c r="H57" s="89">
        <v>0</v>
      </c>
      <c r="I57" s="281">
        <v>3.5077777777777777E-2</v>
      </c>
      <c r="J57" s="281">
        <v>-3.5077777777777777E-2</v>
      </c>
      <c r="K57" s="488">
        <v>10.510449236097601</v>
      </c>
      <c r="L57" s="489"/>
      <c r="M57" s="281">
        <v>-0.29233428624294572</v>
      </c>
      <c r="N57" s="489" t="e">
        <v>#DIV/0!</v>
      </c>
      <c r="O57" s="379">
        <v>128</v>
      </c>
      <c r="P57" s="379">
        <v>41.7</v>
      </c>
      <c r="Q57" s="105">
        <v>100</v>
      </c>
      <c r="R57" s="105">
        <v>3</v>
      </c>
      <c r="S57" t="s">
        <v>50</v>
      </c>
      <c r="T57" t="s">
        <v>50</v>
      </c>
      <c r="AC57">
        <v>2019</v>
      </c>
      <c r="AD57" t="s">
        <v>102</v>
      </c>
      <c r="AE57">
        <v>8</v>
      </c>
      <c r="AF57" s="105">
        <f t="shared" ref="AF57:AF60" si="13">L32</f>
        <v>62.925737029535647</v>
      </c>
    </row>
    <row r="58" spans="1:34">
      <c r="A58" s="487">
        <v>44243</v>
      </c>
      <c r="B58" s="112">
        <v>15</v>
      </c>
      <c r="C58" t="s">
        <v>1824</v>
      </c>
      <c r="D58" s="380">
        <v>3252.3</v>
      </c>
      <c r="E58" s="105"/>
      <c r="F58" s="105"/>
      <c r="G58" s="105"/>
      <c r="H58" s="89">
        <v>284.29340000000002</v>
      </c>
      <c r="I58" s="281">
        <v>3.5077777777777777E-2</v>
      </c>
      <c r="J58" s="281">
        <v>284.25832222222226</v>
      </c>
      <c r="K58" s="488">
        <v>2411.5367999068626</v>
      </c>
      <c r="L58" s="489">
        <v>74.148657870026213</v>
      </c>
      <c r="M58" s="281">
        <v>2368.9771416504768</v>
      </c>
      <c r="N58" s="489">
        <v>72.840056011145236</v>
      </c>
      <c r="O58" s="379">
        <v>128</v>
      </c>
      <c r="P58" s="379">
        <v>41.7</v>
      </c>
      <c r="Q58" s="105">
        <v>100</v>
      </c>
      <c r="R58" s="105">
        <v>3</v>
      </c>
      <c r="S58" t="s">
        <v>50</v>
      </c>
      <c r="T58" t="s">
        <v>50</v>
      </c>
      <c r="AC58">
        <v>2019</v>
      </c>
      <c r="AD58" t="s">
        <v>102</v>
      </c>
      <c r="AE58">
        <v>9</v>
      </c>
      <c r="AF58" s="105">
        <f t="shared" si="13"/>
        <v>65.862724914152167</v>
      </c>
    </row>
    <row r="59" spans="1:34">
      <c r="A59" s="487">
        <v>44243</v>
      </c>
      <c r="B59" s="112">
        <v>16</v>
      </c>
      <c r="C59" t="s">
        <v>1825</v>
      </c>
      <c r="D59" s="380">
        <v>2717.4</v>
      </c>
      <c r="E59" s="105"/>
      <c r="F59" s="105"/>
      <c r="G59" s="105"/>
      <c r="H59" s="89">
        <v>244.42339999999999</v>
      </c>
      <c r="I59" s="281">
        <v>3.5077777777777777E-2</v>
      </c>
      <c r="J59" s="281">
        <v>244.3883222222222</v>
      </c>
      <c r="K59" s="488">
        <v>2074.8110067606149</v>
      </c>
      <c r="L59" s="489">
        <v>76.352800719828323</v>
      </c>
      <c r="M59" s="281">
        <v>2036.7050100934405</v>
      </c>
      <c r="N59" s="489">
        <v>74.950504529824101</v>
      </c>
      <c r="O59" s="379">
        <v>128</v>
      </c>
      <c r="P59" s="379">
        <v>41.7</v>
      </c>
      <c r="Q59" s="105">
        <v>100</v>
      </c>
      <c r="R59" s="105">
        <v>3</v>
      </c>
      <c r="S59" t="s">
        <v>50</v>
      </c>
      <c r="T59" t="s">
        <v>50</v>
      </c>
      <c r="AC59">
        <v>2019</v>
      </c>
      <c r="AD59" t="s">
        <v>102</v>
      </c>
      <c r="AE59">
        <v>10</v>
      </c>
      <c r="AF59" s="105">
        <f t="shared" si="13"/>
        <v>69.471168452753815</v>
      </c>
    </row>
    <row r="60" spans="1:34">
      <c r="A60" s="487">
        <v>44243</v>
      </c>
      <c r="B60" s="112">
        <v>17</v>
      </c>
      <c r="C60" t="s">
        <v>1826</v>
      </c>
      <c r="D60" s="380">
        <v>2340.3000000000002</v>
      </c>
      <c r="E60" s="105"/>
      <c r="F60" s="105"/>
      <c r="G60" s="105"/>
      <c r="H60" s="89">
        <v>202.01509999999999</v>
      </c>
      <c r="I60" s="281">
        <v>3.5077777777777777E-2</v>
      </c>
      <c r="J60" s="281">
        <v>201.9800222222222</v>
      </c>
      <c r="K60" s="488">
        <v>1716.6477648874268</v>
      </c>
      <c r="L60" s="489">
        <v>73.351611540718139</v>
      </c>
      <c r="M60" s="281">
        <v>1683.2789695438985</v>
      </c>
      <c r="N60" s="489">
        <v>71.925777444938603</v>
      </c>
      <c r="O60" s="379">
        <v>128</v>
      </c>
      <c r="P60" s="379">
        <v>41.7</v>
      </c>
      <c r="Q60" s="105">
        <v>100</v>
      </c>
      <c r="R60" s="105">
        <v>3</v>
      </c>
      <c r="S60" t="s">
        <v>50</v>
      </c>
      <c r="T60" t="s">
        <v>50</v>
      </c>
      <c r="AC60">
        <v>2019</v>
      </c>
      <c r="AD60" t="s">
        <v>102</v>
      </c>
      <c r="AE60">
        <v>11</v>
      </c>
      <c r="AF60" s="105">
        <f t="shared" si="13"/>
        <v>69.787473625653973</v>
      </c>
    </row>
    <row r="61" spans="1:34">
      <c r="A61" s="487">
        <v>44243</v>
      </c>
      <c r="B61" s="112">
        <v>18</v>
      </c>
      <c r="C61" t="s">
        <v>1827</v>
      </c>
      <c r="D61" s="380">
        <v>3197.1</v>
      </c>
      <c r="E61" s="105"/>
      <c r="F61" s="105"/>
      <c r="G61" s="105"/>
      <c r="H61" s="89">
        <v>278.78559999999999</v>
      </c>
      <c r="I61" s="281">
        <v>3.5077777777777777E-2</v>
      </c>
      <c r="J61" s="281">
        <v>278.75052222222223</v>
      </c>
      <c r="K61" s="488">
        <v>2365.0201627488264</v>
      </c>
      <c r="L61" s="489">
        <v>73.973918949949208</v>
      </c>
      <c r="M61" s="281">
        <v>2323.0757509760388</v>
      </c>
      <c r="N61" s="489">
        <v>72.661967125708884</v>
      </c>
      <c r="O61" s="379">
        <v>128</v>
      </c>
      <c r="P61" s="379">
        <v>41.7</v>
      </c>
      <c r="Q61" s="105">
        <v>100</v>
      </c>
      <c r="R61" s="105">
        <v>3</v>
      </c>
      <c r="S61" t="s">
        <v>50</v>
      </c>
      <c r="T61" t="s">
        <v>50</v>
      </c>
      <c r="AC61">
        <v>2019</v>
      </c>
      <c r="AD61" t="s">
        <v>102</v>
      </c>
      <c r="AE61">
        <v>12</v>
      </c>
      <c r="AF61" s="105">
        <f>L58</f>
        <v>74.148657870026213</v>
      </c>
    </row>
    <row r="62" spans="1:34">
      <c r="A62" s="492">
        <v>44243</v>
      </c>
      <c r="B62" s="493">
        <v>19</v>
      </c>
      <c r="C62" s="395" t="s">
        <v>1828</v>
      </c>
      <c r="D62" s="398">
        <v>2469.6999999999998</v>
      </c>
      <c r="E62" s="449"/>
      <c r="F62" s="449"/>
      <c r="G62" s="449"/>
      <c r="H62" s="494">
        <v>174.1585</v>
      </c>
      <c r="I62" s="495">
        <v>3.5077777777777777E-2</v>
      </c>
      <c r="J62" s="495">
        <v>174.12342222222222</v>
      </c>
      <c r="K62" s="496">
        <v>1481.3822587585641</v>
      </c>
      <c r="L62" s="497">
        <v>59.982275529763307</v>
      </c>
      <c r="M62" s="495">
        <v>1451.1251732075125</v>
      </c>
      <c r="N62" s="497">
        <v>58.757143507612767</v>
      </c>
      <c r="O62" s="498">
        <v>128</v>
      </c>
      <c r="P62" s="498">
        <v>41.7</v>
      </c>
      <c r="Q62" s="449">
        <v>100</v>
      </c>
      <c r="R62" s="449">
        <v>3</v>
      </c>
      <c r="S62" s="395" t="s">
        <v>50</v>
      </c>
      <c r="T62" s="395" t="s">
        <v>50</v>
      </c>
      <c r="AC62">
        <v>2019</v>
      </c>
      <c r="AD62" t="s">
        <v>102</v>
      </c>
      <c r="AE62" s="66">
        <v>13</v>
      </c>
      <c r="AF62" s="105">
        <f t="shared" ref="AF62:AF64" si="14">L59</f>
        <v>76.352800719828323</v>
      </c>
    </row>
    <row r="63" spans="1:34">
      <c r="A63" s="487">
        <v>44243</v>
      </c>
      <c r="B63" s="112">
        <v>20</v>
      </c>
      <c r="C63" t="s">
        <v>1829</v>
      </c>
      <c r="D63" s="380">
        <v>2343.3000000000002</v>
      </c>
      <c r="E63" s="105"/>
      <c r="F63" s="105"/>
      <c r="G63" s="105"/>
      <c r="H63" s="89">
        <v>166.5164</v>
      </c>
      <c r="I63" s="281">
        <v>3.5077777777777777E-2</v>
      </c>
      <c r="J63" s="281">
        <v>166.48132222222222</v>
      </c>
      <c r="K63" s="488">
        <v>1416.8401924479813</v>
      </c>
      <c r="L63" s="489">
        <v>60.463457194895284</v>
      </c>
      <c r="M63" s="281">
        <v>1387.4367644647978</v>
      </c>
      <c r="N63" s="489">
        <v>59.208670015140939</v>
      </c>
      <c r="O63" s="379">
        <v>128</v>
      </c>
      <c r="P63" s="379">
        <v>41.7</v>
      </c>
      <c r="Q63" s="105">
        <v>100</v>
      </c>
      <c r="R63" s="105">
        <v>3</v>
      </c>
      <c r="S63" t="s">
        <v>50</v>
      </c>
      <c r="T63" t="s">
        <v>50</v>
      </c>
      <c r="AC63">
        <v>2019</v>
      </c>
      <c r="AD63" t="s">
        <v>102</v>
      </c>
      <c r="AE63">
        <v>14</v>
      </c>
      <c r="AF63" s="105">
        <f t="shared" si="14"/>
        <v>73.351611540718139</v>
      </c>
    </row>
    <row r="64" spans="1:34">
      <c r="A64" s="487">
        <v>44243</v>
      </c>
      <c r="B64" s="112">
        <v>21</v>
      </c>
      <c r="C64" t="s">
        <v>1814</v>
      </c>
      <c r="D64" s="105"/>
      <c r="E64" s="105"/>
      <c r="F64" s="105"/>
      <c r="G64" s="105"/>
      <c r="H64" s="89">
        <v>0</v>
      </c>
      <c r="I64" s="281">
        <v>3.5077777777777777E-2</v>
      </c>
      <c r="J64" s="281">
        <v>-3.5077777777777777E-2</v>
      </c>
      <c r="K64" s="488">
        <v>10.510449236097601</v>
      </c>
      <c r="L64" s="489"/>
      <c r="M64" s="281">
        <v>-0.29233428624294572</v>
      </c>
      <c r="N64" s="489" t="e">
        <v>#DIV/0!</v>
      </c>
      <c r="O64" s="379">
        <v>128</v>
      </c>
      <c r="P64" s="379">
        <v>41.7</v>
      </c>
      <c r="Q64" s="105">
        <v>100</v>
      </c>
      <c r="R64" s="105">
        <v>3</v>
      </c>
      <c r="S64" t="s">
        <v>50</v>
      </c>
      <c r="T64" t="s">
        <v>50</v>
      </c>
      <c r="AC64">
        <v>2019</v>
      </c>
      <c r="AD64" t="s">
        <v>102</v>
      </c>
      <c r="AE64">
        <v>15</v>
      </c>
      <c r="AF64" s="105">
        <f t="shared" si="14"/>
        <v>73.973918949949208</v>
      </c>
    </row>
    <row r="65" spans="1:34">
      <c r="A65" s="487">
        <v>44243</v>
      </c>
      <c r="B65" s="112">
        <v>22</v>
      </c>
      <c r="C65" t="s">
        <v>1830</v>
      </c>
      <c r="D65" s="380">
        <v>2692.7</v>
      </c>
      <c r="E65" s="105"/>
      <c r="F65" s="105"/>
      <c r="G65" s="105"/>
      <c r="H65" s="89">
        <v>202.16249999999999</v>
      </c>
      <c r="I65" s="281">
        <v>3.5077777777777777E-2</v>
      </c>
      <c r="J65" s="281">
        <v>202.12742222222221</v>
      </c>
      <c r="K65" s="488">
        <v>1717.8926452965002</v>
      </c>
      <c r="L65" s="489">
        <v>63.798144809911996</v>
      </c>
      <c r="M65" s="281">
        <v>1684.5073846979367</v>
      </c>
      <c r="N65" s="489">
        <v>62.558301507703675</v>
      </c>
      <c r="O65" s="379">
        <v>128</v>
      </c>
      <c r="P65" s="379">
        <v>41.7</v>
      </c>
      <c r="Q65" s="105">
        <v>100</v>
      </c>
      <c r="R65" s="105">
        <v>3</v>
      </c>
      <c r="S65" t="s">
        <v>50</v>
      </c>
      <c r="T65" t="s">
        <v>50</v>
      </c>
      <c r="AC65">
        <v>2019</v>
      </c>
      <c r="AD65" t="s">
        <v>102</v>
      </c>
      <c r="AE65">
        <v>16</v>
      </c>
      <c r="AF65" s="105">
        <f>AVERAGE(L62,L66)</f>
        <v>59.6972176372512</v>
      </c>
      <c r="AG65" s="76" t="s">
        <v>1858</v>
      </c>
      <c r="AH65">
        <f>((L62-L66)/AVERAGE(L62,L66))*100</f>
        <v>0.95501232316806228</v>
      </c>
    </row>
    <row r="66" spans="1:34">
      <c r="A66" s="492">
        <v>44243</v>
      </c>
      <c r="B66" s="493">
        <v>23</v>
      </c>
      <c r="C66" s="395" t="s">
        <v>1831</v>
      </c>
      <c r="D66" s="398">
        <v>2373.6</v>
      </c>
      <c r="E66" s="449"/>
      <c r="F66" s="449"/>
      <c r="G66" s="449"/>
      <c r="H66" s="494">
        <v>165.73099999999999</v>
      </c>
      <c r="I66" s="495">
        <v>3.5077777777777777E-2</v>
      </c>
      <c r="J66" s="495">
        <v>165.69592222222221</v>
      </c>
      <c r="K66" s="496">
        <v>1410.2070237011274</v>
      </c>
      <c r="L66" s="497">
        <v>59.4121597447391</v>
      </c>
      <c r="M66" s="495">
        <v>1380.8913284947728</v>
      </c>
      <c r="N66" s="497">
        <v>58.17708664032579</v>
      </c>
      <c r="O66" s="498">
        <v>128</v>
      </c>
      <c r="P66" s="498">
        <v>41.7</v>
      </c>
      <c r="Q66" s="449">
        <v>100</v>
      </c>
      <c r="R66" s="449">
        <v>3</v>
      </c>
      <c r="S66" s="395" t="s">
        <v>50</v>
      </c>
      <c r="T66" s="395" t="s">
        <v>50</v>
      </c>
      <c r="AC66">
        <v>2019</v>
      </c>
      <c r="AD66" t="s">
        <v>102</v>
      </c>
      <c r="AE66">
        <v>17</v>
      </c>
      <c r="AF66" s="105">
        <f>L63</f>
        <v>60.463457194895284</v>
      </c>
    </row>
    <row r="67" spans="1:34">
      <c r="A67" s="487">
        <v>44243</v>
      </c>
      <c r="B67" s="112">
        <v>24</v>
      </c>
      <c r="C67" t="s">
        <v>1832</v>
      </c>
      <c r="D67" s="380">
        <v>2741.9</v>
      </c>
      <c r="E67" s="105"/>
      <c r="F67" s="105"/>
      <c r="G67" s="105"/>
      <c r="H67" s="89">
        <v>207.61789999999999</v>
      </c>
      <c r="I67" s="281">
        <v>3.5077777777777777E-2</v>
      </c>
      <c r="J67" s="281">
        <v>207.58282222222221</v>
      </c>
      <c r="K67" s="488">
        <v>1763.9667333810257</v>
      </c>
      <c r="L67" s="489">
        <v>64.333736948139091</v>
      </c>
      <c r="M67" s="281">
        <v>1729.9720796188362</v>
      </c>
      <c r="N67" s="489">
        <v>63.093915883833702</v>
      </c>
      <c r="O67" s="379">
        <v>128</v>
      </c>
      <c r="P67" s="379">
        <v>41.7</v>
      </c>
      <c r="Q67" s="105">
        <v>100</v>
      </c>
      <c r="R67" s="105">
        <v>3</v>
      </c>
      <c r="S67" t="s">
        <v>50</v>
      </c>
      <c r="T67" t="s">
        <v>50</v>
      </c>
      <c r="AC67">
        <v>2019</v>
      </c>
      <c r="AD67" t="s">
        <v>102</v>
      </c>
      <c r="AE67">
        <v>18</v>
      </c>
      <c r="AF67" s="105">
        <f>L65</f>
        <v>63.798144809911996</v>
      </c>
    </row>
    <row r="68" spans="1:34">
      <c r="A68" s="487">
        <v>44243</v>
      </c>
      <c r="B68" s="112">
        <v>25</v>
      </c>
      <c r="C68" t="s">
        <v>1833</v>
      </c>
      <c r="D68" s="380">
        <v>2904.3</v>
      </c>
      <c r="E68" s="105"/>
      <c r="F68" s="105"/>
      <c r="G68" s="105"/>
      <c r="H68" s="89">
        <v>219.2466</v>
      </c>
      <c r="I68" s="281">
        <v>3.5077777777777777E-2</v>
      </c>
      <c r="J68" s="281">
        <v>219.21152222222221</v>
      </c>
      <c r="K68" s="488">
        <v>1862.1780007690311</v>
      </c>
      <c r="L68" s="489">
        <v>64.11796304682818</v>
      </c>
      <c r="M68" s="281">
        <v>1826.8843679618838</v>
      </c>
      <c r="N68" s="489">
        <v>62.902743103738722</v>
      </c>
      <c r="O68" s="379">
        <v>128</v>
      </c>
      <c r="P68" s="379">
        <v>41.7</v>
      </c>
      <c r="Q68" s="105">
        <v>100</v>
      </c>
      <c r="R68" s="105">
        <v>3</v>
      </c>
      <c r="S68" t="s">
        <v>50</v>
      </c>
      <c r="T68" t="s">
        <v>50</v>
      </c>
      <c r="AC68">
        <v>2019</v>
      </c>
      <c r="AD68" t="s">
        <v>102</v>
      </c>
      <c r="AE68">
        <v>19</v>
      </c>
      <c r="AF68" s="105">
        <f>L67</f>
        <v>64.333736948139091</v>
      </c>
    </row>
    <row r="69" spans="1:34">
      <c r="A69" s="487">
        <v>44243</v>
      </c>
      <c r="B69" s="112">
        <v>26</v>
      </c>
      <c r="C69" t="s">
        <v>1834</v>
      </c>
      <c r="D69" s="380">
        <v>2132.6</v>
      </c>
      <c r="E69" s="105"/>
      <c r="F69" s="105"/>
      <c r="G69" s="105"/>
      <c r="H69" s="89">
        <v>159.3252</v>
      </c>
      <c r="I69" s="281">
        <v>3.5077777777777777E-2</v>
      </c>
      <c r="J69" s="281">
        <v>159.29012222222221</v>
      </c>
      <c r="K69" s="488">
        <v>1356.1062440237702</v>
      </c>
      <c r="L69" s="489">
        <v>63.58933902390369</v>
      </c>
      <c r="M69" s="281">
        <v>1327.5061060135072</v>
      </c>
      <c r="N69" s="489">
        <v>62.248246554136138</v>
      </c>
      <c r="O69" s="379">
        <v>128</v>
      </c>
      <c r="P69" s="379">
        <v>41.7</v>
      </c>
      <c r="Q69" s="105">
        <v>100</v>
      </c>
      <c r="R69" s="105">
        <v>3</v>
      </c>
      <c r="S69" t="s">
        <v>50</v>
      </c>
      <c r="T69" t="s">
        <v>50</v>
      </c>
      <c r="AC69">
        <v>2019</v>
      </c>
      <c r="AD69" t="s">
        <v>102</v>
      </c>
      <c r="AE69">
        <v>20</v>
      </c>
      <c r="AF69" s="105">
        <f t="shared" ref="AF69:AF70" si="15">L68</f>
        <v>64.11796304682818</v>
      </c>
    </row>
    <row r="70" spans="1:34">
      <c r="A70" s="487">
        <v>44243</v>
      </c>
      <c r="B70" s="112">
        <v>27</v>
      </c>
      <c r="C70" t="s">
        <v>1835</v>
      </c>
      <c r="D70" s="380">
        <v>2617.6999999999998</v>
      </c>
      <c r="E70" s="105"/>
      <c r="F70" s="105"/>
      <c r="G70" s="105"/>
      <c r="H70" s="89">
        <v>201.39769999999999</v>
      </c>
      <c r="I70" s="281">
        <v>3.5077777777777777E-2</v>
      </c>
      <c r="J70" s="281">
        <v>201.3626222222222</v>
      </c>
      <c r="K70" s="488">
        <v>1711.4334557655684</v>
      </c>
      <c r="L70" s="489">
        <v>65.379281650516432</v>
      </c>
      <c r="M70" s="281">
        <v>1678.1336268294938</v>
      </c>
      <c r="N70" s="489">
        <v>64.107179081999234</v>
      </c>
      <c r="O70" s="379">
        <v>128</v>
      </c>
      <c r="P70" s="379">
        <v>41.7</v>
      </c>
      <c r="Q70" s="105">
        <v>100</v>
      </c>
      <c r="R70" s="105">
        <v>3</v>
      </c>
      <c r="S70" t="s">
        <v>50</v>
      </c>
      <c r="T70" t="s">
        <v>50</v>
      </c>
      <c r="AC70">
        <v>2019</v>
      </c>
      <c r="AD70" t="s">
        <v>102</v>
      </c>
      <c r="AE70">
        <v>21</v>
      </c>
      <c r="AF70" s="105">
        <f t="shared" si="15"/>
        <v>63.58933902390369</v>
      </c>
    </row>
    <row r="71" spans="1:34">
      <c r="A71" s="487">
        <v>44243</v>
      </c>
      <c r="B71" s="112">
        <v>28</v>
      </c>
      <c r="C71" t="s">
        <v>1821</v>
      </c>
      <c r="D71" s="105"/>
      <c r="E71" s="105"/>
      <c r="F71" s="105"/>
      <c r="G71" s="105"/>
      <c r="H71" s="89">
        <v>0</v>
      </c>
      <c r="I71" s="281">
        <v>3.5077777777777777E-2</v>
      </c>
      <c r="J71" s="281">
        <v>-3.5077777777777777E-2</v>
      </c>
      <c r="K71" s="488">
        <v>10.510449236097601</v>
      </c>
      <c r="L71" s="489"/>
      <c r="M71" s="281">
        <v>-0.29233428624294572</v>
      </c>
      <c r="N71" s="489" t="e">
        <v>#DIV/0!</v>
      </c>
      <c r="O71" s="379">
        <v>128</v>
      </c>
      <c r="P71" s="379">
        <v>41.7</v>
      </c>
      <c r="Q71" s="105">
        <v>100</v>
      </c>
      <c r="R71" s="105">
        <v>3</v>
      </c>
      <c r="S71" t="s">
        <v>50</v>
      </c>
      <c r="T71" t="s">
        <v>50</v>
      </c>
    </row>
    <row r="72" spans="1:34">
      <c r="A72" s="487">
        <v>44243</v>
      </c>
      <c r="B72" s="112">
        <v>29</v>
      </c>
      <c r="C72" t="s">
        <v>1847</v>
      </c>
      <c r="D72" s="105">
        <v>2192.6</v>
      </c>
      <c r="E72" s="105"/>
      <c r="F72" s="105"/>
      <c r="G72" s="105">
        <v>2192.1614799999998</v>
      </c>
      <c r="H72" s="89">
        <v>152.18360000000001</v>
      </c>
      <c r="I72" s="281">
        <v>3.5077777777777777E-2</v>
      </c>
      <c r="J72" s="281">
        <v>152.14852222222223</v>
      </c>
      <c r="K72" s="488">
        <v>1295.7911970126531</v>
      </c>
      <c r="L72" s="489">
        <v>59.110207383657396</v>
      </c>
      <c r="M72" s="281">
        <v>1267.9888084281617</v>
      </c>
      <c r="N72" s="489">
        <v>57.830375281773321</v>
      </c>
      <c r="O72" s="379">
        <v>128</v>
      </c>
      <c r="P72" s="379">
        <v>41.7</v>
      </c>
      <c r="Q72" s="105">
        <v>100</v>
      </c>
      <c r="R72" s="105">
        <v>3</v>
      </c>
      <c r="S72" t="s">
        <v>50</v>
      </c>
      <c r="T72" t="s">
        <v>50</v>
      </c>
    </row>
    <row r="73" spans="1:34">
      <c r="A73" s="487">
        <v>44243</v>
      </c>
      <c r="B73" s="112">
        <v>30</v>
      </c>
      <c r="C73" t="s">
        <v>1822</v>
      </c>
      <c r="D73" s="105"/>
      <c r="E73" s="105"/>
      <c r="F73" s="105"/>
      <c r="G73" s="105"/>
      <c r="H73" s="89">
        <v>1.8805000000000001</v>
      </c>
      <c r="I73" s="281">
        <v>3.5077777777777777E-2</v>
      </c>
      <c r="J73" s="281">
        <v>1.8454222222222223</v>
      </c>
      <c r="K73" s="488">
        <v>26.392386883740397</v>
      </c>
      <c r="L73" s="489"/>
      <c r="M73" s="281">
        <v>15.379542899435656</v>
      </c>
      <c r="N73" s="489" t="e">
        <v>#DIV/0!</v>
      </c>
      <c r="O73" s="379">
        <v>128</v>
      </c>
      <c r="P73" s="379">
        <v>41.7</v>
      </c>
      <c r="Q73" s="105">
        <v>100</v>
      </c>
      <c r="R73" s="105">
        <v>3</v>
      </c>
      <c r="S73" t="s">
        <v>50</v>
      </c>
      <c r="T73" t="s">
        <v>50</v>
      </c>
    </row>
    <row r="76" spans="1:34">
      <c r="A76" s="483" t="s">
        <v>1859</v>
      </c>
      <c r="B76" s="112"/>
      <c r="D76" s="105"/>
      <c r="E76" s="105"/>
      <c r="F76" s="105"/>
      <c r="G76" s="105"/>
      <c r="H76" s="446"/>
      <c r="I76" s="281"/>
      <c r="J76" s="105"/>
      <c r="K76" s="484"/>
      <c r="L76" s="485"/>
      <c r="M76" s="105"/>
      <c r="N76" s="485"/>
      <c r="O76" s="379"/>
      <c r="P76" s="379"/>
      <c r="Q76" s="105"/>
      <c r="R76" s="105"/>
    </row>
    <row r="77" spans="1:34">
      <c r="A77" s="486" t="s">
        <v>1799</v>
      </c>
      <c r="B77" s="112"/>
      <c r="D77" s="105"/>
      <c r="E77" s="105"/>
      <c r="F77" s="105"/>
      <c r="G77" s="105"/>
      <c r="H77" s="446"/>
      <c r="I77" s="281"/>
      <c r="J77" s="105"/>
      <c r="K77" s="484"/>
      <c r="L77" s="485"/>
      <c r="M77" s="105"/>
      <c r="N77" s="485"/>
      <c r="O77" s="379"/>
      <c r="P77" s="379"/>
      <c r="Q77" s="105"/>
      <c r="R77" s="105"/>
    </row>
    <row r="78" spans="1:34">
      <c r="A78" s="483" t="s">
        <v>1860</v>
      </c>
      <c r="B78" s="112"/>
      <c r="D78" s="105"/>
      <c r="E78" s="105"/>
      <c r="F78" s="105"/>
      <c r="G78" s="105"/>
      <c r="H78" s="446"/>
      <c r="I78" s="105"/>
      <c r="J78" s="105"/>
      <c r="K78" s="484"/>
      <c r="L78" s="485"/>
      <c r="M78" s="105"/>
      <c r="N78" s="485"/>
      <c r="O78" s="105"/>
      <c r="P78" s="105"/>
      <c r="Q78" s="105"/>
      <c r="R78" s="105"/>
      <c r="X78" s="487">
        <f>A83</f>
        <v>44245</v>
      </c>
    </row>
    <row r="79" spans="1:34">
      <c r="A79" s="487">
        <v>44245</v>
      </c>
      <c r="B79" s="112">
        <v>1</v>
      </c>
      <c r="C79" s="76" t="s">
        <v>1715</v>
      </c>
      <c r="D79" s="105"/>
      <c r="E79" s="105"/>
      <c r="F79" s="105"/>
      <c r="G79" s="89"/>
      <c r="H79" s="89">
        <v>0.18390000000000001</v>
      </c>
      <c r="I79" s="281"/>
      <c r="J79" s="281"/>
      <c r="K79" s="484"/>
      <c r="L79" s="485"/>
      <c r="M79" s="105"/>
      <c r="N79" s="485"/>
      <c r="O79" s="105"/>
      <c r="P79" s="105"/>
      <c r="Q79" s="105"/>
      <c r="R79" s="105"/>
      <c r="X79" s="105">
        <f>((J81-INDEX(LINEST($J$81:$J$86,$G$81:$G$86),2))/INDEX(LINEST($J$81:$J$86,$G$81:$G$86),1)/100.09)*12.01</f>
        <v>0.22280879293616326</v>
      </c>
      <c r="Y79" s="105">
        <f>(J81-X79)^2</f>
        <v>2.7383025701558481E-3</v>
      </c>
    </row>
    <row r="80" spans="1:34">
      <c r="A80" s="487">
        <v>44245</v>
      </c>
      <c r="B80" s="112">
        <v>2</v>
      </c>
      <c r="C80" s="76" t="s">
        <v>1801</v>
      </c>
      <c r="D80" s="105"/>
      <c r="E80" s="105"/>
      <c r="F80" s="105"/>
      <c r="G80" s="89"/>
      <c r="H80" s="89">
        <v>0.1242</v>
      </c>
      <c r="I80" s="281"/>
      <c r="J80" s="281"/>
      <c r="K80" s="484"/>
      <c r="L80" s="485"/>
      <c r="M80" s="105"/>
      <c r="N80" s="485"/>
      <c r="O80" s="105"/>
      <c r="P80" s="105"/>
      <c r="Q80" s="105"/>
      <c r="R80" s="105"/>
      <c r="X80" s="105">
        <f t="shared" ref="X80:X84" si="16">((J82-INDEX(LINEST($J$81:$J$86,$G$81:$G$86),2))/INDEX(LINEST($J$81:$J$86,$G$81:$G$86),1)/100.09)*12.01</f>
        <v>41.360119121483507</v>
      </c>
      <c r="Y80" s="105">
        <f t="shared" ref="Y80:Y84" si="17">(J82-X80)^2</f>
        <v>0.45697481224647302</v>
      </c>
    </row>
    <row r="81" spans="1:27">
      <c r="A81" s="487">
        <v>44245</v>
      </c>
      <c r="B81" s="112">
        <v>3</v>
      </c>
      <c r="C81" s="76" t="s">
        <v>1802</v>
      </c>
      <c r="D81" s="105"/>
      <c r="E81" s="105"/>
      <c r="F81" s="105"/>
      <c r="G81" s="89">
        <v>0</v>
      </c>
      <c r="H81" s="89">
        <v>0.184</v>
      </c>
      <c r="I81" s="281">
        <v>0.17048000000000002</v>
      </c>
      <c r="J81" s="281">
        <v>0.17048000000000002</v>
      </c>
      <c r="K81" s="484"/>
      <c r="L81" s="485"/>
      <c r="M81" s="105"/>
      <c r="N81" s="485"/>
      <c r="O81" s="105"/>
      <c r="P81" s="105"/>
      <c r="Q81" s="105"/>
      <c r="R81" s="105"/>
      <c r="X81" s="105">
        <f t="shared" si="16"/>
        <v>153.15947537134178</v>
      </c>
      <c r="Y81" s="105">
        <f t="shared" si="17"/>
        <v>5.6214293728944336</v>
      </c>
    </row>
    <row r="82" spans="1:27">
      <c r="A82" s="487">
        <v>44245</v>
      </c>
      <c r="B82" s="112">
        <v>4</v>
      </c>
      <c r="C82" t="s">
        <v>1861</v>
      </c>
      <c r="D82" s="281">
        <v>352.3</v>
      </c>
      <c r="E82" s="105"/>
      <c r="F82" s="105"/>
      <c r="G82" s="281">
        <v>352.22954000000004</v>
      </c>
      <c r="H82" s="89">
        <v>40.854599999999998</v>
      </c>
      <c r="I82" s="281">
        <v>0.17048000000000002</v>
      </c>
      <c r="J82" s="281">
        <v>40.68412</v>
      </c>
      <c r="K82" s="488">
        <v>344.69061805739256</v>
      </c>
      <c r="L82" s="489">
        <v>97.859656534597434</v>
      </c>
      <c r="M82" s="281">
        <v>339.05691680266449</v>
      </c>
      <c r="N82" s="489">
        <v>96.260216222257924</v>
      </c>
      <c r="O82" s="379">
        <v>128</v>
      </c>
      <c r="P82" s="379">
        <v>41.7</v>
      </c>
      <c r="Q82" s="105">
        <v>100</v>
      </c>
      <c r="R82" s="105">
        <v>3</v>
      </c>
      <c r="S82" t="s">
        <v>50</v>
      </c>
      <c r="T82" t="s">
        <v>50</v>
      </c>
      <c r="X82" s="105">
        <f t="shared" si="16"/>
        <v>269.08173775498699</v>
      </c>
      <c r="Y82" s="105">
        <f t="shared" si="17"/>
        <v>17.043833159691651</v>
      </c>
    </row>
    <row r="83" spans="1:27">
      <c r="A83" s="487">
        <v>44245</v>
      </c>
      <c r="B83" s="112">
        <v>5</v>
      </c>
      <c r="C83" t="s">
        <v>1862</v>
      </c>
      <c r="D83" s="281">
        <v>1267.4000000000001</v>
      </c>
      <c r="E83" s="105"/>
      <c r="F83" s="105"/>
      <c r="G83" s="281">
        <v>1267.14652</v>
      </c>
      <c r="H83" s="89">
        <v>150.959</v>
      </c>
      <c r="I83" s="281">
        <v>0.17048000000000002</v>
      </c>
      <c r="J83" s="281">
        <v>150.78852000000001</v>
      </c>
      <c r="K83" s="488">
        <v>1276.4139791771524</v>
      </c>
      <c r="L83" s="489">
        <v>100.73136445003632</v>
      </c>
      <c r="M83" s="281">
        <v>1256.6547016486263</v>
      </c>
      <c r="N83" s="489">
        <v>99.172012219125719</v>
      </c>
      <c r="O83" s="379">
        <v>128</v>
      </c>
      <c r="P83" s="379">
        <v>41.7</v>
      </c>
      <c r="Q83" s="105">
        <v>100</v>
      </c>
      <c r="R83" s="105">
        <v>3</v>
      </c>
      <c r="S83" t="s">
        <v>50</v>
      </c>
      <c r="T83" t="s">
        <v>50</v>
      </c>
      <c r="X83" s="105">
        <f t="shared" si="16"/>
        <v>340.31061726907825</v>
      </c>
      <c r="Y83" s="105">
        <f>(J85-X83)^2</f>
        <v>27.126360443087748</v>
      </c>
    </row>
    <row r="84" spans="1:27" ht="15.5">
      <c r="A84" s="487">
        <v>44245</v>
      </c>
      <c r="B84" s="112">
        <v>6</v>
      </c>
      <c r="C84" t="s">
        <v>1863</v>
      </c>
      <c r="D84" s="281">
        <v>2256.4</v>
      </c>
      <c r="E84" s="105"/>
      <c r="F84" s="105"/>
      <c r="G84" s="281">
        <v>2255.9487200000003</v>
      </c>
      <c r="H84" s="89">
        <v>265.12380000000002</v>
      </c>
      <c r="I84" s="281">
        <v>0.17048000000000002</v>
      </c>
      <c r="J84" s="281">
        <v>264.95332000000002</v>
      </c>
      <c r="K84" s="488">
        <v>2242.4971800080475</v>
      </c>
      <c r="L84" s="489">
        <v>99.40373024117531</v>
      </c>
      <c r="M84" s="281">
        <v>2208.0914070607828</v>
      </c>
      <c r="N84" s="489">
        <v>97.878616986505889</v>
      </c>
      <c r="O84" s="379">
        <v>128</v>
      </c>
      <c r="P84" s="379">
        <v>41.7</v>
      </c>
      <c r="Q84" s="105">
        <v>100</v>
      </c>
      <c r="R84" s="105">
        <v>3</v>
      </c>
      <c r="S84" t="s">
        <v>50</v>
      </c>
      <c r="T84" t="s">
        <v>50</v>
      </c>
      <c r="X84" s="105">
        <f t="shared" si="16"/>
        <v>446.50773974592346</v>
      </c>
      <c r="Y84" s="105">
        <f t="shared" si="17"/>
        <v>46.489484157649954</v>
      </c>
      <c r="AA84" s="227" t="s">
        <v>1935</v>
      </c>
    </row>
    <row r="85" spans="1:27" ht="15.5">
      <c r="A85" s="487">
        <v>44245</v>
      </c>
      <c r="B85" s="112">
        <v>7</v>
      </c>
      <c r="C85" t="s">
        <v>1864</v>
      </c>
      <c r="D85" s="281">
        <v>2819.6</v>
      </c>
      <c r="E85" s="105"/>
      <c r="F85" s="105"/>
      <c r="G85" s="281">
        <v>2819.0360799999999</v>
      </c>
      <c r="H85" s="89">
        <v>335.27280000000002</v>
      </c>
      <c r="I85" s="281">
        <v>0.17048000000000002</v>
      </c>
      <c r="J85" s="281">
        <v>335.10232000000002</v>
      </c>
      <c r="K85" s="488">
        <v>2836.1107146096624</v>
      </c>
      <c r="L85" s="489">
        <v>100.60569053127062</v>
      </c>
      <c r="M85" s="281">
        <v>2792.7053462781014</v>
      </c>
      <c r="N85" s="489">
        <v>99.06596677109934</v>
      </c>
      <c r="O85" s="379">
        <v>128</v>
      </c>
      <c r="P85" s="379">
        <v>41.7</v>
      </c>
      <c r="Q85" s="105">
        <v>100</v>
      </c>
      <c r="R85" s="105">
        <v>3</v>
      </c>
      <c r="S85" t="s">
        <v>50</v>
      </c>
      <c r="T85" t="s">
        <v>50</v>
      </c>
      <c r="Y85" s="226">
        <f>SQRT(SUM(Y79:Y84)/(6-2))</f>
        <v>4.9178455711861373</v>
      </c>
      <c r="Z85" s="227" t="s">
        <v>1936</v>
      </c>
      <c r="AA85" s="226">
        <f>(Y85/$AK$15)*100</f>
        <v>2.5279035082240191</v>
      </c>
    </row>
    <row r="86" spans="1:27" ht="15.5">
      <c r="A86" s="487">
        <v>44245</v>
      </c>
      <c r="B86" s="112">
        <v>8</v>
      </c>
      <c r="C86" t="s">
        <v>1865</v>
      </c>
      <c r="D86" s="281">
        <v>3729.1</v>
      </c>
      <c r="E86" s="105"/>
      <c r="F86" s="105"/>
      <c r="G86" s="281">
        <v>3728.3541799999998</v>
      </c>
      <c r="H86" s="89">
        <v>439.85989999999998</v>
      </c>
      <c r="I86" s="281">
        <v>0.17048000000000002</v>
      </c>
      <c r="J86" s="281">
        <v>439.68941999999998</v>
      </c>
      <c r="K86" s="488">
        <v>3721.1456845270172</v>
      </c>
      <c r="L86" s="489">
        <v>99.806657438511309</v>
      </c>
      <c r="M86" s="281">
        <v>3664.3225685095758</v>
      </c>
      <c r="N86" s="489">
        <v>98.282577019267407</v>
      </c>
      <c r="O86" s="379">
        <v>128</v>
      </c>
      <c r="P86" s="379">
        <v>41.7</v>
      </c>
      <c r="Q86" s="105">
        <v>100</v>
      </c>
      <c r="R86" s="105">
        <v>3</v>
      </c>
      <c r="S86" t="s">
        <v>50</v>
      </c>
      <c r="T86" t="s">
        <v>50</v>
      </c>
      <c r="Y86" s="226">
        <f>(Y85/12.01)*100.09</f>
        <v>40.984776288094963</v>
      </c>
      <c r="Z86" s="227" t="s">
        <v>1937</v>
      </c>
    </row>
    <row r="87" spans="1:27">
      <c r="A87" s="487">
        <v>44245</v>
      </c>
      <c r="B87" s="112">
        <v>9</v>
      </c>
      <c r="C87" t="s">
        <v>1803</v>
      </c>
      <c r="D87" s="105"/>
      <c r="E87" s="105"/>
      <c r="F87" s="105"/>
      <c r="G87" s="105"/>
      <c r="H87" s="89">
        <v>0</v>
      </c>
      <c r="I87" s="281">
        <v>0.17048000000000002</v>
      </c>
      <c r="J87" s="281">
        <v>-0.17048000000000002</v>
      </c>
      <c r="K87" s="488">
        <v>-1.0284016112432142</v>
      </c>
      <c r="L87" s="489"/>
      <c r="M87" s="281">
        <v>-1.4207612989175689</v>
      </c>
      <c r="N87" s="489"/>
      <c r="O87" s="379">
        <v>128</v>
      </c>
      <c r="P87" s="379">
        <v>41.7</v>
      </c>
      <c r="Q87" s="105">
        <v>100</v>
      </c>
      <c r="R87" s="105">
        <v>3</v>
      </c>
      <c r="S87" t="s">
        <v>50</v>
      </c>
      <c r="T87" t="s">
        <v>50</v>
      </c>
    </row>
    <row r="88" spans="1:27">
      <c r="A88" s="487">
        <v>44245</v>
      </c>
      <c r="B88" s="112">
        <v>10</v>
      </c>
      <c r="C88" t="s">
        <v>1804</v>
      </c>
      <c r="D88" s="105"/>
      <c r="E88" s="105"/>
      <c r="F88" s="105"/>
      <c r="G88" s="105"/>
      <c r="H88" s="89">
        <v>0.14630000000000001</v>
      </c>
      <c r="I88" s="281">
        <v>0.17048000000000002</v>
      </c>
      <c r="J88" s="281">
        <v>-2.4180000000000007E-2</v>
      </c>
      <c r="K88" s="488">
        <v>0.20961546829058161</v>
      </c>
      <c r="L88" s="489"/>
      <c r="M88" s="281">
        <v>-0.20151342214820989</v>
      </c>
      <c r="N88" s="489"/>
      <c r="O88" s="379">
        <v>128</v>
      </c>
      <c r="P88" s="379">
        <v>41.7</v>
      </c>
      <c r="Q88" s="105">
        <v>100</v>
      </c>
      <c r="R88" s="105">
        <v>3</v>
      </c>
      <c r="S88" t="s">
        <v>50</v>
      </c>
      <c r="T88" t="s">
        <v>50</v>
      </c>
    </row>
    <row r="89" spans="1:27">
      <c r="A89" s="487">
        <v>44245</v>
      </c>
      <c r="B89" s="112">
        <v>11</v>
      </c>
      <c r="C89" t="s">
        <v>1805</v>
      </c>
      <c r="D89" s="105"/>
      <c r="E89" s="105"/>
      <c r="F89" s="105"/>
      <c r="G89" s="105"/>
      <c r="H89" s="89">
        <v>0.2281</v>
      </c>
      <c r="I89" s="281">
        <v>0.17048000000000002</v>
      </c>
      <c r="J89" s="281">
        <v>5.7619999999999977E-2</v>
      </c>
      <c r="K89" s="488">
        <v>0.90182187366217748</v>
      </c>
      <c r="L89" s="489"/>
      <c r="M89" s="281">
        <v>0.48019865112406313</v>
      </c>
      <c r="N89" s="489"/>
      <c r="O89" s="379">
        <v>128</v>
      </c>
      <c r="P89" s="379">
        <v>41.7</v>
      </c>
      <c r="Q89" s="105">
        <v>100</v>
      </c>
      <c r="R89" s="105">
        <v>3</v>
      </c>
      <c r="S89" t="s">
        <v>50</v>
      </c>
      <c r="T89" t="s">
        <v>50</v>
      </c>
    </row>
    <row r="90" spans="1:27">
      <c r="A90" s="487">
        <v>44245</v>
      </c>
      <c r="B90" s="112">
        <v>12</v>
      </c>
      <c r="C90" s="66" t="s">
        <v>1806</v>
      </c>
      <c r="D90" s="490">
        <v>1249.0999999999999</v>
      </c>
      <c r="E90" s="263"/>
      <c r="F90" s="263"/>
      <c r="G90" s="263"/>
      <c r="H90" s="89">
        <v>18.018599999999999</v>
      </c>
      <c r="I90" s="490">
        <v>0.17048000000000002</v>
      </c>
      <c r="J90" s="281">
        <v>17.848119999999998</v>
      </c>
      <c r="K90" s="488">
        <v>151.44825286098953</v>
      </c>
      <c r="L90" s="491">
        <v>12.124589933631377</v>
      </c>
      <c r="M90" s="490">
        <v>148.74424069941716</v>
      </c>
      <c r="N90" s="491">
        <v>11.90811309738349</v>
      </c>
      <c r="O90" s="379">
        <v>128</v>
      </c>
      <c r="P90" s="379">
        <v>41.7</v>
      </c>
      <c r="Q90" s="105">
        <v>100</v>
      </c>
      <c r="R90" s="105">
        <v>3</v>
      </c>
      <c r="S90" t="s">
        <v>50</v>
      </c>
      <c r="T90" t="s">
        <v>50</v>
      </c>
    </row>
    <row r="91" spans="1:27">
      <c r="A91" s="487">
        <v>44245</v>
      </c>
      <c r="B91" s="112">
        <v>13</v>
      </c>
      <c r="C91" s="66" t="s">
        <v>1806</v>
      </c>
      <c r="D91" s="490">
        <v>2432</v>
      </c>
      <c r="E91" s="263"/>
      <c r="F91" s="263"/>
      <c r="G91" s="263"/>
      <c r="H91" s="89">
        <v>35.679000000000002</v>
      </c>
      <c r="I91" s="490">
        <v>0.17048000000000002</v>
      </c>
      <c r="J91" s="281">
        <v>35.508520000000004</v>
      </c>
      <c r="K91" s="488">
        <v>300.89375410089832</v>
      </c>
      <c r="L91" s="491">
        <v>12.372276073227727</v>
      </c>
      <c r="M91" s="490">
        <v>295.9240438634472</v>
      </c>
      <c r="N91" s="491">
        <v>12.167929435174637</v>
      </c>
      <c r="O91" s="379">
        <v>128</v>
      </c>
      <c r="P91" s="379">
        <v>41.7</v>
      </c>
      <c r="Q91" s="105">
        <v>100</v>
      </c>
      <c r="R91" s="105">
        <v>3</v>
      </c>
      <c r="S91" t="s">
        <v>50</v>
      </c>
      <c r="T91" t="s">
        <v>50</v>
      </c>
    </row>
    <row r="92" spans="1:27">
      <c r="A92" s="487">
        <v>44245</v>
      </c>
      <c r="B92" s="112">
        <v>14</v>
      </c>
      <c r="C92" t="s">
        <v>1807</v>
      </c>
      <c r="D92" s="105"/>
      <c r="E92" s="105"/>
      <c r="F92" s="105"/>
      <c r="G92" s="105"/>
      <c r="H92" s="89">
        <v>0.28199999999999997</v>
      </c>
      <c r="I92" s="281">
        <v>0.17048000000000002</v>
      </c>
      <c r="J92" s="281">
        <v>0.11151999999999995</v>
      </c>
      <c r="K92" s="488">
        <v>1.3579334292798915</v>
      </c>
      <c r="L92" s="489"/>
      <c r="M92" s="281">
        <v>0.92939523730224782</v>
      </c>
      <c r="N92" s="489" t="e">
        <v>#DIV/0!</v>
      </c>
      <c r="O92" s="379">
        <v>128</v>
      </c>
      <c r="P92" s="379">
        <v>41.7</v>
      </c>
      <c r="Q92" s="105">
        <v>100</v>
      </c>
      <c r="R92" s="105">
        <v>3</v>
      </c>
      <c r="S92" t="s">
        <v>50</v>
      </c>
      <c r="T92" t="s">
        <v>50</v>
      </c>
    </row>
    <row r="93" spans="1:27">
      <c r="A93" s="487">
        <v>44245</v>
      </c>
      <c r="B93" s="112">
        <v>15</v>
      </c>
      <c r="C93" t="s">
        <v>1866</v>
      </c>
      <c r="D93" s="398">
        <v>2606.1</v>
      </c>
      <c r="E93" s="105"/>
      <c r="F93" s="105"/>
      <c r="G93" s="105"/>
      <c r="H93" s="89">
        <v>198.70910000000001</v>
      </c>
      <c r="I93" s="281">
        <v>0.17048000000000002</v>
      </c>
      <c r="J93" s="281">
        <v>198.53862000000001</v>
      </c>
      <c r="K93" s="488">
        <v>1680.4839678951751</v>
      </c>
      <c r="L93" s="489">
        <v>64.482712401487859</v>
      </c>
      <c r="M93" s="281">
        <v>1654.5987073938388</v>
      </c>
      <c r="N93" s="489">
        <v>63.489455791943477</v>
      </c>
      <c r="O93" s="379">
        <v>128</v>
      </c>
      <c r="P93" s="379">
        <v>41.7</v>
      </c>
      <c r="Q93" s="105">
        <v>100</v>
      </c>
      <c r="R93" s="105">
        <v>3</v>
      </c>
      <c r="S93" t="s">
        <v>50</v>
      </c>
      <c r="T93" t="s">
        <v>50</v>
      </c>
    </row>
    <row r="94" spans="1:27" s="395" customFormat="1">
      <c r="A94" s="492">
        <v>44245</v>
      </c>
      <c r="B94" s="493">
        <v>16</v>
      </c>
      <c r="C94" s="395" t="s">
        <v>1867</v>
      </c>
      <c r="D94" s="398">
        <v>2137.4</v>
      </c>
      <c r="E94" s="449"/>
      <c r="F94" s="449"/>
      <c r="G94" s="449"/>
      <c r="H94" s="494">
        <v>178.1583</v>
      </c>
      <c r="I94" s="495">
        <v>0.17048000000000002</v>
      </c>
      <c r="J94" s="495">
        <v>177.98782</v>
      </c>
      <c r="K94" s="488">
        <v>1506.5793787080038</v>
      </c>
      <c r="L94" s="497">
        <v>70.486543403574615</v>
      </c>
      <c r="M94" s="495">
        <v>1483.3306331223982</v>
      </c>
      <c r="N94" s="497">
        <v>69.398831904294852</v>
      </c>
      <c r="O94" s="498">
        <v>128</v>
      </c>
      <c r="P94" s="498">
        <v>41.7</v>
      </c>
      <c r="Q94" s="449">
        <v>100</v>
      </c>
      <c r="R94" s="449">
        <v>3</v>
      </c>
      <c r="S94" s="395" t="s">
        <v>50</v>
      </c>
      <c r="T94" s="395" t="s">
        <v>50</v>
      </c>
    </row>
    <row r="95" spans="1:27">
      <c r="A95" s="487">
        <v>44245</v>
      </c>
      <c r="B95" s="112">
        <v>17</v>
      </c>
      <c r="C95" t="s">
        <v>1868</v>
      </c>
      <c r="D95" s="398">
        <v>2301.1</v>
      </c>
      <c r="E95" s="105"/>
      <c r="F95" s="105"/>
      <c r="G95" s="105"/>
      <c r="H95" s="89">
        <v>160.5224</v>
      </c>
      <c r="I95" s="281">
        <v>0.17048000000000002</v>
      </c>
      <c r="J95" s="281">
        <v>160.35192000000001</v>
      </c>
      <c r="K95" s="488">
        <v>1357.3412009024669</v>
      </c>
      <c r="L95" s="489">
        <v>58.986623827841768</v>
      </c>
      <c r="M95" s="281">
        <v>1336.3550102248128</v>
      </c>
      <c r="N95" s="489">
        <v>58.074616932111283</v>
      </c>
      <c r="O95" s="379">
        <v>128</v>
      </c>
      <c r="P95" s="379">
        <v>41.7</v>
      </c>
      <c r="Q95" s="105">
        <v>100</v>
      </c>
      <c r="R95" s="105">
        <v>3</v>
      </c>
      <c r="S95" t="s">
        <v>50</v>
      </c>
      <c r="T95" t="s">
        <v>50</v>
      </c>
    </row>
    <row r="96" spans="1:27">
      <c r="A96" s="487">
        <v>44245</v>
      </c>
      <c r="B96" s="112">
        <v>18</v>
      </c>
      <c r="C96" t="s">
        <v>1869</v>
      </c>
      <c r="D96" s="398">
        <v>2673.3</v>
      </c>
      <c r="E96" s="105"/>
      <c r="F96" s="105"/>
      <c r="G96" s="105"/>
      <c r="H96" s="89">
        <v>176.93790000000001</v>
      </c>
      <c r="I96" s="281">
        <v>0.17048000000000002</v>
      </c>
      <c r="J96" s="281">
        <v>176.76742000000002</v>
      </c>
      <c r="K96" s="488">
        <v>1496.2521330219954</v>
      </c>
      <c r="L96" s="489">
        <v>55.970229043578925</v>
      </c>
      <c r="M96" s="281">
        <v>1473.1599556869278</v>
      </c>
      <c r="N96" s="489">
        <v>55.106421115734399</v>
      </c>
      <c r="O96" s="379">
        <v>128</v>
      </c>
      <c r="P96" s="379">
        <v>41.7</v>
      </c>
      <c r="Q96" s="105">
        <v>100</v>
      </c>
      <c r="R96" s="105">
        <v>3</v>
      </c>
      <c r="S96" t="s">
        <v>50</v>
      </c>
      <c r="T96" t="s">
        <v>50</v>
      </c>
    </row>
    <row r="97" spans="1:20">
      <c r="A97" s="487">
        <v>44245</v>
      </c>
      <c r="B97" s="112">
        <v>19</v>
      </c>
      <c r="C97" t="s">
        <v>1870</v>
      </c>
      <c r="D97" s="398">
        <v>2415.6</v>
      </c>
      <c r="E97" s="105"/>
      <c r="F97" s="105"/>
      <c r="G97" s="105"/>
      <c r="H97" s="89">
        <v>170.64879999999999</v>
      </c>
      <c r="I97" s="281">
        <v>0.17048000000000002</v>
      </c>
      <c r="J97" s="281">
        <v>170.47832</v>
      </c>
      <c r="K97" s="488">
        <v>1443.0326305278327</v>
      </c>
      <c r="L97" s="489">
        <v>59.738062201019737</v>
      </c>
      <c r="M97" s="281">
        <v>1420.7472979850124</v>
      </c>
      <c r="N97" s="489">
        <v>58.815503311186141</v>
      </c>
      <c r="O97" s="379">
        <v>128</v>
      </c>
      <c r="P97" s="379">
        <v>41.7</v>
      </c>
      <c r="Q97" s="105">
        <v>100</v>
      </c>
      <c r="R97" s="105">
        <v>3</v>
      </c>
      <c r="S97" t="s">
        <v>50</v>
      </c>
      <c r="T97" t="s">
        <v>50</v>
      </c>
    </row>
    <row r="98" spans="1:20">
      <c r="A98" s="487">
        <v>44245</v>
      </c>
      <c r="B98" s="112">
        <v>20</v>
      </c>
      <c r="C98" t="s">
        <v>1871</v>
      </c>
      <c r="D98" s="398">
        <v>2316.6999999999998</v>
      </c>
      <c r="E98" s="105"/>
      <c r="F98" s="105"/>
      <c r="G98" s="105"/>
      <c r="H98" s="89">
        <v>164.00810000000001</v>
      </c>
      <c r="I98" s="281">
        <v>0.17048000000000002</v>
      </c>
      <c r="J98" s="281">
        <v>163.83762000000002</v>
      </c>
      <c r="K98" s="488">
        <v>1386.8378251959116</v>
      </c>
      <c r="L98" s="489">
        <v>59.862641912889522</v>
      </c>
      <c r="M98" s="281">
        <v>1365.4044451124066</v>
      </c>
      <c r="N98" s="489">
        <v>58.93747335055928</v>
      </c>
      <c r="O98" s="379">
        <v>128</v>
      </c>
      <c r="P98" s="379">
        <v>41.7</v>
      </c>
      <c r="Q98" s="105">
        <v>100</v>
      </c>
      <c r="R98" s="105">
        <v>3</v>
      </c>
      <c r="S98" t="s">
        <v>50</v>
      </c>
      <c r="T98" t="s">
        <v>50</v>
      </c>
    </row>
    <row r="99" spans="1:20">
      <c r="A99" s="487">
        <v>44245</v>
      </c>
      <c r="B99" s="112">
        <v>21</v>
      </c>
      <c r="C99" t="s">
        <v>1814</v>
      </c>
      <c r="D99" s="449"/>
      <c r="E99" s="105"/>
      <c r="F99" s="105"/>
      <c r="G99" s="105"/>
      <c r="H99" s="89">
        <v>0.3659</v>
      </c>
      <c r="I99" s="281">
        <v>0.17048000000000002</v>
      </c>
      <c r="J99" s="281">
        <v>0.19541999999999998</v>
      </c>
      <c r="K99" s="488">
        <v>2.0679104147404894</v>
      </c>
      <c r="L99" s="489"/>
      <c r="M99" s="281">
        <v>1.6286084762697752</v>
      </c>
      <c r="N99" s="489" t="e">
        <v>#DIV/0!</v>
      </c>
      <c r="O99" s="379">
        <v>128</v>
      </c>
      <c r="P99" s="379">
        <v>41.7</v>
      </c>
      <c r="Q99" s="105">
        <v>100</v>
      </c>
      <c r="R99" s="105">
        <v>3</v>
      </c>
      <c r="S99" t="s">
        <v>50</v>
      </c>
      <c r="T99" t="s">
        <v>50</v>
      </c>
    </row>
    <row r="100" spans="1:20" s="395" customFormat="1">
      <c r="A100" s="492">
        <v>44245</v>
      </c>
      <c r="B100" s="493">
        <v>22</v>
      </c>
      <c r="C100" s="395" t="s">
        <v>1872</v>
      </c>
      <c r="D100" s="398">
        <v>2374</v>
      </c>
      <c r="E100" s="449"/>
      <c r="F100" s="449"/>
      <c r="G100" s="449"/>
      <c r="H100" s="494">
        <v>198.2107</v>
      </c>
      <c r="I100" s="495">
        <v>0.17048000000000002</v>
      </c>
      <c r="J100" s="495">
        <v>198.04022000000001</v>
      </c>
      <c r="K100" s="488">
        <v>1676.2664168873853</v>
      </c>
      <c r="L100" s="497">
        <v>70.609368866359958</v>
      </c>
      <c r="M100" s="495">
        <v>1650.4450974021652</v>
      </c>
      <c r="N100" s="497">
        <v>69.521697447437447</v>
      </c>
      <c r="O100" s="498">
        <v>128</v>
      </c>
      <c r="P100" s="498">
        <v>41.7</v>
      </c>
      <c r="Q100" s="449">
        <v>100</v>
      </c>
      <c r="R100" s="449">
        <v>3</v>
      </c>
      <c r="S100" s="395" t="s">
        <v>50</v>
      </c>
      <c r="T100" s="395" t="s">
        <v>50</v>
      </c>
    </row>
    <row r="101" spans="1:20">
      <c r="A101" s="487">
        <v>44245</v>
      </c>
      <c r="B101" s="112">
        <v>23</v>
      </c>
      <c r="C101" t="s">
        <v>1873</v>
      </c>
      <c r="D101" s="398">
        <v>2843.9</v>
      </c>
      <c r="E101" s="105"/>
      <c r="F101" s="105"/>
      <c r="G101" s="105"/>
      <c r="H101" s="89">
        <v>208.2338</v>
      </c>
      <c r="I101" s="281">
        <v>0.17048000000000002</v>
      </c>
      <c r="J101" s="281">
        <v>208.06332</v>
      </c>
      <c r="K101" s="488">
        <v>1761.083703215992</v>
      </c>
      <c r="L101" s="489">
        <v>61.924951763985788</v>
      </c>
      <c r="M101" s="281">
        <v>1733.9764944879266</v>
      </c>
      <c r="N101" s="489">
        <v>60.971781514396653</v>
      </c>
      <c r="O101" s="379">
        <v>128</v>
      </c>
      <c r="P101" s="379">
        <v>41.7</v>
      </c>
      <c r="Q101" s="105">
        <v>100</v>
      </c>
      <c r="R101" s="105">
        <v>3</v>
      </c>
      <c r="S101" t="s">
        <v>50</v>
      </c>
      <c r="T101" t="s">
        <v>50</v>
      </c>
    </row>
    <row r="102" spans="1:20">
      <c r="A102" s="487">
        <v>44245</v>
      </c>
      <c r="B102" s="112">
        <v>24</v>
      </c>
      <c r="C102" t="s">
        <v>1874</v>
      </c>
      <c r="D102" s="398">
        <v>3255.7</v>
      </c>
      <c r="E102" s="105"/>
      <c r="F102" s="105"/>
      <c r="G102" s="105"/>
      <c r="H102" s="89">
        <v>225.2912</v>
      </c>
      <c r="I102" s="281">
        <v>0.17048000000000002</v>
      </c>
      <c r="J102" s="281">
        <v>225.12072000000001</v>
      </c>
      <c r="K102" s="488">
        <v>1905.4265093160589</v>
      </c>
      <c r="L102" s="489">
        <v>58.525862619899229</v>
      </c>
      <c r="M102" s="281">
        <v>1876.1309629308912</v>
      </c>
      <c r="N102" s="489">
        <v>57.62603934425443</v>
      </c>
      <c r="O102" s="379">
        <v>128</v>
      </c>
      <c r="P102" s="379">
        <v>41.7</v>
      </c>
      <c r="Q102" s="105">
        <v>100</v>
      </c>
      <c r="R102" s="105">
        <v>3</v>
      </c>
      <c r="S102" t="s">
        <v>50</v>
      </c>
      <c r="T102" t="s">
        <v>50</v>
      </c>
    </row>
    <row r="103" spans="1:20">
      <c r="A103" s="487">
        <v>44245</v>
      </c>
      <c r="B103" s="112">
        <v>25</v>
      </c>
      <c r="C103" t="s">
        <v>1875</v>
      </c>
      <c r="D103" s="398">
        <v>2608.8000000000002</v>
      </c>
      <c r="E103" s="105"/>
      <c r="F103" s="105"/>
      <c r="G103" s="105"/>
      <c r="H103" s="89">
        <v>172.6602</v>
      </c>
      <c r="I103" s="281">
        <v>0.17048000000000002</v>
      </c>
      <c r="J103" s="281">
        <v>172.48972000000001</v>
      </c>
      <c r="K103" s="488">
        <v>1460.0534613806985</v>
      </c>
      <c r="L103" s="489">
        <v>55.96647736049902</v>
      </c>
      <c r="M103" s="281">
        <v>1437.5100811656953</v>
      </c>
      <c r="N103" s="489">
        <v>55.102349017390949</v>
      </c>
      <c r="O103" s="379">
        <v>128</v>
      </c>
      <c r="P103" s="379">
        <v>41.7</v>
      </c>
      <c r="Q103" s="105">
        <v>100</v>
      </c>
      <c r="R103" s="105">
        <v>3</v>
      </c>
      <c r="S103" t="s">
        <v>50</v>
      </c>
      <c r="T103" t="s">
        <v>50</v>
      </c>
    </row>
    <row r="104" spans="1:20">
      <c r="A104" s="487">
        <v>44245</v>
      </c>
      <c r="B104" s="112">
        <v>26</v>
      </c>
      <c r="C104" t="s">
        <v>1876</v>
      </c>
      <c r="D104" s="398">
        <v>2970.1</v>
      </c>
      <c r="E104" s="105"/>
      <c r="F104" s="105"/>
      <c r="G104" s="105"/>
      <c r="H104" s="89">
        <v>215.1498</v>
      </c>
      <c r="I104" s="281">
        <v>0.17048000000000002</v>
      </c>
      <c r="J104" s="281">
        <v>214.97932</v>
      </c>
      <c r="K104" s="488">
        <v>1819.6081469757714</v>
      </c>
      <c r="L104" s="489">
        <v>61.26420480710317</v>
      </c>
      <c r="M104" s="281">
        <v>1791.6136668442964</v>
      </c>
      <c r="N104" s="489">
        <v>60.321661453967756</v>
      </c>
      <c r="O104" s="379">
        <v>128</v>
      </c>
      <c r="P104" s="379">
        <v>41.7</v>
      </c>
      <c r="Q104" s="105">
        <v>100</v>
      </c>
      <c r="R104" s="105">
        <v>3</v>
      </c>
      <c r="S104" t="s">
        <v>50</v>
      </c>
      <c r="T104" t="s">
        <v>50</v>
      </c>
    </row>
    <row r="105" spans="1:20">
      <c r="A105" s="487">
        <v>44245</v>
      </c>
      <c r="B105" s="112">
        <v>27</v>
      </c>
      <c r="C105" t="s">
        <v>1877</v>
      </c>
      <c r="D105" s="398">
        <v>2484.6</v>
      </c>
      <c r="E105" s="105"/>
      <c r="F105" s="105"/>
      <c r="G105" s="105"/>
      <c r="H105" s="89">
        <v>199.6302</v>
      </c>
      <c r="I105" s="281">
        <v>0.17048000000000002</v>
      </c>
      <c r="J105" s="281">
        <v>199.45972</v>
      </c>
      <c r="K105" s="488">
        <v>1688.2784828094509</v>
      </c>
      <c r="L105" s="489">
        <v>67.949709523039971</v>
      </c>
      <c r="M105" s="281">
        <v>1662.2750520233139</v>
      </c>
      <c r="N105" s="489">
        <v>66.903125332983748</v>
      </c>
      <c r="O105" s="379">
        <v>128</v>
      </c>
      <c r="P105" s="379">
        <v>41.7</v>
      </c>
      <c r="Q105" s="105">
        <v>100</v>
      </c>
      <c r="R105" s="105">
        <v>3</v>
      </c>
      <c r="S105" t="s">
        <v>50</v>
      </c>
      <c r="T105" t="s">
        <v>50</v>
      </c>
    </row>
    <row r="106" spans="1:20">
      <c r="A106" s="487">
        <v>44245</v>
      </c>
      <c r="B106" s="112">
        <v>28</v>
      </c>
      <c r="C106" t="s">
        <v>1821</v>
      </c>
      <c r="D106" s="105"/>
      <c r="E106" s="105"/>
      <c r="F106" s="105"/>
      <c r="G106" s="105"/>
      <c r="H106" s="89">
        <v>0.19040000000000001</v>
      </c>
      <c r="I106" s="281">
        <v>0.17048000000000002</v>
      </c>
      <c r="J106" s="281">
        <v>1.9919999999999993E-2</v>
      </c>
      <c r="K106" s="488">
        <v>0.58279765015962059</v>
      </c>
      <c r="L106" s="489"/>
      <c r="M106" s="281">
        <v>0.16601105745212319</v>
      </c>
      <c r="N106" s="489" t="e">
        <v>#DIV/0!</v>
      </c>
      <c r="O106" s="379">
        <v>128</v>
      </c>
      <c r="P106" s="379">
        <v>41.7</v>
      </c>
      <c r="Q106" s="105">
        <v>100</v>
      </c>
      <c r="R106" s="105">
        <v>3</v>
      </c>
      <c r="S106" t="s">
        <v>50</v>
      </c>
      <c r="T106" t="s">
        <v>50</v>
      </c>
    </row>
    <row r="107" spans="1:20">
      <c r="A107" s="487">
        <v>44245</v>
      </c>
      <c r="B107" s="112">
        <v>29</v>
      </c>
      <c r="C107" t="s">
        <v>1878</v>
      </c>
      <c r="D107" s="281">
        <v>1361.4</v>
      </c>
      <c r="E107" s="105"/>
      <c r="F107" s="105"/>
      <c r="G107" s="105">
        <v>1361.1277200000002</v>
      </c>
      <c r="H107" s="89">
        <v>162.38939999999999</v>
      </c>
      <c r="I107" s="281">
        <v>0.17048000000000002</v>
      </c>
      <c r="J107" s="281">
        <v>162.21892</v>
      </c>
      <c r="K107" s="488">
        <v>1373.140092819689</v>
      </c>
      <c r="L107" s="489">
        <v>100.8825309075102</v>
      </c>
      <c r="M107" s="281">
        <v>1351.9143799167362</v>
      </c>
      <c r="N107" s="489">
        <v>99.303245182660206</v>
      </c>
      <c r="O107" s="379">
        <v>128</v>
      </c>
      <c r="P107" s="379">
        <v>41.7</v>
      </c>
      <c r="Q107" s="105">
        <v>100</v>
      </c>
      <c r="R107" s="105">
        <v>3</v>
      </c>
      <c r="S107" t="s">
        <v>50</v>
      </c>
      <c r="T107" t="s">
        <v>50</v>
      </c>
    </row>
    <row r="108" spans="1:20">
      <c r="A108" s="487">
        <v>44245</v>
      </c>
      <c r="B108" s="112">
        <v>30</v>
      </c>
      <c r="C108" t="s">
        <v>1822</v>
      </c>
      <c r="D108" s="105"/>
      <c r="E108" s="105"/>
      <c r="F108" s="105"/>
      <c r="G108" s="105"/>
      <c r="H108" s="89">
        <v>0</v>
      </c>
      <c r="I108" s="281">
        <v>0.17048000000000002</v>
      </c>
      <c r="J108" s="281">
        <v>-0.17048000000000002</v>
      </c>
      <c r="K108" s="488">
        <v>-1.0284016112432142</v>
      </c>
      <c r="L108" s="489"/>
      <c r="M108" s="281">
        <v>-1.4207612989175689</v>
      </c>
      <c r="N108" s="489" t="e">
        <v>#DIV/0!</v>
      </c>
      <c r="O108" s="379">
        <v>128</v>
      </c>
      <c r="P108" s="379">
        <v>41.7</v>
      </c>
      <c r="Q108" s="105">
        <v>100</v>
      </c>
      <c r="R108" s="105">
        <v>3</v>
      </c>
      <c r="S108" t="s">
        <v>50</v>
      </c>
      <c r="T108" t="s">
        <v>50</v>
      </c>
    </row>
    <row r="111" spans="1:20">
      <c r="A111" s="483" t="s">
        <v>1859</v>
      </c>
      <c r="B111" s="112"/>
      <c r="D111" s="105"/>
      <c r="E111" s="105"/>
      <c r="F111" s="105"/>
      <c r="G111" s="105"/>
      <c r="H111" s="446"/>
      <c r="I111" s="281"/>
      <c r="J111" s="105"/>
      <c r="K111" s="484"/>
      <c r="L111" s="485"/>
      <c r="M111" s="105"/>
      <c r="N111" s="485"/>
      <c r="O111" s="379"/>
      <c r="P111" s="379"/>
      <c r="Q111" s="105"/>
      <c r="R111" s="105"/>
    </row>
    <row r="112" spans="1:20">
      <c r="A112" s="486" t="s">
        <v>1879</v>
      </c>
      <c r="B112" s="112"/>
      <c r="D112" s="105"/>
      <c r="E112" s="105"/>
      <c r="F112" s="105"/>
      <c r="G112" s="105"/>
      <c r="H112" s="446"/>
      <c r="I112" s="281"/>
      <c r="J112" s="105"/>
      <c r="K112" s="484"/>
      <c r="L112" s="485"/>
      <c r="M112" s="105"/>
      <c r="N112" s="485"/>
      <c r="O112" s="379"/>
      <c r="P112" s="379"/>
      <c r="Q112" s="105"/>
      <c r="R112" s="105"/>
    </row>
    <row r="113" spans="1:27">
      <c r="A113" s="483" t="s">
        <v>1880</v>
      </c>
      <c r="B113" s="112"/>
      <c r="D113" s="105"/>
      <c r="E113" s="105"/>
      <c r="F113" s="105"/>
      <c r="G113" s="105"/>
      <c r="H113" s="446"/>
      <c r="I113" s="105"/>
      <c r="J113" s="105"/>
      <c r="K113" s="484"/>
      <c r="L113" s="485"/>
      <c r="M113" s="105"/>
      <c r="N113" s="485"/>
      <c r="O113" s="105"/>
      <c r="P113" s="105"/>
      <c r="Q113" s="105"/>
      <c r="R113" s="105"/>
      <c r="X113" s="487">
        <f>A118</f>
        <v>44245</v>
      </c>
    </row>
    <row r="114" spans="1:27">
      <c r="A114" s="487">
        <v>44245</v>
      </c>
      <c r="B114" s="112">
        <v>1</v>
      </c>
      <c r="C114" s="76" t="s">
        <v>1715</v>
      </c>
      <c r="D114" s="105"/>
      <c r="E114" s="105"/>
      <c r="F114" s="105"/>
      <c r="H114" s="89">
        <v>0.18190000000000001</v>
      </c>
      <c r="I114" s="105"/>
      <c r="J114" s="105"/>
      <c r="K114" s="484"/>
      <c r="L114" s="485"/>
      <c r="M114" s="105"/>
      <c r="N114" s="485"/>
      <c r="O114" s="105"/>
      <c r="P114" s="105"/>
      <c r="Q114" s="105"/>
      <c r="R114" s="105"/>
      <c r="X114" s="105">
        <f>((J116-INDEX(LINEST($J$116:$J$121,$G$116:$G$121),2))/INDEX(LINEST($J$116:$J$121,$G$116:$G$121),1)/100.09)*12.01</f>
        <v>0.44145462614833963</v>
      </c>
      <c r="Y114" s="105">
        <f>(J116-X114)^2</f>
        <v>3.2498940832923595E-2</v>
      </c>
    </row>
    <row r="115" spans="1:27">
      <c r="A115" s="487">
        <v>44245</v>
      </c>
      <c r="B115" s="112">
        <v>2</v>
      </c>
      <c r="C115" s="76" t="s">
        <v>1801</v>
      </c>
      <c r="D115" s="105"/>
      <c r="E115" s="105"/>
      <c r="F115" s="105"/>
      <c r="H115" s="89">
        <v>0.22409999999999999</v>
      </c>
      <c r="I115" s="105"/>
      <c r="J115" s="105"/>
      <c r="K115" s="484"/>
      <c r="L115" s="485"/>
      <c r="M115" s="105"/>
      <c r="N115" s="485"/>
      <c r="O115" s="105"/>
      <c r="P115" s="105"/>
      <c r="Q115" s="105"/>
      <c r="R115" s="105"/>
      <c r="X115" s="105">
        <f t="shared" ref="X115:X118" si="18">((J117-INDEX(LINEST($J$116:$J$121,$G$116:$G$121),2))/INDEX(LINEST($J$116:$J$121,$G$116:$G$121),1)/100.09)*12.01</f>
        <v>40.539298196025626</v>
      </c>
      <c r="Y115" s="105">
        <f t="shared" ref="Y115:Y119" si="19">(J117-X115)^2</f>
        <v>0.60353973146003359</v>
      </c>
    </row>
    <row r="116" spans="1:27">
      <c r="A116" s="487">
        <v>44245</v>
      </c>
      <c r="B116" s="112">
        <v>3</v>
      </c>
      <c r="C116" s="76" t="s">
        <v>1802</v>
      </c>
      <c r="D116" s="105"/>
      <c r="E116" s="105"/>
      <c r="F116" s="105"/>
      <c r="G116">
        <v>0</v>
      </c>
      <c r="H116" s="89">
        <v>0.23449999999999999</v>
      </c>
      <c r="I116" s="281">
        <v>0.26118000000000008</v>
      </c>
      <c r="J116" s="281">
        <v>0.26118000000000008</v>
      </c>
      <c r="K116" s="484"/>
      <c r="L116" s="485"/>
      <c r="M116" s="105"/>
      <c r="N116" s="485"/>
      <c r="O116" s="105"/>
      <c r="P116" s="105"/>
      <c r="Q116" s="105"/>
      <c r="R116" s="105"/>
      <c r="X116" s="105">
        <f t="shared" si="18"/>
        <v>128.16302486768981</v>
      </c>
      <c r="Y116" s="105">
        <f t="shared" si="19"/>
        <v>4.32891661545455</v>
      </c>
    </row>
    <row r="117" spans="1:27">
      <c r="A117" s="487">
        <v>44245</v>
      </c>
      <c r="B117" s="112">
        <v>4</v>
      </c>
      <c r="C117" t="s">
        <v>1893</v>
      </c>
      <c r="D117" s="281">
        <v>342.7</v>
      </c>
      <c r="E117" s="105"/>
      <c r="F117" s="105"/>
      <c r="G117" s="105">
        <v>342.63146</v>
      </c>
      <c r="H117" s="89">
        <v>40.023600000000002</v>
      </c>
      <c r="I117" s="281">
        <v>0.26118000000000008</v>
      </c>
      <c r="J117" s="281">
        <v>39.762419999999999</v>
      </c>
      <c r="K117" s="488">
        <v>337.84998804664491</v>
      </c>
      <c r="L117" s="489">
        <v>98.604485427766875</v>
      </c>
      <c r="M117" s="281">
        <v>331.3755718401332</v>
      </c>
      <c r="N117" s="489">
        <v>96.714870210731149</v>
      </c>
      <c r="O117" s="379">
        <v>128</v>
      </c>
      <c r="P117" s="379">
        <v>41.7</v>
      </c>
      <c r="Q117" s="105">
        <v>100</v>
      </c>
      <c r="R117" s="105">
        <v>3</v>
      </c>
      <c r="S117" t="s">
        <v>50</v>
      </c>
      <c r="T117" t="s">
        <v>50</v>
      </c>
      <c r="X117" s="105">
        <f t="shared" si="18"/>
        <v>250.33518716301114</v>
      </c>
      <c r="Y117" s="105">
        <f t="shared" si="19"/>
        <v>15.197266537643449</v>
      </c>
    </row>
    <row r="118" spans="1:27">
      <c r="A118" s="487">
        <v>44245</v>
      </c>
      <c r="B118" s="112">
        <v>5</v>
      </c>
      <c r="C118" t="s">
        <v>1894</v>
      </c>
      <c r="D118" s="281">
        <v>1067.3</v>
      </c>
      <c r="E118" s="105"/>
      <c r="F118" s="105"/>
      <c r="G118" s="105">
        <v>1067.08654</v>
      </c>
      <c r="H118" s="89">
        <v>126.3436</v>
      </c>
      <c r="I118" s="281">
        <v>0.26118000000000008</v>
      </c>
      <c r="J118" s="281">
        <v>126.08242</v>
      </c>
      <c r="K118" s="488">
        <v>1068.0963496259012</v>
      </c>
      <c r="L118" s="489">
        <v>100.09463240215749</v>
      </c>
      <c r="M118" s="281">
        <v>1050.7568207993338</v>
      </c>
      <c r="N118" s="489">
        <v>98.469691202302471</v>
      </c>
      <c r="O118" s="379">
        <v>128</v>
      </c>
      <c r="P118" s="379">
        <v>41.7</v>
      </c>
      <c r="Q118" s="105">
        <v>100</v>
      </c>
      <c r="R118" s="105">
        <v>3</v>
      </c>
      <c r="S118" t="s">
        <v>50</v>
      </c>
      <c r="T118" t="s">
        <v>50</v>
      </c>
      <c r="X118" s="105">
        <f t="shared" si="18"/>
        <v>336.55461977214543</v>
      </c>
      <c r="Y118" s="105">
        <f t="shared" si="19"/>
        <v>26.844831078880333</v>
      </c>
    </row>
    <row r="119" spans="1:27" ht="15.5">
      <c r="A119" s="487">
        <v>44245</v>
      </c>
      <c r="B119" s="112">
        <v>6</v>
      </c>
      <c r="C119" t="s">
        <v>1895</v>
      </c>
      <c r="D119" s="281">
        <v>2094.9</v>
      </c>
      <c r="E119" s="105"/>
      <c r="F119" s="105"/>
      <c r="G119" s="105">
        <v>2094.4810200000002</v>
      </c>
      <c r="H119" s="89">
        <v>246.69800000000001</v>
      </c>
      <c r="I119" s="281">
        <v>0.26118000000000008</v>
      </c>
      <c r="J119" s="281">
        <v>246.43682000000001</v>
      </c>
      <c r="K119" s="488">
        <v>2086.2655189963189</v>
      </c>
      <c r="L119" s="489">
        <v>99.607754812517641</v>
      </c>
      <c r="M119" s="281">
        <v>2053.7769620149879</v>
      </c>
      <c r="N119" s="489">
        <v>98.056604113556858</v>
      </c>
      <c r="O119" s="379">
        <v>128</v>
      </c>
      <c r="P119" s="379">
        <v>41.7</v>
      </c>
      <c r="Q119" s="105">
        <v>100</v>
      </c>
      <c r="R119" s="105">
        <v>3</v>
      </c>
      <c r="S119" t="s">
        <v>50</v>
      </c>
      <c r="T119" t="s">
        <v>50</v>
      </c>
      <c r="X119" s="105">
        <f>((J121-INDEX(LINEST($J$116:$J$121,$G$116:$G$121),2))/INDEX(LINEST($J$116:$J$121,$G$116:$G$121),1)/100.09)*12.01</f>
        <v>441.3551143279218</v>
      </c>
      <c r="Y119" s="105">
        <f t="shared" si="19"/>
        <v>45.434263784745887</v>
      </c>
      <c r="AA119" s="227" t="s">
        <v>1935</v>
      </c>
    </row>
    <row r="120" spans="1:27" ht="15.5">
      <c r="A120" s="487">
        <v>44245</v>
      </c>
      <c r="B120" s="112">
        <v>7</v>
      </c>
      <c r="C120" t="s">
        <v>1896</v>
      </c>
      <c r="D120" s="281">
        <v>2791</v>
      </c>
      <c r="E120" s="105"/>
      <c r="F120" s="105"/>
      <c r="G120" s="105">
        <v>2790.4418000000001</v>
      </c>
      <c r="H120" s="89">
        <v>331.63459999999998</v>
      </c>
      <c r="I120" s="281">
        <v>0.26118000000000008</v>
      </c>
      <c r="J120" s="281">
        <v>331.37341999999995</v>
      </c>
      <c r="K120" s="488">
        <v>2804.8086505407191</v>
      </c>
      <c r="L120" s="489">
        <v>100.51485935097155</v>
      </c>
      <c r="M120" s="281">
        <v>2761.6291097252283</v>
      </c>
      <c r="N120" s="489">
        <v>98.967450592419738</v>
      </c>
      <c r="O120" s="379">
        <v>128</v>
      </c>
      <c r="P120" s="379">
        <v>41.7</v>
      </c>
      <c r="Q120" s="105">
        <v>100</v>
      </c>
      <c r="R120" s="105">
        <v>3</v>
      </c>
      <c r="S120" t="s">
        <v>50</v>
      </c>
      <c r="T120" t="s">
        <v>50</v>
      </c>
      <c r="Y120" s="226">
        <f>SQRT(SUM(Y114:Y119)/(6-2))</f>
        <v>4.807320373373746</v>
      </c>
      <c r="Z120" s="227" t="s">
        <v>1936</v>
      </c>
      <c r="AA120" s="226">
        <f>(Y120/$AK$15)*100</f>
        <v>2.4710906150062866</v>
      </c>
    </row>
    <row r="121" spans="1:27" ht="15.5">
      <c r="A121" s="487">
        <v>44245</v>
      </c>
      <c r="B121" s="112">
        <v>8</v>
      </c>
      <c r="C121" t="s">
        <v>1897</v>
      </c>
      <c r="D121" s="281">
        <v>3685</v>
      </c>
      <c r="E121" s="105"/>
      <c r="F121" s="105"/>
      <c r="G121" s="105">
        <v>3684.2629999999999</v>
      </c>
      <c r="H121" s="89">
        <v>434.87580000000003</v>
      </c>
      <c r="I121" s="281">
        <v>0.26118000000000008</v>
      </c>
      <c r="J121" s="281">
        <v>434.61462</v>
      </c>
      <c r="K121" s="488">
        <v>3678.2042791908157</v>
      </c>
      <c r="L121" s="489">
        <v>99.835551348826499</v>
      </c>
      <c r="M121" s="281">
        <v>3622.0297515237303</v>
      </c>
      <c r="N121" s="489">
        <v>98.31083588559585</v>
      </c>
      <c r="O121" s="379">
        <v>128</v>
      </c>
      <c r="P121" s="379">
        <v>41.7</v>
      </c>
      <c r="Q121" s="105">
        <v>100</v>
      </c>
      <c r="R121" s="105">
        <v>3</v>
      </c>
      <c r="S121" t="s">
        <v>50</v>
      </c>
      <c r="T121" t="s">
        <v>50</v>
      </c>
      <c r="Y121" s="226">
        <f>(Y120/12.01)*100.09</f>
        <v>40.063671621230498</v>
      </c>
      <c r="Z121" s="227" t="s">
        <v>1937</v>
      </c>
    </row>
    <row r="122" spans="1:27">
      <c r="A122" s="487">
        <v>44245</v>
      </c>
      <c r="B122" s="112">
        <v>9</v>
      </c>
      <c r="C122" t="s">
        <v>1803</v>
      </c>
      <c r="D122" s="281"/>
      <c r="E122" s="105"/>
      <c r="F122" s="105"/>
      <c r="G122" s="105"/>
      <c r="H122" s="89">
        <v>0.37230000000000002</v>
      </c>
      <c r="I122" s="281">
        <v>0.26118000000000008</v>
      </c>
      <c r="J122" s="281">
        <v>0.11111999999999994</v>
      </c>
      <c r="K122" s="488">
        <v>2.4095622254266251</v>
      </c>
      <c r="L122" s="489"/>
      <c r="M122" s="281">
        <v>0.92606168193172311</v>
      </c>
      <c r="N122" s="489"/>
      <c r="O122" s="379">
        <v>128</v>
      </c>
      <c r="P122" s="379">
        <v>41.7</v>
      </c>
      <c r="Q122" s="105">
        <v>100</v>
      </c>
      <c r="R122" s="105">
        <v>3</v>
      </c>
      <c r="S122" t="s">
        <v>50</v>
      </c>
      <c r="T122" t="s">
        <v>50</v>
      </c>
    </row>
    <row r="123" spans="1:27">
      <c r="A123" s="487">
        <v>44245</v>
      </c>
      <c r="B123" s="112">
        <v>10</v>
      </c>
      <c r="C123" t="s">
        <v>1804</v>
      </c>
      <c r="D123" s="379"/>
      <c r="E123" s="105"/>
      <c r="F123" s="105"/>
      <c r="G123" s="105"/>
      <c r="H123" s="89">
        <v>0.2283</v>
      </c>
      <c r="I123" s="281">
        <v>0.26118000000000008</v>
      </c>
      <c r="J123" s="281">
        <v>-3.2880000000000076E-2</v>
      </c>
      <c r="K123" s="488">
        <v>1.1913569883157249</v>
      </c>
      <c r="L123" s="489"/>
      <c r="M123" s="281">
        <v>-0.27401825145711972</v>
      </c>
      <c r="N123" s="489"/>
      <c r="O123" s="379">
        <v>128</v>
      </c>
      <c r="P123" s="379">
        <v>41.7</v>
      </c>
      <c r="Q123" s="105">
        <v>100</v>
      </c>
      <c r="R123" s="105">
        <v>3</v>
      </c>
      <c r="S123" t="s">
        <v>50</v>
      </c>
      <c r="T123" t="s">
        <v>50</v>
      </c>
    </row>
    <row r="124" spans="1:27">
      <c r="A124" s="487">
        <v>44245</v>
      </c>
      <c r="B124" s="112">
        <v>11</v>
      </c>
      <c r="C124" t="s">
        <v>1805</v>
      </c>
      <c r="D124" s="379"/>
      <c r="E124" s="105"/>
      <c r="F124" s="105"/>
      <c r="G124" s="105"/>
      <c r="H124" s="89">
        <v>0.32</v>
      </c>
      <c r="I124" s="281">
        <v>0.26118000000000008</v>
      </c>
      <c r="J124" s="281">
        <v>5.8819999999999928E-2</v>
      </c>
      <c r="K124" s="488">
        <v>1.9671168511148189</v>
      </c>
      <c r="L124" s="489"/>
      <c r="M124" s="281">
        <v>0.49019931723563642</v>
      </c>
      <c r="N124" s="489"/>
      <c r="O124" s="379">
        <v>128</v>
      </c>
      <c r="P124" s="379">
        <v>41.7</v>
      </c>
      <c r="Q124" s="105">
        <v>100</v>
      </c>
      <c r="R124" s="105">
        <v>3</v>
      </c>
      <c r="S124" t="s">
        <v>50</v>
      </c>
      <c r="T124" t="s">
        <v>50</v>
      </c>
    </row>
    <row r="125" spans="1:27">
      <c r="A125" s="487">
        <v>44245</v>
      </c>
      <c r="B125" s="112">
        <v>12</v>
      </c>
      <c r="C125" s="66" t="s">
        <v>1806</v>
      </c>
      <c r="D125" s="490">
        <v>1095.7</v>
      </c>
      <c r="E125" s="263"/>
      <c r="F125" s="263"/>
      <c r="G125" s="263"/>
      <c r="H125" s="89">
        <v>15.8307</v>
      </c>
      <c r="I125" s="490">
        <v>0.26118000000000008</v>
      </c>
      <c r="J125" s="281">
        <v>15.569520000000001</v>
      </c>
      <c r="K125" s="488">
        <v>133.18389442928176</v>
      </c>
      <c r="L125" s="491">
        <v>12.155142322650521</v>
      </c>
      <c r="M125" s="490">
        <v>129.75464253122399</v>
      </c>
      <c r="N125" s="491">
        <v>11.842168707787167</v>
      </c>
      <c r="O125" s="379">
        <v>128</v>
      </c>
      <c r="P125" s="379">
        <v>41.7</v>
      </c>
      <c r="Q125" s="105">
        <v>100</v>
      </c>
      <c r="R125" s="105">
        <v>3</v>
      </c>
      <c r="S125" t="s">
        <v>50</v>
      </c>
      <c r="T125" t="s">
        <v>50</v>
      </c>
    </row>
    <row r="126" spans="1:27">
      <c r="A126" s="487">
        <v>44245</v>
      </c>
      <c r="B126" s="112">
        <v>13</v>
      </c>
      <c r="C126" s="66" t="s">
        <v>1806</v>
      </c>
      <c r="D126" s="490">
        <v>1941.1</v>
      </c>
      <c r="E126" s="263"/>
      <c r="F126" s="263"/>
      <c r="G126" s="263"/>
      <c r="H126" s="89">
        <v>29.042899999999999</v>
      </c>
      <c r="I126" s="490">
        <v>0.26118000000000008</v>
      </c>
      <c r="J126" s="281">
        <v>28.78172</v>
      </c>
      <c r="K126" s="488">
        <v>244.95591688592506</v>
      </c>
      <c r="L126" s="491">
        <v>12.619438302298958</v>
      </c>
      <c r="M126" s="490">
        <v>239.86364319733556</v>
      </c>
      <c r="N126" s="491">
        <v>12.357098717084929</v>
      </c>
      <c r="O126" s="379">
        <v>128</v>
      </c>
      <c r="P126" s="379">
        <v>41.7</v>
      </c>
      <c r="Q126" s="105">
        <v>100</v>
      </c>
      <c r="R126" s="105">
        <v>3</v>
      </c>
      <c r="S126" t="s">
        <v>50</v>
      </c>
      <c r="T126" t="s">
        <v>50</v>
      </c>
    </row>
    <row r="127" spans="1:27">
      <c r="A127" s="487">
        <v>44245</v>
      </c>
      <c r="B127" s="112">
        <v>14</v>
      </c>
      <c r="C127" t="s">
        <v>1807</v>
      </c>
      <c r="D127" s="281"/>
      <c r="E127" s="105"/>
      <c r="F127" s="105"/>
      <c r="G127" s="105"/>
      <c r="H127" s="89">
        <v>0.14000000000000001</v>
      </c>
      <c r="I127" s="281">
        <v>0.26118000000000008</v>
      </c>
      <c r="J127" s="281">
        <v>-0.12118000000000007</v>
      </c>
      <c r="K127" s="488">
        <v>0.44436030472619381</v>
      </c>
      <c r="L127" s="489" t="e">
        <v>#DIV/0!</v>
      </c>
      <c r="M127" s="281">
        <v>-1.0099005995004169</v>
      </c>
      <c r="N127" s="489" t="e">
        <v>#DIV/0!</v>
      </c>
      <c r="O127" s="379">
        <v>128</v>
      </c>
      <c r="P127" s="379">
        <v>41.7</v>
      </c>
      <c r="Q127" s="105">
        <v>100</v>
      </c>
      <c r="R127" s="105">
        <v>3</v>
      </c>
      <c r="S127" t="s">
        <v>50</v>
      </c>
      <c r="T127" t="s">
        <v>50</v>
      </c>
    </row>
    <row r="128" spans="1:27">
      <c r="A128" s="487">
        <v>44245</v>
      </c>
      <c r="B128" s="112">
        <v>15</v>
      </c>
      <c r="C128" t="s">
        <v>1881</v>
      </c>
      <c r="D128" s="398">
        <v>2282.8000000000002</v>
      </c>
      <c r="E128" s="105"/>
      <c r="F128" s="105"/>
      <c r="G128" s="105"/>
      <c r="H128" s="89">
        <v>192.1712</v>
      </c>
      <c r="I128" s="281">
        <v>0.26118000000000008</v>
      </c>
      <c r="J128" s="281">
        <v>191.91002</v>
      </c>
      <c r="K128" s="488">
        <v>1624.9819542539672</v>
      </c>
      <c r="L128" s="489">
        <v>71.183719741281195</v>
      </c>
      <c r="M128" s="281">
        <v>1599.3566945711907</v>
      </c>
      <c r="N128" s="489">
        <v>70.06118339631989</v>
      </c>
      <c r="O128" s="379">
        <v>128</v>
      </c>
      <c r="P128" s="379">
        <v>41.7</v>
      </c>
      <c r="Q128" s="105">
        <v>100</v>
      </c>
      <c r="R128" s="105">
        <v>3</v>
      </c>
      <c r="S128" t="s">
        <v>50</v>
      </c>
      <c r="T128" t="s">
        <v>50</v>
      </c>
    </row>
    <row r="129" spans="1:20">
      <c r="A129" s="492">
        <v>44245</v>
      </c>
      <c r="B129" s="493">
        <v>16</v>
      </c>
      <c r="C129" s="395" t="s">
        <v>1882</v>
      </c>
      <c r="D129" s="398">
        <v>2675.8</v>
      </c>
      <c r="E129" s="449"/>
      <c r="F129" s="449"/>
      <c r="G129" s="449"/>
      <c r="H129" s="494">
        <v>216.6841</v>
      </c>
      <c r="I129" s="495">
        <v>0.26118000000000008</v>
      </c>
      <c r="J129" s="495">
        <v>216.42292</v>
      </c>
      <c r="K129" s="496">
        <v>1832.3551706204655</v>
      </c>
      <c r="L129" s="497">
        <v>68.478779079918723</v>
      </c>
      <c r="M129" s="495">
        <v>1803.6444681765197</v>
      </c>
      <c r="N129" s="497">
        <v>67.405802682432153</v>
      </c>
      <c r="O129" s="498">
        <v>128</v>
      </c>
      <c r="P129" s="498">
        <v>41.7</v>
      </c>
      <c r="Q129" s="449">
        <v>100</v>
      </c>
      <c r="R129" s="449">
        <v>3</v>
      </c>
      <c r="S129" s="395" t="s">
        <v>50</v>
      </c>
      <c r="T129" s="395" t="s">
        <v>50</v>
      </c>
    </row>
    <row r="130" spans="1:20">
      <c r="A130" s="487">
        <v>44245</v>
      </c>
      <c r="B130" s="112">
        <v>17</v>
      </c>
      <c r="C130" t="s">
        <v>1883</v>
      </c>
      <c r="D130" s="398">
        <v>2236.1</v>
      </c>
      <c r="E130" s="105"/>
      <c r="F130" s="105"/>
      <c r="G130" s="105"/>
      <c r="H130" s="89">
        <v>180.37430000000001</v>
      </c>
      <c r="I130" s="281">
        <v>0.26118000000000008</v>
      </c>
      <c r="J130" s="281">
        <v>180.11312000000001</v>
      </c>
      <c r="K130" s="488">
        <v>1525.1830281312339</v>
      </c>
      <c r="L130" s="489">
        <v>68.207281791119982</v>
      </c>
      <c r="M130" s="281">
        <v>1501.042646194838</v>
      </c>
      <c r="N130" s="489">
        <v>67.127706551354493</v>
      </c>
      <c r="O130" s="379">
        <v>128</v>
      </c>
      <c r="P130" s="379">
        <v>41.7</v>
      </c>
      <c r="Q130" s="105">
        <v>100</v>
      </c>
      <c r="R130" s="105">
        <v>3</v>
      </c>
      <c r="S130" t="s">
        <v>50</v>
      </c>
      <c r="T130" t="s">
        <v>50</v>
      </c>
    </row>
    <row r="131" spans="1:20">
      <c r="A131" s="487">
        <v>44245</v>
      </c>
      <c r="B131" s="112">
        <v>18</v>
      </c>
      <c r="C131" t="s">
        <v>1884</v>
      </c>
      <c r="D131" s="398">
        <v>2022</v>
      </c>
      <c r="E131" s="105"/>
      <c r="F131" s="105"/>
      <c r="G131" s="105"/>
      <c r="H131" s="89">
        <v>171.7439</v>
      </c>
      <c r="I131" s="281">
        <v>0.26118000000000008</v>
      </c>
      <c r="J131" s="281">
        <v>171.48272</v>
      </c>
      <c r="K131" s="488">
        <v>1452.1719275870539</v>
      </c>
      <c r="L131" s="489">
        <v>71.818591868795949</v>
      </c>
      <c r="M131" s="281">
        <v>1429.1178555203999</v>
      </c>
      <c r="N131" s="489">
        <v>70.678430045519278</v>
      </c>
      <c r="O131" s="379">
        <v>128</v>
      </c>
      <c r="P131" s="379">
        <v>41.7</v>
      </c>
      <c r="Q131" s="105">
        <v>100</v>
      </c>
      <c r="R131" s="105">
        <v>3</v>
      </c>
      <c r="S131" t="s">
        <v>50</v>
      </c>
      <c r="T131" t="s">
        <v>50</v>
      </c>
    </row>
    <row r="132" spans="1:20">
      <c r="A132" s="487">
        <v>44245</v>
      </c>
      <c r="B132" s="112">
        <v>19</v>
      </c>
      <c r="C132" t="s">
        <v>1885</v>
      </c>
      <c r="D132" s="398">
        <v>2477.4</v>
      </c>
      <c r="E132" s="105"/>
      <c r="F132" s="105"/>
      <c r="G132" s="105"/>
      <c r="H132" s="89">
        <v>210.90090000000001</v>
      </c>
      <c r="I132" s="281">
        <v>0.26118000000000008</v>
      </c>
      <c r="J132" s="281">
        <v>210.63972000000001</v>
      </c>
      <c r="K132" s="488">
        <v>1783.4306947367174</v>
      </c>
      <c r="L132" s="489">
        <v>71.987999303169346</v>
      </c>
      <c r="M132" s="281">
        <v>1755.4479246294754</v>
      </c>
      <c r="N132" s="489">
        <v>70.858477622889936</v>
      </c>
      <c r="O132" s="379">
        <v>128</v>
      </c>
      <c r="P132" s="379">
        <v>41.7</v>
      </c>
      <c r="Q132" s="105">
        <v>100</v>
      </c>
      <c r="R132" s="105">
        <v>3</v>
      </c>
      <c r="S132" t="s">
        <v>50</v>
      </c>
      <c r="T132" t="s">
        <v>50</v>
      </c>
    </row>
    <row r="133" spans="1:20">
      <c r="A133" s="487">
        <v>44245</v>
      </c>
      <c r="B133" s="112">
        <v>20</v>
      </c>
      <c r="C133" t="s">
        <v>1886</v>
      </c>
      <c r="D133" s="398">
        <v>2226.6</v>
      </c>
      <c r="E133" s="105"/>
      <c r="F133" s="105"/>
      <c r="G133" s="105"/>
      <c r="H133" s="89">
        <v>193.39660000000001</v>
      </c>
      <c r="I133" s="281">
        <v>0.26118000000000008</v>
      </c>
      <c r="J133" s="281">
        <v>193.13542000000001</v>
      </c>
      <c r="K133" s="488">
        <v>1635.3485424314372</v>
      </c>
      <c r="L133" s="489">
        <v>73.445995797693215</v>
      </c>
      <c r="M133" s="281">
        <v>1609.5690414487929</v>
      </c>
      <c r="N133" s="489">
        <v>72.28819911294319</v>
      </c>
      <c r="O133" s="379">
        <v>128</v>
      </c>
      <c r="P133" s="379">
        <v>41.7</v>
      </c>
      <c r="Q133" s="105">
        <v>100</v>
      </c>
      <c r="R133" s="105">
        <v>3</v>
      </c>
      <c r="S133" t="s">
        <v>50</v>
      </c>
      <c r="T133" t="s">
        <v>50</v>
      </c>
    </row>
    <row r="134" spans="1:20">
      <c r="A134" s="487">
        <v>44245</v>
      </c>
      <c r="B134" s="112">
        <v>21</v>
      </c>
      <c r="C134" t="s">
        <v>1814</v>
      </c>
      <c r="D134" s="105"/>
      <c r="E134" s="105"/>
      <c r="F134" s="105"/>
      <c r="G134" s="105"/>
      <c r="H134" s="89">
        <v>0.27929999999999999</v>
      </c>
      <c r="I134" s="281">
        <v>0.26118000000000008</v>
      </c>
      <c r="J134" s="281">
        <v>1.8119999999999914E-2</v>
      </c>
      <c r="K134" s="488">
        <v>1.6228046764591686</v>
      </c>
      <c r="L134" s="489" t="e">
        <v>#DIV/0!</v>
      </c>
      <c r="M134" s="281">
        <v>0.15101005828476199</v>
      </c>
      <c r="N134" s="489" t="e">
        <v>#DIV/0!</v>
      </c>
      <c r="O134" s="379">
        <v>128</v>
      </c>
      <c r="P134" s="379">
        <v>41.7</v>
      </c>
      <c r="Q134" s="105">
        <v>100</v>
      </c>
      <c r="R134" s="105">
        <v>3</v>
      </c>
      <c r="S134" t="s">
        <v>50</v>
      </c>
      <c r="T134" t="s">
        <v>50</v>
      </c>
    </row>
    <row r="135" spans="1:20">
      <c r="A135" s="492">
        <v>44245</v>
      </c>
      <c r="B135" s="493">
        <v>22</v>
      </c>
      <c r="C135" s="395" t="s">
        <v>1887</v>
      </c>
      <c r="D135" s="398">
        <v>3516.7</v>
      </c>
      <c r="E135" s="449"/>
      <c r="F135" s="449"/>
      <c r="G135" s="449"/>
      <c r="H135" s="494">
        <v>289.19729999999998</v>
      </c>
      <c r="I135" s="495">
        <v>0.26118000000000008</v>
      </c>
      <c r="J135" s="495">
        <v>288.93611999999996</v>
      </c>
      <c r="K135" s="496">
        <v>2445.7993372848409</v>
      </c>
      <c r="L135" s="497">
        <v>69.54813709684764</v>
      </c>
      <c r="M135" s="495">
        <v>2407.9613864113239</v>
      </c>
      <c r="N135" s="497">
        <v>68.472186607084026</v>
      </c>
      <c r="O135" s="498">
        <v>128</v>
      </c>
      <c r="P135" s="498">
        <v>41.7</v>
      </c>
      <c r="Q135" s="449">
        <v>100</v>
      </c>
      <c r="R135" s="449">
        <v>3</v>
      </c>
      <c r="S135" s="395" t="s">
        <v>50</v>
      </c>
      <c r="T135" s="395" t="s">
        <v>50</v>
      </c>
    </row>
    <row r="136" spans="1:20">
      <c r="A136" s="487">
        <v>44245</v>
      </c>
      <c r="B136" s="112">
        <v>23</v>
      </c>
      <c r="C136" t="s">
        <v>1888</v>
      </c>
      <c r="D136" s="398">
        <v>2195.6999999999998</v>
      </c>
      <c r="E136" s="105"/>
      <c r="F136" s="105"/>
      <c r="G136" s="105"/>
      <c r="H136" s="89">
        <v>203.489</v>
      </c>
      <c r="I136" s="281">
        <v>0.26118000000000008</v>
      </c>
      <c r="J136" s="281">
        <v>203.22782000000001</v>
      </c>
      <c r="K136" s="488">
        <v>1720.7278100357294</v>
      </c>
      <c r="L136" s="489">
        <v>78.368074419808238</v>
      </c>
      <c r="M136" s="281">
        <v>1693.6779770024982</v>
      </c>
      <c r="N136" s="489">
        <v>77.136128660677613</v>
      </c>
      <c r="O136" s="379">
        <v>128</v>
      </c>
      <c r="P136" s="379">
        <v>41.7</v>
      </c>
      <c r="Q136" s="105">
        <v>100</v>
      </c>
      <c r="R136" s="105">
        <v>3</v>
      </c>
      <c r="S136" t="s">
        <v>50</v>
      </c>
      <c r="T136" t="s">
        <v>50</v>
      </c>
    </row>
    <row r="137" spans="1:20">
      <c r="A137" s="487">
        <v>44245</v>
      </c>
      <c r="B137" s="112">
        <v>24</v>
      </c>
      <c r="C137" t="s">
        <v>1889</v>
      </c>
      <c r="D137" s="398">
        <v>3020</v>
      </c>
      <c r="E137" s="105"/>
      <c r="F137" s="105"/>
      <c r="G137" s="105"/>
      <c r="H137" s="89">
        <v>268.79259999999999</v>
      </c>
      <c r="I137" s="281">
        <v>0.26118000000000008</v>
      </c>
      <c r="J137" s="281">
        <v>268.53141999999997</v>
      </c>
      <c r="K137" s="488">
        <v>2273.1805011620859</v>
      </c>
      <c r="L137" s="489">
        <v>75.270877521923367</v>
      </c>
      <c r="M137" s="281">
        <v>2237.9108932389672</v>
      </c>
      <c r="N137" s="489">
        <v>74.103009709899567</v>
      </c>
      <c r="O137" s="379">
        <v>128</v>
      </c>
      <c r="P137" s="379">
        <v>41.7</v>
      </c>
      <c r="Q137" s="105">
        <v>100</v>
      </c>
      <c r="R137" s="105">
        <v>3</v>
      </c>
      <c r="S137" t="s">
        <v>50</v>
      </c>
      <c r="T137" t="s">
        <v>50</v>
      </c>
    </row>
    <row r="138" spans="1:20">
      <c r="A138" s="487">
        <v>44245</v>
      </c>
      <c r="B138" s="112">
        <v>25</v>
      </c>
      <c r="C138" t="s">
        <v>1890</v>
      </c>
      <c r="D138" s="398">
        <v>2720.1</v>
      </c>
      <c r="E138" s="105"/>
      <c r="F138" s="105"/>
      <c r="G138" s="105"/>
      <c r="H138" s="89">
        <v>252.82830000000001</v>
      </c>
      <c r="I138" s="281">
        <v>0.26118000000000008</v>
      </c>
      <c r="J138" s="281">
        <v>252.56712000000002</v>
      </c>
      <c r="K138" s="488">
        <v>2138.12637708702</v>
      </c>
      <c r="L138" s="489">
        <v>78.604697514320065</v>
      </c>
      <c r="M138" s="281">
        <v>2104.8661982348044</v>
      </c>
      <c r="N138" s="489">
        <v>77.381941775479007</v>
      </c>
      <c r="O138" s="379">
        <v>128</v>
      </c>
      <c r="P138" s="379">
        <v>41.7</v>
      </c>
      <c r="Q138" s="105">
        <v>100</v>
      </c>
      <c r="R138" s="105">
        <v>3</v>
      </c>
      <c r="S138" t="s">
        <v>50</v>
      </c>
      <c r="T138" t="s">
        <v>50</v>
      </c>
    </row>
    <row r="139" spans="1:20">
      <c r="A139" s="487">
        <v>44245</v>
      </c>
      <c r="B139" s="112">
        <v>26</v>
      </c>
      <c r="C139" t="s">
        <v>1891</v>
      </c>
      <c r="D139" s="398">
        <v>2987.3</v>
      </c>
      <c r="E139" s="105"/>
      <c r="F139" s="105"/>
      <c r="G139" s="105"/>
      <c r="H139" s="89">
        <v>208.88579999999999</v>
      </c>
      <c r="I139" s="281">
        <v>0.26118000000000008</v>
      </c>
      <c r="J139" s="281">
        <v>208.62461999999999</v>
      </c>
      <c r="K139" s="488">
        <v>1766.3834351998964</v>
      </c>
      <c r="L139" s="489">
        <v>59.129763840253617</v>
      </c>
      <c r="M139" s="281">
        <v>1738.6543060616154</v>
      </c>
      <c r="N139" s="489">
        <v>58.201530012439839</v>
      </c>
      <c r="O139" s="379">
        <v>128</v>
      </c>
      <c r="P139" s="379">
        <v>41.7</v>
      </c>
      <c r="Q139" s="105">
        <v>100</v>
      </c>
      <c r="R139" s="105">
        <v>3</v>
      </c>
      <c r="S139" t="s">
        <v>50</v>
      </c>
      <c r="T139" t="s">
        <v>50</v>
      </c>
    </row>
    <row r="140" spans="1:20">
      <c r="A140" s="487">
        <v>44245</v>
      </c>
      <c r="B140" s="112">
        <v>27</v>
      </c>
      <c r="C140" t="s">
        <v>1892</v>
      </c>
      <c r="D140" s="398">
        <v>2110.6999999999998</v>
      </c>
      <c r="E140" s="105"/>
      <c r="F140" s="105"/>
      <c r="G140" s="105"/>
      <c r="H140" s="89">
        <v>179.1679</v>
      </c>
      <c r="I140" s="281">
        <v>0.26118000000000008</v>
      </c>
      <c r="J140" s="281">
        <v>178.90672000000001</v>
      </c>
      <c r="K140" s="488">
        <v>1514.9771753669938</v>
      </c>
      <c r="L140" s="489">
        <v>71.776054170038094</v>
      </c>
      <c r="M140" s="281">
        <v>1490.9886431973357</v>
      </c>
      <c r="N140" s="489">
        <v>70.639533955433549</v>
      </c>
      <c r="O140" s="379">
        <v>128</v>
      </c>
      <c r="P140" s="379">
        <v>41.7</v>
      </c>
      <c r="Q140" s="105">
        <v>100</v>
      </c>
      <c r="R140" s="105">
        <v>3</v>
      </c>
      <c r="S140" t="s">
        <v>50</v>
      </c>
      <c r="T140" t="s">
        <v>50</v>
      </c>
    </row>
    <row r="141" spans="1:20">
      <c r="A141" s="487">
        <v>44245</v>
      </c>
      <c r="B141" s="112">
        <v>28</v>
      </c>
      <c r="C141" t="s">
        <v>1821</v>
      </c>
      <c r="D141" s="105"/>
      <c r="E141" s="105"/>
      <c r="F141" s="105"/>
      <c r="G141" s="105"/>
      <c r="H141" s="89">
        <v>0.35730000000000001</v>
      </c>
      <c r="I141" s="281">
        <v>0.26118000000000008</v>
      </c>
      <c r="J141" s="281">
        <v>9.6119999999999928E-2</v>
      </c>
      <c r="K141" s="488">
        <v>2.2826658465609064</v>
      </c>
      <c r="L141" s="489" t="e">
        <v>#DIV/0!</v>
      </c>
      <c r="M141" s="281">
        <v>0.80105335553705193</v>
      </c>
      <c r="N141" s="489" t="e">
        <v>#DIV/0!</v>
      </c>
      <c r="O141" s="379">
        <v>128</v>
      </c>
      <c r="P141" s="379">
        <v>41.7</v>
      </c>
      <c r="Q141" s="105">
        <v>100</v>
      </c>
      <c r="R141" s="105">
        <v>3</v>
      </c>
      <c r="S141" t="s">
        <v>50</v>
      </c>
      <c r="T141" t="s">
        <v>50</v>
      </c>
    </row>
    <row r="142" spans="1:20">
      <c r="A142" s="487">
        <v>44245</v>
      </c>
      <c r="B142" s="112">
        <v>29</v>
      </c>
      <c r="C142" t="s">
        <v>1898</v>
      </c>
      <c r="D142" s="281">
        <v>1592.4</v>
      </c>
      <c r="E142" s="105"/>
      <c r="F142" s="105"/>
      <c r="G142" s="105">
        <v>1592.0815200000002</v>
      </c>
      <c r="H142" s="89">
        <v>184.7253</v>
      </c>
      <c r="I142" s="281">
        <v>0.26118000000000008</v>
      </c>
      <c r="J142" s="281">
        <v>184.46412000000001</v>
      </c>
      <c r="K142" s="488">
        <v>1561.9914377608834</v>
      </c>
      <c r="L142" s="489">
        <v>98.110016235907523</v>
      </c>
      <c r="M142" s="281">
        <v>1537.3033947377187</v>
      </c>
      <c r="N142" s="489">
        <v>96.559339168619857</v>
      </c>
      <c r="O142" s="379">
        <v>128</v>
      </c>
      <c r="P142" s="379">
        <v>41.7</v>
      </c>
      <c r="Q142" s="105">
        <v>100</v>
      </c>
      <c r="R142" s="105">
        <v>3</v>
      </c>
      <c r="S142" t="s">
        <v>50</v>
      </c>
      <c r="T142" t="s">
        <v>50</v>
      </c>
    </row>
    <row r="143" spans="1:20">
      <c r="A143" s="487">
        <v>44245</v>
      </c>
      <c r="B143" s="112">
        <v>30</v>
      </c>
      <c r="C143" t="s">
        <v>1822</v>
      </c>
      <c r="D143" s="105"/>
      <c r="E143" s="105"/>
      <c r="F143" s="105"/>
      <c r="G143" s="105"/>
      <c r="H143" s="89">
        <v>0.27410000000000001</v>
      </c>
      <c r="I143" s="281">
        <v>0.26118000000000008</v>
      </c>
      <c r="J143" s="281">
        <v>1.2919999999999932E-2</v>
      </c>
      <c r="K143" s="488">
        <v>1.5788139317857195</v>
      </c>
      <c r="L143" s="489" t="e">
        <v>#DIV/0!</v>
      </c>
      <c r="M143" s="281">
        <v>0.10767383846794282</v>
      </c>
      <c r="N143" s="489" t="e">
        <v>#DIV/0!</v>
      </c>
      <c r="O143" s="379">
        <v>128</v>
      </c>
      <c r="P143" s="379">
        <v>41.7</v>
      </c>
      <c r="Q143" s="105">
        <v>100</v>
      </c>
      <c r="R143" s="105">
        <v>3</v>
      </c>
      <c r="S143" t="s">
        <v>50</v>
      </c>
      <c r="T143" t="s">
        <v>50</v>
      </c>
    </row>
    <row r="146" spans="1:27">
      <c r="A146" s="483" t="s">
        <v>1899</v>
      </c>
      <c r="B146" s="112"/>
      <c r="D146" s="105"/>
      <c r="E146" s="105"/>
      <c r="F146" s="105"/>
      <c r="G146" s="105"/>
      <c r="H146" s="446"/>
      <c r="I146" s="281"/>
      <c r="J146" s="105"/>
      <c r="K146" s="484"/>
      <c r="L146" s="485"/>
      <c r="M146" s="105"/>
      <c r="N146" s="485"/>
      <c r="O146" s="379"/>
      <c r="P146" s="379"/>
      <c r="Q146" s="105"/>
      <c r="R146" s="105"/>
    </row>
    <row r="147" spans="1:27">
      <c r="A147" s="486" t="s">
        <v>1879</v>
      </c>
      <c r="B147" s="112"/>
      <c r="D147" s="105"/>
      <c r="E147" s="105"/>
      <c r="F147" s="105"/>
      <c r="G147" s="105"/>
      <c r="H147" s="446"/>
      <c r="I147" s="281"/>
      <c r="J147" s="105"/>
      <c r="K147" s="484"/>
      <c r="L147" s="485"/>
      <c r="M147" s="105"/>
      <c r="N147" s="485"/>
      <c r="O147" s="379"/>
      <c r="P147" s="379"/>
      <c r="Q147" s="105"/>
      <c r="R147" s="105"/>
    </row>
    <row r="148" spans="1:27">
      <c r="A148" s="483" t="s">
        <v>1900</v>
      </c>
      <c r="B148" s="112"/>
      <c r="D148" s="105"/>
      <c r="E148" s="105"/>
      <c r="F148" s="105"/>
      <c r="G148" s="105"/>
      <c r="H148" s="446"/>
      <c r="I148" s="105"/>
      <c r="J148" s="105"/>
      <c r="K148" s="484"/>
      <c r="L148" s="485"/>
      <c r="M148" s="105"/>
      <c r="N148" s="485"/>
      <c r="O148" s="105"/>
      <c r="P148" s="105"/>
      <c r="Q148" s="105"/>
      <c r="R148" s="105"/>
      <c r="X148" s="487">
        <f>A153</f>
        <v>44249</v>
      </c>
    </row>
    <row r="149" spans="1:27">
      <c r="A149" s="487">
        <v>44249</v>
      </c>
      <c r="B149" s="112">
        <v>1</v>
      </c>
      <c r="C149" s="76" t="s">
        <v>1715</v>
      </c>
      <c r="D149" s="105"/>
      <c r="E149" s="105"/>
      <c r="F149" s="105"/>
      <c r="G149" s="89"/>
      <c r="H149" s="89">
        <v>0</v>
      </c>
      <c r="I149" s="281"/>
      <c r="J149" s="281"/>
      <c r="K149" s="484"/>
      <c r="L149" s="485"/>
      <c r="M149" s="105"/>
      <c r="N149" s="485"/>
      <c r="O149" s="105"/>
      <c r="P149" s="105"/>
      <c r="Q149" s="105"/>
      <c r="R149" s="105"/>
      <c r="X149" s="105">
        <f>((J151-INDEX(LINEST($J$151:$J$156,$G$151:$G$156),2))/INDEX(LINEST($J$151:$J$156,$G$151:$G$156),1)/100.09)*12.01</f>
        <v>0.31458835291852372</v>
      </c>
      <c r="Y149" s="105">
        <f>(J151-X149)^2</f>
        <v>9.0233162569103562E-2</v>
      </c>
    </row>
    <row r="150" spans="1:27">
      <c r="A150" s="487">
        <v>44249</v>
      </c>
      <c r="B150" s="112">
        <v>2</v>
      </c>
      <c r="C150" s="76" t="s">
        <v>1801</v>
      </c>
      <c r="D150" s="105"/>
      <c r="E150" s="105"/>
      <c r="F150" s="105"/>
      <c r="G150" s="89"/>
      <c r="H150" s="89">
        <v>0.14199999999999999</v>
      </c>
      <c r="I150" s="281"/>
      <c r="J150" s="281"/>
      <c r="K150" s="484"/>
      <c r="L150" s="485"/>
      <c r="M150" s="105"/>
      <c r="N150" s="485"/>
      <c r="O150" s="105"/>
      <c r="P150" s="105"/>
      <c r="Q150" s="105"/>
      <c r="R150" s="105"/>
      <c r="X150" s="105">
        <f t="shared" ref="X150:X153" si="20">((J152-INDEX(LINEST($J$151:$J$156,$G$151:$G$156),2))/INDEX(LINEST($J$151:$J$156,$G$151:$G$156),1)/100.09)*12.01</f>
        <v>38.127687734331957</v>
      </c>
      <c r="Y150" s="105">
        <f t="shared" ref="Y150:Y154" si="21">(J152-X150)^2</f>
        <v>0.46783922071656397</v>
      </c>
    </row>
    <row r="151" spans="1:27">
      <c r="A151" s="487">
        <v>44249</v>
      </c>
      <c r="B151" s="112">
        <v>3</v>
      </c>
      <c r="C151" s="76" t="s">
        <v>1802</v>
      </c>
      <c r="D151" s="105"/>
      <c r="E151" s="105"/>
      <c r="F151" s="105"/>
      <c r="G151" s="89">
        <v>0</v>
      </c>
      <c r="H151" s="89">
        <v>0</v>
      </c>
      <c r="I151" s="281">
        <v>1.4199999999999999E-2</v>
      </c>
      <c r="J151" s="281">
        <v>1.4199999999999999E-2</v>
      </c>
      <c r="K151" s="484"/>
      <c r="L151" s="485"/>
      <c r="M151" s="105"/>
      <c r="N151" s="485"/>
      <c r="O151" s="105"/>
      <c r="P151" s="105"/>
      <c r="Q151" s="105"/>
      <c r="R151" s="105"/>
      <c r="X151" s="105">
        <f t="shared" si="20"/>
        <v>110.3821818474716</v>
      </c>
      <c r="Y151" s="105">
        <f t="shared" si="21"/>
        <v>2.0078375560640396</v>
      </c>
    </row>
    <row r="152" spans="1:27">
      <c r="A152" s="487">
        <v>44249</v>
      </c>
      <c r="B152" s="112">
        <v>4</v>
      </c>
      <c r="C152" t="s">
        <v>1913</v>
      </c>
      <c r="D152" s="281">
        <v>314.3</v>
      </c>
      <c r="E152" s="105"/>
      <c r="F152" s="105"/>
      <c r="G152" s="281">
        <v>314.23714000000001</v>
      </c>
      <c r="H152" s="89">
        <v>37.457900000000002</v>
      </c>
      <c r="I152" s="281">
        <v>1.4199999999999999E-2</v>
      </c>
      <c r="J152" s="281">
        <v>37.4437</v>
      </c>
      <c r="K152" s="488">
        <v>319.34290575482311</v>
      </c>
      <c r="L152" s="489">
        <v>101.62481295330753</v>
      </c>
      <c r="M152" s="281">
        <v>312.05161806827647</v>
      </c>
      <c r="N152" s="489">
        <v>99.304499165272588</v>
      </c>
      <c r="O152" s="379">
        <v>128</v>
      </c>
      <c r="P152" s="379">
        <v>41.7</v>
      </c>
      <c r="Q152" s="105">
        <v>100</v>
      </c>
      <c r="R152" s="105">
        <v>3</v>
      </c>
      <c r="S152" t="s">
        <v>50</v>
      </c>
      <c r="T152" t="s">
        <v>50</v>
      </c>
      <c r="X152" s="105">
        <f t="shared" si="20"/>
        <v>235.34740608857521</v>
      </c>
      <c r="Y152" s="105">
        <f t="shared" si="21"/>
        <v>7.2076467820328114</v>
      </c>
    </row>
    <row r="153" spans="1:27">
      <c r="A153" s="487">
        <v>44249</v>
      </c>
      <c r="B153" s="112">
        <v>5</v>
      </c>
      <c r="C153" t="s">
        <v>1914</v>
      </c>
      <c r="D153" s="281">
        <v>923.7</v>
      </c>
      <c r="E153" s="105"/>
      <c r="F153" s="105"/>
      <c r="G153" s="281">
        <v>923.51526000000001</v>
      </c>
      <c r="H153" s="89">
        <v>108.9794</v>
      </c>
      <c r="I153" s="281">
        <v>1.4199999999999999E-2</v>
      </c>
      <c r="J153" s="281">
        <v>108.9652</v>
      </c>
      <c r="K153" s="488">
        <v>921.11411097879932</v>
      </c>
      <c r="L153" s="489">
        <v>99.739998988083784</v>
      </c>
      <c r="M153" s="281">
        <v>908.10381915070775</v>
      </c>
      <c r="N153" s="489">
        <v>98.331219686690147</v>
      </c>
      <c r="O153" s="379">
        <v>128</v>
      </c>
      <c r="P153" s="379">
        <v>41.7</v>
      </c>
      <c r="Q153" s="105">
        <v>100</v>
      </c>
      <c r="R153" s="105">
        <v>3</v>
      </c>
      <c r="S153" t="s">
        <v>50</v>
      </c>
      <c r="T153" t="s">
        <v>50</v>
      </c>
      <c r="X153" s="105">
        <f t="shared" si="20"/>
        <v>336.70847523498321</v>
      </c>
      <c r="Y153" s="105">
        <f t="shared" si="21"/>
        <v>13.78618509559869</v>
      </c>
    </row>
    <row r="154" spans="1:27" ht="15.5">
      <c r="A154" s="487">
        <v>44249</v>
      </c>
      <c r="B154" s="112">
        <v>6</v>
      </c>
      <c r="C154" t="s">
        <v>1915</v>
      </c>
      <c r="D154" s="281">
        <v>1974</v>
      </c>
      <c r="E154" s="105"/>
      <c r="F154" s="105"/>
      <c r="G154" s="281">
        <v>1973.6052</v>
      </c>
      <c r="H154" s="89">
        <v>232.67689999999999</v>
      </c>
      <c r="I154" s="281">
        <v>1.4199999999999999E-2</v>
      </c>
      <c r="J154" s="281">
        <v>232.6627</v>
      </c>
      <c r="K154" s="488">
        <v>1961.8863774747872</v>
      </c>
      <c r="L154" s="489">
        <v>99.406222555290555</v>
      </c>
      <c r="M154" s="281">
        <v>1938.9849827643632</v>
      </c>
      <c r="N154" s="489">
        <v>98.245838770812085</v>
      </c>
      <c r="O154" s="379">
        <v>128</v>
      </c>
      <c r="P154" s="379">
        <v>41.7</v>
      </c>
      <c r="Q154" s="105">
        <v>100</v>
      </c>
      <c r="R154" s="105">
        <v>3</v>
      </c>
      <c r="S154" t="s">
        <v>50</v>
      </c>
      <c r="T154" t="s">
        <v>50</v>
      </c>
      <c r="X154" s="105">
        <f>((J156-INDEX(LINEST($J$151:$J$156,$G$151:$G$156),2))/INDEX(LINEST($J$151:$J$156,$G$151:$G$156),1)/100.09)*12.01</f>
        <v>458.95704000837924</v>
      </c>
      <c r="Y154" s="105">
        <f t="shared" si="21"/>
        <v>24.533595942607203</v>
      </c>
      <c r="AA154" s="227" t="s">
        <v>1935</v>
      </c>
    </row>
    <row r="155" spans="1:27" ht="15.5">
      <c r="A155" s="487">
        <v>44249</v>
      </c>
      <c r="B155" s="112">
        <v>7</v>
      </c>
      <c r="C155" t="s">
        <v>1916</v>
      </c>
      <c r="D155" s="281">
        <v>2796.2</v>
      </c>
      <c r="E155" s="105"/>
      <c r="F155" s="105"/>
      <c r="G155" s="281">
        <v>2795.6407599999998</v>
      </c>
      <c r="H155" s="89">
        <v>333.00970000000001</v>
      </c>
      <c r="I155" s="281">
        <v>1.4199999999999999E-2</v>
      </c>
      <c r="J155" s="281">
        <v>332.99549999999999</v>
      </c>
      <c r="K155" s="488">
        <v>2806.0715522753176</v>
      </c>
      <c r="L155" s="489">
        <v>100.37310917856692</v>
      </c>
      <c r="M155" s="281">
        <v>2775.1473434637801</v>
      </c>
      <c r="N155" s="489">
        <v>99.266951003525236</v>
      </c>
      <c r="O155" s="379">
        <v>128</v>
      </c>
      <c r="P155" s="379">
        <v>41.7</v>
      </c>
      <c r="Q155" s="105">
        <v>100</v>
      </c>
      <c r="R155" s="105">
        <v>3</v>
      </c>
      <c r="S155" t="s">
        <v>50</v>
      </c>
      <c r="T155" t="s">
        <v>50</v>
      </c>
      <c r="Y155" s="226">
        <f>SQRT(SUM(Y149:Y154)/(6-2))</f>
        <v>3.4674680156992221</v>
      </c>
      <c r="Z155" s="227" t="s">
        <v>1936</v>
      </c>
      <c r="AA155" s="226">
        <f>(Y155/$AK$15)*100</f>
        <v>1.7823708440333368</v>
      </c>
    </row>
    <row r="156" spans="1:27" ht="15.5">
      <c r="A156" s="487">
        <v>44249</v>
      </c>
      <c r="B156" s="112">
        <v>8</v>
      </c>
      <c r="C156" t="s">
        <v>1917</v>
      </c>
      <c r="D156" s="281">
        <v>3826.4</v>
      </c>
      <c r="E156" s="105"/>
      <c r="F156" s="105"/>
      <c r="G156" s="281">
        <v>3825.63472</v>
      </c>
      <c r="H156" s="89">
        <v>454.0181</v>
      </c>
      <c r="I156" s="281">
        <v>1.4199999999999999E-2</v>
      </c>
      <c r="J156" s="281">
        <v>454.00389999999999</v>
      </c>
      <c r="K156" s="488">
        <v>3824.2181335162732</v>
      </c>
      <c r="L156" s="489">
        <v>99.962971203802581</v>
      </c>
      <c r="M156" s="281">
        <v>3783.6178477102417</v>
      </c>
      <c r="N156" s="489">
        <v>98.901701930137278</v>
      </c>
      <c r="O156" s="379">
        <v>128</v>
      </c>
      <c r="P156" s="379">
        <v>41.7</v>
      </c>
      <c r="Q156" s="105">
        <v>100</v>
      </c>
      <c r="R156" s="105">
        <v>3</v>
      </c>
      <c r="S156" t="s">
        <v>50</v>
      </c>
      <c r="T156" t="s">
        <v>50</v>
      </c>
      <c r="Y156" s="226">
        <f>(Y155/12.01)*100.09</f>
        <v>28.897491564640731</v>
      </c>
      <c r="Z156" s="227" t="s">
        <v>1937</v>
      </c>
    </row>
    <row r="157" spans="1:27">
      <c r="A157" s="487">
        <v>44249</v>
      </c>
      <c r="B157" s="112">
        <v>9</v>
      </c>
      <c r="C157" t="s">
        <v>1803</v>
      </c>
      <c r="D157" s="379"/>
      <c r="E157" s="105"/>
      <c r="F157" s="105"/>
      <c r="G157" s="105"/>
      <c r="H157" s="89">
        <v>0</v>
      </c>
      <c r="I157" s="281">
        <v>1.4199999999999999E-2</v>
      </c>
      <c r="J157" s="281">
        <v>-1.4199999999999999E-2</v>
      </c>
      <c r="K157" s="488">
        <v>4.1777368453458852</v>
      </c>
      <c r="L157" s="489"/>
      <c r="M157" s="281">
        <v>-0.11834121565362199</v>
      </c>
      <c r="N157" s="489"/>
      <c r="O157" s="379">
        <v>128</v>
      </c>
      <c r="P157" s="379">
        <v>41.7</v>
      </c>
      <c r="Q157" s="105">
        <v>100</v>
      </c>
      <c r="R157" s="105">
        <v>3</v>
      </c>
      <c r="S157" t="s">
        <v>50</v>
      </c>
      <c r="T157" t="s">
        <v>50</v>
      </c>
    </row>
    <row r="158" spans="1:27">
      <c r="A158" s="487">
        <v>44249</v>
      </c>
      <c r="B158" s="112">
        <v>10</v>
      </c>
      <c r="C158" t="s">
        <v>1804</v>
      </c>
      <c r="D158" s="379"/>
      <c r="E158" s="105"/>
      <c r="F158" s="105"/>
      <c r="G158" s="105"/>
      <c r="H158" s="89">
        <v>0</v>
      </c>
      <c r="I158" s="281">
        <v>1.4199999999999999E-2</v>
      </c>
      <c r="J158" s="281">
        <v>-1.4199999999999999E-2</v>
      </c>
      <c r="K158" s="488">
        <v>4.1777368453458852</v>
      </c>
      <c r="L158" s="489"/>
      <c r="M158" s="281">
        <v>-0.11834121565362199</v>
      </c>
      <c r="N158" s="489"/>
      <c r="O158" s="379">
        <v>128</v>
      </c>
      <c r="P158" s="379">
        <v>41.7</v>
      </c>
      <c r="Q158" s="105">
        <v>100</v>
      </c>
      <c r="R158" s="105">
        <v>3</v>
      </c>
      <c r="S158" t="s">
        <v>50</v>
      </c>
      <c r="T158" t="s">
        <v>50</v>
      </c>
    </row>
    <row r="159" spans="1:27">
      <c r="A159" s="487">
        <v>44249</v>
      </c>
      <c r="B159" s="112">
        <v>11</v>
      </c>
      <c r="C159" t="s">
        <v>1805</v>
      </c>
      <c r="D159" s="379"/>
      <c r="E159" s="105"/>
      <c r="F159" s="105"/>
      <c r="G159" s="105"/>
      <c r="H159" s="89">
        <v>0</v>
      </c>
      <c r="I159" s="281">
        <v>1.4199999999999999E-2</v>
      </c>
      <c r="J159" s="281">
        <v>-1.4199999999999999E-2</v>
      </c>
      <c r="K159" s="488">
        <v>4.1777368453458852</v>
      </c>
      <c r="L159" s="489"/>
      <c r="M159" s="281">
        <v>-0.11834121565362199</v>
      </c>
      <c r="N159" s="489"/>
      <c r="O159" s="379">
        <v>128</v>
      </c>
      <c r="P159" s="379">
        <v>41.7</v>
      </c>
      <c r="Q159" s="105">
        <v>100</v>
      </c>
      <c r="R159" s="105">
        <v>3</v>
      </c>
      <c r="S159" t="s">
        <v>50</v>
      </c>
      <c r="T159" t="s">
        <v>50</v>
      </c>
    </row>
    <row r="160" spans="1:27">
      <c r="A160" s="487">
        <v>44249</v>
      </c>
      <c r="B160" s="112">
        <v>12</v>
      </c>
      <c r="C160" s="66" t="s">
        <v>1806</v>
      </c>
      <c r="D160" s="490">
        <v>1132.5999999999999</v>
      </c>
      <c r="E160" s="263"/>
      <c r="F160" s="263"/>
      <c r="G160" s="263"/>
      <c r="H160" s="89">
        <v>17.9406</v>
      </c>
      <c r="I160" s="490">
        <v>1.4199999999999999E-2</v>
      </c>
      <c r="J160" s="281">
        <v>17.926400000000001</v>
      </c>
      <c r="K160" s="488">
        <v>155.12726229491375</v>
      </c>
      <c r="L160" s="491">
        <v>13.696562095613082</v>
      </c>
      <c r="M160" s="490">
        <v>149.39661748542883</v>
      </c>
      <c r="N160" s="491">
        <v>13.190589571378142</v>
      </c>
      <c r="O160" s="379">
        <v>128</v>
      </c>
      <c r="P160" s="379">
        <v>41.7</v>
      </c>
      <c r="Q160" s="105">
        <v>100</v>
      </c>
      <c r="R160" s="105">
        <v>3</v>
      </c>
      <c r="S160" t="s">
        <v>50</v>
      </c>
      <c r="T160" t="s">
        <v>50</v>
      </c>
    </row>
    <row r="161" spans="1:20">
      <c r="A161" s="487">
        <v>44249</v>
      </c>
      <c r="B161" s="112">
        <v>13</v>
      </c>
      <c r="C161" s="66" t="s">
        <v>1806</v>
      </c>
      <c r="D161" s="490">
        <v>2553.8000000000002</v>
      </c>
      <c r="E161" s="263"/>
      <c r="F161" s="263"/>
      <c r="G161" s="263"/>
      <c r="H161" s="89">
        <v>37.780700000000003</v>
      </c>
      <c r="I161" s="490">
        <v>1.4199999999999999E-2</v>
      </c>
      <c r="J161" s="281">
        <v>37.766500000000001</v>
      </c>
      <c r="K161" s="488">
        <v>322.058896681276</v>
      </c>
      <c r="L161" s="491">
        <v>12.610967839348264</v>
      </c>
      <c r="M161" s="490">
        <v>314.74179725228981</v>
      </c>
      <c r="N161" s="491">
        <v>12.324449731861922</v>
      </c>
      <c r="O161" s="379">
        <v>128</v>
      </c>
      <c r="P161" s="379">
        <v>41.7</v>
      </c>
      <c r="Q161" s="105">
        <v>100</v>
      </c>
      <c r="R161" s="105">
        <v>3</v>
      </c>
      <c r="S161" t="s">
        <v>50</v>
      </c>
      <c r="T161" t="s">
        <v>50</v>
      </c>
    </row>
    <row r="162" spans="1:20">
      <c r="A162" s="487">
        <v>44249</v>
      </c>
      <c r="B162" s="112">
        <v>14</v>
      </c>
      <c r="C162" t="s">
        <v>1807</v>
      </c>
      <c r="D162" s="379"/>
      <c r="E162" s="105"/>
      <c r="F162" s="105"/>
      <c r="G162" s="105"/>
      <c r="H162" s="89">
        <v>0</v>
      </c>
      <c r="I162" s="281">
        <v>1.4199999999999999E-2</v>
      </c>
      <c r="J162" s="281">
        <v>-1.4199999999999999E-2</v>
      </c>
      <c r="K162" s="488">
        <v>4.1777368453458852</v>
      </c>
      <c r="L162" s="489"/>
      <c r="M162" s="281">
        <v>-0.11834121565362199</v>
      </c>
      <c r="N162" s="489" t="e">
        <v>#DIV/0!</v>
      </c>
      <c r="O162" s="379">
        <v>128</v>
      </c>
      <c r="P162" s="379">
        <v>41.7</v>
      </c>
      <c r="Q162" s="105">
        <v>100</v>
      </c>
      <c r="R162" s="105">
        <v>3</v>
      </c>
      <c r="S162" t="s">
        <v>50</v>
      </c>
      <c r="T162" t="s">
        <v>50</v>
      </c>
    </row>
    <row r="163" spans="1:20">
      <c r="A163" s="492">
        <v>44249</v>
      </c>
      <c r="B163" s="493">
        <v>15</v>
      </c>
      <c r="C163" s="395" t="s">
        <v>1901</v>
      </c>
      <c r="D163" s="398">
        <v>2128.8000000000002</v>
      </c>
      <c r="E163" s="449"/>
      <c r="F163" s="449"/>
      <c r="G163" s="449"/>
      <c r="H163" s="494">
        <v>145.74270000000001</v>
      </c>
      <c r="I163" s="495">
        <v>1.4199999999999999E-2</v>
      </c>
      <c r="J163" s="495">
        <v>145.72850000000003</v>
      </c>
      <c r="K163" s="488">
        <v>1230.4350193631399</v>
      </c>
      <c r="L163" s="497">
        <v>57.799465396614977</v>
      </c>
      <c r="M163" s="495">
        <v>1214.4850595337221</v>
      </c>
      <c r="N163" s="497">
        <v>57.050218880764845</v>
      </c>
      <c r="O163" s="498">
        <v>128</v>
      </c>
      <c r="P163" s="498">
        <v>41.7</v>
      </c>
      <c r="Q163" s="449">
        <v>100</v>
      </c>
      <c r="R163" s="449">
        <v>3</v>
      </c>
      <c r="S163" s="395" t="s">
        <v>50</v>
      </c>
      <c r="T163" s="395" t="s">
        <v>50</v>
      </c>
    </row>
    <row r="164" spans="1:20">
      <c r="A164" s="487">
        <v>44249</v>
      </c>
      <c r="B164" s="112">
        <v>16</v>
      </c>
      <c r="C164" s="89" t="s">
        <v>1902</v>
      </c>
      <c r="D164" s="398">
        <v>2249.5</v>
      </c>
      <c r="E164" s="105"/>
      <c r="F164" s="105"/>
      <c r="G164" s="105"/>
      <c r="H164" s="89">
        <v>145.88900000000001</v>
      </c>
      <c r="I164" s="281">
        <v>1.4199999999999999E-2</v>
      </c>
      <c r="J164" s="281">
        <v>145.87480000000002</v>
      </c>
      <c r="K164" s="488">
        <v>1231.6659656845156</v>
      </c>
      <c r="L164" s="489">
        <v>54.752876891954458</v>
      </c>
      <c r="M164" s="281">
        <v>1215.7043074104915</v>
      </c>
      <c r="N164" s="489">
        <v>54.043312176505516</v>
      </c>
      <c r="O164" s="379">
        <v>128</v>
      </c>
      <c r="P164" s="379">
        <v>41.7</v>
      </c>
      <c r="Q164" s="105">
        <v>100</v>
      </c>
      <c r="R164" s="105">
        <v>3</v>
      </c>
      <c r="S164" t="s">
        <v>50</v>
      </c>
      <c r="T164" t="s">
        <v>50</v>
      </c>
    </row>
    <row r="165" spans="1:20">
      <c r="A165" s="487">
        <v>44249</v>
      </c>
      <c r="B165" s="112">
        <v>17</v>
      </c>
      <c r="C165" s="89" t="s">
        <v>1903</v>
      </c>
      <c r="D165" s="398">
        <v>2823.5</v>
      </c>
      <c r="E165" s="105"/>
      <c r="F165" s="105"/>
      <c r="G165" s="105"/>
      <c r="H165" s="89">
        <v>197.691</v>
      </c>
      <c r="I165" s="281">
        <v>1.4199999999999999E-2</v>
      </c>
      <c r="J165" s="281">
        <v>197.67680000000001</v>
      </c>
      <c r="K165" s="488">
        <v>1667.5202468868451</v>
      </c>
      <c r="L165" s="489">
        <v>59.05862393790845</v>
      </c>
      <c r="M165" s="281">
        <v>1647.4163956702748</v>
      </c>
      <c r="N165" s="489">
        <v>58.346605123792273</v>
      </c>
      <c r="O165" s="379">
        <v>128</v>
      </c>
      <c r="P165" s="379">
        <v>41.7</v>
      </c>
      <c r="Q165" s="105">
        <v>100</v>
      </c>
      <c r="R165" s="105">
        <v>3</v>
      </c>
      <c r="S165" t="s">
        <v>50</v>
      </c>
      <c r="T165" t="s">
        <v>50</v>
      </c>
    </row>
    <row r="166" spans="1:20">
      <c r="A166" s="487">
        <v>44249</v>
      </c>
      <c r="B166" s="112">
        <v>18</v>
      </c>
      <c r="C166" s="89" t="s">
        <v>1904</v>
      </c>
      <c r="D166" s="398">
        <v>2102.4</v>
      </c>
      <c r="E166" s="105"/>
      <c r="F166" s="105"/>
      <c r="G166" s="105"/>
      <c r="H166" s="89">
        <v>133.33590000000001</v>
      </c>
      <c r="I166" s="281">
        <v>1.4199999999999999E-2</v>
      </c>
      <c r="J166" s="281">
        <v>133.32170000000002</v>
      </c>
      <c r="K166" s="488">
        <v>1126.0460595542318</v>
      </c>
      <c r="L166" s="489">
        <v>53.560029468903714</v>
      </c>
      <c r="M166" s="281">
        <v>1111.0881726061618</v>
      </c>
      <c r="N166" s="489">
        <v>52.848562243443766</v>
      </c>
      <c r="O166" s="379">
        <v>128</v>
      </c>
      <c r="P166" s="379">
        <v>41.7</v>
      </c>
      <c r="Q166" s="105">
        <v>100</v>
      </c>
      <c r="R166" s="105">
        <v>3</v>
      </c>
      <c r="S166" t="s">
        <v>50</v>
      </c>
      <c r="T166" t="s">
        <v>50</v>
      </c>
    </row>
    <row r="167" spans="1:20">
      <c r="A167" s="487">
        <v>44249</v>
      </c>
      <c r="B167" s="112">
        <v>19</v>
      </c>
      <c r="C167" s="89" t="s">
        <v>1905</v>
      </c>
      <c r="D167" s="398">
        <v>2652.8</v>
      </c>
      <c r="E167" s="105"/>
      <c r="F167" s="105"/>
      <c r="G167" s="105"/>
      <c r="H167" s="89">
        <v>172.40170000000001</v>
      </c>
      <c r="I167" s="281">
        <v>1.4199999999999999E-2</v>
      </c>
      <c r="J167" s="281">
        <v>172.38750000000002</v>
      </c>
      <c r="K167" s="488">
        <v>1454.7398586082059</v>
      </c>
      <c r="L167" s="489">
        <v>54.837901787100641</v>
      </c>
      <c r="M167" s="281">
        <v>1436.6581910907578</v>
      </c>
      <c r="N167" s="489">
        <v>54.156294899380192</v>
      </c>
      <c r="O167" s="379">
        <v>128</v>
      </c>
      <c r="P167" s="379">
        <v>41.7</v>
      </c>
      <c r="Q167" s="105">
        <v>100</v>
      </c>
      <c r="R167" s="105">
        <v>3</v>
      </c>
      <c r="S167" t="s">
        <v>50</v>
      </c>
      <c r="T167" t="s">
        <v>50</v>
      </c>
    </row>
    <row r="168" spans="1:20">
      <c r="A168" s="487">
        <v>44249</v>
      </c>
      <c r="B168" s="112">
        <v>20</v>
      </c>
      <c r="C168" s="89" t="s">
        <v>1906</v>
      </c>
      <c r="D168" s="398">
        <v>2650</v>
      </c>
      <c r="E168" s="105"/>
      <c r="F168" s="105"/>
      <c r="G168" s="105"/>
      <c r="H168" s="89">
        <v>146.79830000000001</v>
      </c>
      <c r="I168" s="281">
        <v>1.4199999999999999E-2</v>
      </c>
      <c r="J168" s="281">
        <v>146.78410000000002</v>
      </c>
      <c r="K168" s="488">
        <v>1239.3166799020607</v>
      </c>
      <c r="L168" s="489">
        <v>46.766667166115496</v>
      </c>
      <c r="M168" s="281">
        <v>1223.2823121565364</v>
      </c>
      <c r="N168" s="489">
        <v>46.161596685152318</v>
      </c>
      <c r="O168" s="379">
        <v>128</v>
      </c>
      <c r="P168" s="379">
        <v>41.7</v>
      </c>
      <c r="Q168" s="105">
        <v>100</v>
      </c>
      <c r="R168" s="105">
        <v>3</v>
      </c>
      <c r="S168" t="s">
        <v>50</v>
      </c>
      <c r="T168" t="s">
        <v>50</v>
      </c>
    </row>
    <row r="169" spans="1:20">
      <c r="A169" s="487">
        <v>44249</v>
      </c>
      <c r="B169" s="112">
        <v>21</v>
      </c>
      <c r="C169" s="89" t="s">
        <v>1814</v>
      </c>
      <c r="D169" s="379"/>
      <c r="E169" s="105"/>
      <c r="F169" s="105"/>
      <c r="G169" s="105"/>
      <c r="H169" s="89">
        <v>0</v>
      </c>
      <c r="I169" s="281">
        <v>1.4199999999999999E-2</v>
      </c>
      <c r="J169" s="281">
        <v>-1.4199999999999999E-2</v>
      </c>
      <c r="K169" s="488">
        <v>4.1777368453458852</v>
      </c>
      <c r="L169" s="489"/>
      <c r="M169" s="281">
        <v>-0.11834121565362199</v>
      </c>
      <c r="N169" s="489" t="e">
        <v>#DIV/0!</v>
      </c>
      <c r="O169" s="379">
        <v>128</v>
      </c>
      <c r="P169" s="379">
        <v>41.7</v>
      </c>
      <c r="Q169" s="105">
        <v>100</v>
      </c>
      <c r="R169" s="105">
        <v>3</v>
      </c>
      <c r="S169" t="s">
        <v>50</v>
      </c>
      <c r="T169" t="s">
        <v>50</v>
      </c>
    </row>
    <row r="170" spans="1:20">
      <c r="A170" s="492">
        <v>44249</v>
      </c>
      <c r="B170" s="493">
        <v>22</v>
      </c>
      <c r="C170" s="494" t="s">
        <v>1907</v>
      </c>
      <c r="D170" s="398">
        <v>2338.1</v>
      </c>
      <c r="E170" s="449"/>
      <c r="F170" s="449"/>
      <c r="G170" s="449"/>
      <c r="H170" s="494">
        <v>158.9205</v>
      </c>
      <c r="I170" s="495">
        <v>1.4199999999999999E-2</v>
      </c>
      <c r="J170" s="495">
        <v>158.90630000000002</v>
      </c>
      <c r="K170" s="488">
        <v>1341.3110578718472</v>
      </c>
      <c r="L170" s="497">
        <v>57.367565881350124</v>
      </c>
      <c r="M170" s="495">
        <v>1324.3073744379685</v>
      </c>
      <c r="N170" s="497">
        <v>56.640322246181455</v>
      </c>
      <c r="O170" s="498">
        <v>128</v>
      </c>
      <c r="P170" s="498">
        <v>41.7</v>
      </c>
      <c r="Q170" s="449">
        <v>100</v>
      </c>
      <c r="R170" s="449">
        <v>3</v>
      </c>
      <c r="S170" s="395" t="s">
        <v>50</v>
      </c>
      <c r="T170" s="395" t="s">
        <v>50</v>
      </c>
    </row>
    <row r="171" spans="1:20">
      <c r="A171" s="487">
        <v>44249</v>
      </c>
      <c r="B171" s="112">
        <v>23</v>
      </c>
      <c r="C171" s="89" t="s">
        <v>1908</v>
      </c>
      <c r="D171" s="398">
        <v>2186.5</v>
      </c>
      <c r="E171" s="105"/>
      <c r="F171" s="105"/>
      <c r="G171" s="105"/>
      <c r="H171" s="89">
        <v>107.038</v>
      </c>
      <c r="I171" s="281">
        <v>1.4199999999999999E-2</v>
      </c>
      <c r="J171" s="281">
        <v>107.02379999999999</v>
      </c>
      <c r="K171" s="488">
        <v>904.77946170799498</v>
      </c>
      <c r="L171" s="489">
        <v>41.380263512828492</v>
      </c>
      <c r="M171" s="281">
        <v>891.92440815986674</v>
      </c>
      <c r="N171" s="489">
        <v>40.792335154807532</v>
      </c>
      <c r="O171" s="379">
        <v>128</v>
      </c>
      <c r="P171" s="379">
        <v>41.7</v>
      </c>
      <c r="Q171" s="105">
        <v>100</v>
      </c>
      <c r="R171" s="105">
        <v>3</v>
      </c>
      <c r="S171" t="s">
        <v>50</v>
      </c>
      <c r="T171" t="s">
        <v>50</v>
      </c>
    </row>
    <row r="172" spans="1:20">
      <c r="A172" s="487">
        <v>44249</v>
      </c>
      <c r="B172" s="112">
        <v>24</v>
      </c>
      <c r="C172" s="89" t="s">
        <v>1909</v>
      </c>
      <c r="D172" s="398">
        <v>2144.9</v>
      </c>
      <c r="E172" s="105"/>
      <c r="F172" s="105"/>
      <c r="G172" s="105"/>
      <c r="H172" s="89">
        <v>147.54929999999999</v>
      </c>
      <c r="I172" s="281">
        <v>1.4199999999999999E-2</v>
      </c>
      <c r="J172" s="281">
        <v>147.5351</v>
      </c>
      <c r="K172" s="488">
        <v>1245.6354815927859</v>
      </c>
      <c r="L172" s="489">
        <v>58.07429164962403</v>
      </c>
      <c r="M172" s="281">
        <v>1229.541062364696</v>
      </c>
      <c r="N172" s="489">
        <v>57.323934093183638</v>
      </c>
      <c r="O172" s="379">
        <v>128</v>
      </c>
      <c r="P172" s="379">
        <v>41.7</v>
      </c>
      <c r="Q172" s="105">
        <v>100</v>
      </c>
      <c r="R172" s="105">
        <v>3</v>
      </c>
      <c r="S172" t="s">
        <v>50</v>
      </c>
      <c r="T172" t="s">
        <v>50</v>
      </c>
    </row>
    <row r="173" spans="1:20">
      <c r="A173" s="487">
        <v>44249</v>
      </c>
      <c r="B173" s="112">
        <v>25</v>
      </c>
      <c r="C173" s="89" t="s">
        <v>1910</v>
      </c>
      <c r="D173" s="398">
        <v>3010.8</v>
      </c>
      <c r="E173" s="105"/>
      <c r="F173" s="105"/>
      <c r="G173" s="105"/>
      <c r="H173" s="89">
        <v>220.46629999999999</v>
      </c>
      <c r="I173" s="281">
        <v>1.4199999999999999E-2</v>
      </c>
      <c r="J173" s="281">
        <v>220.4521</v>
      </c>
      <c r="K173" s="488">
        <v>1859.148215124894</v>
      </c>
      <c r="L173" s="489">
        <v>61.74930965606795</v>
      </c>
      <c r="M173" s="281">
        <v>1837.223204746045</v>
      </c>
      <c r="N173" s="489">
        <v>61.021097540389427</v>
      </c>
      <c r="O173" s="379">
        <v>128</v>
      </c>
      <c r="P173" s="379">
        <v>41.7</v>
      </c>
      <c r="Q173" s="105">
        <v>100</v>
      </c>
      <c r="R173" s="105">
        <v>3</v>
      </c>
      <c r="S173" t="s">
        <v>50</v>
      </c>
      <c r="T173" t="s">
        <v>50</v>
      </c>
    </row>
    <row r="174" spans="1:20">
      <c r="A174" s="487">
        <v>44249</v>
      </c>
      <c r="B174" s="112">
        <v>26</v>
      </c>
      <c r="C174" s="89" t="s">
        <v>1911</v>
      </c>
      <c r="D174" s="398">
        <v>2101.3000000000002</v>
      </c>
      <c r="E174" s="105"/>
      <c r="F174" s="105"/>
      <c r="G174" s="105"/>
      <c r="H174" s="89">
        <v>170.79310000000001</v>
      </c>
      <c r="I174" s="281">
        <v>1.4199999999999999E-2</v>
      </c>
      <c r="J174" s="281">
        <v>170.77890000000002</v>
      </c>
      <c r="K174" s="488">
        <v>1441.2053387683914</v>
      </c>
      <c r="L174" s="489">
        <v>68.586367428182143</v>
      </c>
      <c r="M174" s="281">
        <v>1423.2522981681934</v>
      </c>
      <c r="N174" s="489">
        <v>67.7319896334742</v>
      </c>
      <c r="O174" s="379">
        <v>128</v>
      </c>
      <c r="P174" s="379">
        <v>41.7</v>
      </c>
      <c r="Q174" s="105">
        <v>100</v>
      </c>
      <c r="R174" s="105">
        <v>3</v>
      </c>
      <c r="S174" t="s">
        <v>50</v>
      </c>
      <c r="T174" t="s">
        <v>50</v>
      </c>
    </row>
    <row r="175" spans="1:20">
      <c r="A175" s="487">
        <v>44249</v>
      </c>
      <c r="B175" s="112">
        <v>27</v>
      </c>
      <c r="C175" s="89" t="s">
        <v>1912</v>
      </c>
      <c r="D175" s="398">
        <v>2524.6999999999998</v>
      </c>
      <c r="E175" s="105"/>
      <c r="F175" s="105"/>
      <c r="G175" s="105"/>
      <c r="H175" s="89">
        <v>221.39859999999999</v>
      </c>
      <c r="I175" s="281">
        <v>1.4199999999999999E-2</v>
      </c>
      <c r="J175" s="281">
        <v>221.3844</v>
      </c>
      <c r="K175" s="488">
        <v>1866.9924479028741</v>
      </c>
      <c r="L175" s="489">
        <v>73.949080995875718</v>
      </c>
      <c r="M175" s="281">
        <v>1844.9928889258952</v>
      </c>
      <c r="N175" s="489">
        <v>73.077707803932952</v>
      </c>
      <c r="O175" s="379">
        <v>128</v>
      </c>
      <c r="P175" s="379">
        <v>41.7</v>
      </c>
      <c r="Q175" s="105">
        <v>100</v>
      </c>
      <c r="R175" s="105">
        <v>3</v>
      </c>
      <c r="S175" t="s">
        <v>50</v>
      </c>
      <c r="T175" t="s">
        <v>50</v>
      </c>
    </row>
    <row r="176" spans="1:20">
      <c r="A176" s="487">
        <v>44249</v>
      </c>
      <c r="B176" s="112">
        <v>28</v>
      </c>
      <c r="C176" s="89" t="s">
        <v>1821</v>
      </c>
      <c r="D176" s="281"/>
      <c r="E176" s="105"/>
      <c r="F176" s="105"/>
      <c r="G176" s="105"/>
      <c r="H176" s="89">
        <v>0</v>
      </c>
      <c r="I176" s="281">
        <v>1.4199999999999999E-2</v>
      </c>
      <c r="J176" s="281">
        <v>-1.4199999999999999E-2</v>
      </c>
      <c r="K176" s="488">
        <v>4.1777368453458852</v>
      </c>
      <c r="L176" s="489"/>
      <c r="M176" s="281">
        <v>-0.11834121565362199</v>
      </c>
      <c r="N176" s="489" t="e">
        <v>#DIV/0!</v>
      </c>
      <c r="O176" s="379">
        <v>128</v>
      </c>
      <c r="P176" s="379">
        <v>41.7</v>
      </c>
      <c r="Q176" s="105">
        <v>100</v>
      </c>
      <c r="R176" s="105">
        <v>3</v>
      </c>
      <c r="S176" t="s">
        <v>50</v>
      </c>
      <c r="T176" t="s">
        <v>50</v>
      </c>
    </row>
    <row r="177" spans="1:27">
      <c r="A177" s="487">
        <v>44249</v>
      </c>
      <c r="B177" s="112">
        <v>29</v>
      </c>
      <c r="C177" s="89" t="s">
        <v>1918</v>
      </c>
      <c r="D177" s="281">
        <v>1904.8</v>
      </c>
      <c r="E177" s="105"/>
      <c r="F177" s="105"/>
      <c r="G177" s="105">
        <v>1904.41904</v>
      </c>
      <c r="H177" s="89">
        <v>225.3185</v>
      </c>
      <c r="I177" s="281">
        <v>1.4199999999999999E-2</v>
      </c>
      <c r="J177" s="281">
        <v>225.30430000000001</v>
      </c>
      <c r="K177" s="488">
        <v>1899.9739002963149</v>
      </c>
      <c r="L177" s="489">
        <v>99.76658815048998</v>
      </c>
      <c r="M177" s="281">
        <v>1877.6608981681934</v>
      </c>
      <c r="N177" s="489">
        <v>98.594944638244826</v>
      </c>
      <c r="O177" s="379">
        <v>128</v>
      </c>
      <c r="P177" s="379">
        <v>41.7</v>
      </c>
      <c r="Q177" s="105">
        <v>100</v>
      </c>
      <c r="R177" s="105">
        <v>3</v>
      </c>
      <c r="S177" t="s">
        <v>50</v>
      </c>
      <c r="T177" t="s">
        <v>50</v>
      </c>
    </row>
    <row r="178" spans="1:27">
      <c r="A178" s="487">
        <v>44249</v>
      </c>
      <c r="B178" s="112">
        <v>30</v>
      </c>
      <c r="C178" s="89" t="s">
        <v>1822</v>
      </c>
      <c r="D178" s="281"/>
      <c r="E178" s="105"/>
      <c r="F178" s="105"/>
      <c r="G178" s="105"/>
      <c r="H178" s="89">
        <v>0</v>
      </c>
      <c r="I178" s="281">
        <v>1.4199999999999999E-2</v>
      </c>
      <c r="J178" s="281">
        <v>-1.4199999999999999E-2</v>
      </c>
      <c r="K178" s="488">
        <v>4.1777368453458852</v>
      </c>
      <c r="L178" s="489"/>
      <c r="M178" s="281">
        <v>-0.11834121565362199</v>
      </c>
      <c r="N178" s="489" t="e">
        <v>#DIV/0!</v>
      </c>
      <c r="O178" s="379">
        <v>128</v>
      </c>
      <c r="P178" s="379">
        <v>41.7</v>
      </c>
      <c r="Q178" s="105">
        <v>100</v>
      </c>
      <c r="R178" s="105">
        <v>3</v>
      </c>
      <c r="S178" t="s">
        <v>50</v>
      </c>
      <c r="T178" t="s">
        <v>50</v>
      </c>
    </row>
    <row r="181" spans="1:27">
      <c r="A181" s="483" t="s">
        <v>1899</v>
      </c>
      <c r="B181" s="112"/>
      <c r="D181" s="105"/>
      <c r="E181" s="105"/>
      <c r="F181" s="105"/>
      <c r="G181" s="105"/>
      <c r="H181" s="446"/>
      <c r="I181" s="281"/>
      <c r="J181" s="105"/>
      <c r="K181" s="484"/>
      <c r="L181" s="485"/>
      <c r="M181" s="105"/>
      <c r="N181" s="485"/>
      <c r="O181" s="379"/>
      <c r="P181" s="379"/>
      <c r="Q181" s="105"/>
      <c r="R181" s="105"/>
    </row>
    <row r="182" spans="1:27">
      <c r="A182" s="486" t="s">
        <v>1879</v>
      </c>
      <c r="B182" s="112"/>
      <c r="D182" s="105"/>
      <c r="E182" s="105"/>
      <c r="F182" s="105"/>
      <c r="G182" s="105"/>
      <c r="H182" s="446"/>
      <c r="I182" s="281"/>
      <c r="J182" s="105"/>
      <c r="K182" s="484"/>
      <c r="L182" s="485"/>
      <c r="M182" s="105"/>
      <c r="N182" s="485"/>
      <c r="O182" s="379"/>
      <c r="P182" s="379"/>
      <c r="Q182" s="105"/>
      <c r="R182" s="105"/>
    </row>
    <row r="183" spans="1:27">
      <c r="A183" s="483" t="s">
        <v>1934</v>
      </c>
      <c r="B183" s="112"/>
      <c r="C183" s="89"/>
      <c r="D183" s="281"/>
      <c r="E183" s="105"/>
      <c r="F183" s="105"/>
      <c r="G183" s="105"/>
      <c r="H183" s="446"/>
      <c r="I183" s="105"/>
      <c r="J183" s="105"/>
      <c r="K183" s="484"/>
      <c r="L183" s="485"/>
      <c r="M183" s="105"/>
      <c r="N183" s="485"/>
      <c r="O183" s="105"/>
      <c r="P183" s="105"/>
      <c r="Q183" s="105"/>
      <c r="R183" s="105"/>
      <c r="X183" s="487">
        <f>A188</f>
        <v>44249</v>
      </c>
    </row>
    <row r="184" spans="1:27">
      <c r="A184" s="487">
        <v>44249</v>
      </c>
      <c r="B184" s="112">
        <v>1</v>
      </c>
      <c r="C184" s="324" t="s">
        <v>1715</v>
      </c>
      <c r="D184" s="281"/>
      <c r="E184" s="105"/>
      <c r="F184" s="105"/>
      <c r="G184" s="89"/>
      <c r="H184" s="89">
        <v>0</v>
      </c>
      <c r="I184" s="281"/>
      <c r="J184" s="281"/>
      <c r="K184" s="484"/>
      <c r="L184" s="485"/>
      <c r="M184" s="105"/>
      <c r="N184" s="485"/>
      <c r="O184" s="105"/>
      <c r="P184" s="105"/>
      <c r="Q184" s="105"/>
      <c r="R184" s="105"/>
      <c r="X184" s="105">
        <f>((J186-INDEX(LINEST($J$186:$J$191,$G$186:$G$191),2))/INDEX(LINEST($J$186:$J$191,$G$186:$G$191),1)/100.09)*12.01</f>
        <v>2.6451777182305878E-2</v>
      </c>
      <c r="Y184" s="105">
        <f>(J186-X184)^2</f>
        <v>1.1595462265150826E-4</v>
      </c>
    </row>
    <row r="185" spans="1:27">
      <c r="A185" s="487">
        <v>44249</v>
      </c>
      <c r="B185" s="112">
        <v>2</v>
      </c>
      <c r="C185" s="324" t="s">
        <v>1801</v>
      </c>
      <c r="D185" s="281"/>
      <c r="E185" s="379"/>
      <c r="F185" s="379"/>
      <c r="G185" s="33"/>
      <c r="H185" s="89">
        <v>0</v>
      </c>
      <c r="I185" s="379"/>
      <c r="J185" s="281"/>
      <c r="K185" s="484"/>
      <c r="L185" s="485"/>
      <c r="M185" s="105"/>
      <c r="N185" s="485"/>
      <c r="O185" s="105"/>
      <c r="P185" s="105"/>
      <c r="Q185" s="105"/>
      <c r="R185" s="105"/>
      <c r="X185" s="105">
        <f t="shared" ref="X185:X189" si="22">((J187-INDEX(LINEST($J$186:$J$191,$G$186:$G$191),2))/INDEX(LINEST($J$186:$J$191,$G$186:$G$191),1)/100.09)*12.01</f>
        <v>29.618800589580523</v>
      </c>
      <c r="Y185" s="105">
        <f t="shared" ref="Y185:Y189" si="23">(J187-X185)^2</f>
        <v>7.5142097631973534E-2</v>
      </c>
    </row>
    <row r="186" spans="1:27">
      <c r="A186" s="487">
        <v>44249</v>
      </c>
      <c r="B186" s="112">
        <v>3</v>
      </c>
      <c r="C186" s="324" t="s">
        <v>1802</v>
      </c>
      <c r="D186" s="281"/>
      <c r="E186" s="379"/>
      <c r="F186" s="379"/>
      <c r="G186" s="89">
        <v>0</v>
      </c>
      <c r="H186" s="89">
        <v>0</v>
      </c>
      <c r="I186" s="281">
        <v>3.7219999999999996E-2</v>
      </c>
      <c r="J186" s="281">
        <v>3.7219999999999996E-2</v>
      </c>
      <c r="K186" s="484"/>
      <c r="L186" s="485"/>
      <c r="M186" s="105"/>
      <c r="N186" s="485"/>
      <c r="O186" s="105"/>
      <c r="P186" s="105"/>
      <c r="Q186" s="105"/>
      <c r="R186" s="105"/>
      <c r="X186" s="105">
        <f t="shared" si="22"/>
        <v>120.14298693576315</v>
      </c>
      <c r="Y186" s="105">
        <f t="shared" si="23"/>
        <v>1.3124152512686453</v>
      </c>
    </row>
    <row r="187" spans="1:27">
      <c r="A187" s="487">
        <v>44249</v>
      </c>
      <c r="B187" s="112">
        <v>4</v>
      </c>
      <c r="C187" s="89" t="s">
        <v>1919</v>
      </c>
      <c r="D187" s="281">
        <v>249.3</v>
      </c>
      <c r="E187" s="379"/>
      <c r="F187" s="379"/>
      <c r="G187" s="281">
        <v>249.25014000000002</v>
      </c>
      <c r="H187" s="89">
        <v>29.381900000000002</v>
      </c>
      <c r="I187" s="281">
        <v>3.7219999999999996E-2</v>
      </c>
      <c r="J187" s="281">
        <v>29.34468</v>
      </c>
      <c r="K187" s="488">
        <v>246.83977943473062</v>
      </c>
      <c r="L187" s="489">
        <v>99.032955180980281</v>
      </c>
      <c r="M187" s="281">
        <v>244.55528902581182</v>
      </c>
      <c r="N187" s="489">
        <v>98.116409894819625</v>
      </c>
      <c r="O187" s="379">
        <v>128</v>
      </c>
      <c r="P187" s="379">
        <v>41.7</v>
      </c>
      <c r="Q187" s="105">
        <v>100</v>
      </c>
      <c r="R187" s="105">
        <v>3</v>
      </c>
      <c r="S187" t="s">
        <v>50</v>
      </c>
      <c r="T187" t="s">
        <v>50</v>
      </c>
      <c r="X187" s="105">
        <f t="shared" si="22"/>
        <v>264.21882091190872</v>
      </c>
      <c r="Y187" s="105">
        <f t="shared" si="23"/>
        <v>6.4142699886736612</v>
      </c>
    </row>
    <row r="188" spans="1:27">
      <c r="A188" s="487">
        <v>44249</v>
      </c>
      <c r="B188" s="112">
        <v>5</v>
      </c>
      <c r="C188" s="89" t="s">
        <v>1920</v>
      </c>
      <c r="D188" s="281">
        <v>999.9</v>
      </c>
      <c r="E188" s="379"/>
      <c r="F188" s="379"/>
      <c r="G188" s="281">
        <v>999.70001999999999</v>
      </c>
      <c r="H188" s="89">
        <v>119.0346</v>
      </c>
      <c r="I188" s="281">
        <v>3.7219999999999996E-2</v>
      </c>
      <c r="J188" s="281">
        <v>118.99737999999999</v>
      </c>
      <c r="K188" s="488">
        <v>1001.2582483264391</v>
      </c>
      <c r="L188" s="489">
        <v>100.15586959040364</v>
      </c>
      <c r="M188" s="281">
        <v>991.7108879433805</v>
      </c>
      <c r="N188" s="489">
        <v>99.200847064440438</v>
      </c>
      <c r="O188" s="379">
        <v>128</v>
      </c>
      <c r="P188" s="379">
        <v>41.7</v>
      </c>
      <c r="Q188" s="105">
        <v>100</v>
      </c>
      <c r="R188" s="105">
        <v>3</v>
      </c>
      <c r="S188" t="s">
        <v>50</v>
      </c>
      <c r="T188" t="s">
        <v>50</v>
      </c>
      <c r="X188" s="105">
        <f t="shared" si="22"/>
        <v>375.76781540971149</v>
      </c>
      <c r="Y188" s="105">
        <f t="shared" si="23"/>
        <v>13.007097661502574</v>
      </c>
    </row>
    <row r="189" spans="1:27" ht="15.5">
      <c r="A189" s="487">
        <v>44249</v>
      </c>
      <c r="B189" s="112">
        <v>6</v>
      </c>
      <c r="C189" s="89" t="s">
        <v>1921</v>
      </c>
      <c r="D189" s="281">
        <v>2205.4</v>
      </c>
      <c r="E189" s="379"/>
      <c r="F189" s="379"/>
      <c r="G189" s="281">
        <v>2204.95892</v>
      </c>
      <c r="H189" s="89">
        <v>261.72340000000003</v>
      </c>
      <c r="I189" s="281">
        <v>3.7219999999999996E-2</v>
      </c>
      <c r="J189" s="281">
        <v>261.68618000000004</v>
      </c>
      <c r="K189" s="488">
        <v>2201.9701736114025</v>
      </c>
      <c r="L189" s="489">
        <v>99.864453420810335</v>
      </c>
      <c r="M189" s="281">
        <v>2180.8634268276442</v>
      </c>
      <c r="N189" s="489">
        <v>98.907213510700885</v>
      </c>
      <c r="O189" s="379">
        <v>128</v>
      </c>
      <c r="P189" s="379">
        <v>41.7</v>
      </c>
      <c r="Q189" s="105">
        <v>100</v>
      </c>
      <c r="R189" s="105">
        <v>3</v>
      </c>
      <c r="S189" t="s">
        <v>50</v>
      </c>
      <c r="T189" t="s">
        <v>50</v>
      </c>
      <c r="X189" s="105">
        <f t="shared" si="22"/>
        <v>432.01531631710691</v>
      </c>
      <c r="Y189" s="105">
        <f t="shared" si="23"/>
        <v>17.206205288037893</v>
      </c>
      <c r="AA189" s="227" t="s">
        <v>1935</v>
      </c>
    </row>
    <row r="190" spans="1:27" ht="15.5">
      <c r="A190" s="487">
        <v>44249</v>
      </c>
      <c r="B190" s="112">
        <v>7</v>
      </c>
      <c r="C190" s="89" t="s">
        <v>1922</v>
      </c>
      <c r="D190" s="281">
        <v>3117.2</v>
      </c>
      <c r="E190" s="379"/>
      <c r="F190" s="379"/>
      <c r="G190" s="281">
        <v>3116.57656</v>
      </c>
      <c r="H190" s="89">
        <v>372.19850000000002</v>
      </c>
      <c r="I190" s="281">
        <v>3.7219999999999996E-2</v>
      </c>
      <c r="J190" s="281">
        <v>372.16128000000003</v>
      </c>
      <c r="K190" s="488">
        <v>3131.607047823316</v>
      </c>
      <c r="L190" s="489">
        <v>100.48227558457015</v>
      </c>
      <c r="M190" s="281">
        <v>3101.5505841132394</v>
      </c>
      <c r="N190" s="489">
        <v>99.517869187633224</v>
      </c>
      <c r="O190" s="379">
        <v>128</v>
      </c>
      <c r="P190" s="379">
        <v>41.7</v>
      </c>
      <c r="Q190" s="105">
        <v>100</v>
      </c>
      <c r="R190" s="105">
        <v>3</v>
      </c>
      <c r="S190" t="s">
        <v>50</v>
      </c>
      <c r="T190" t="s">
        <v>50</v>
      </c>
      <c r="Y190" s="226">
        <f>SQRT(SUM(Y184:Y189)/(6-2))</f>
        <v>3.0828252562275322</v>
      </c>
      <c r="Z190" s="227" t="s">
        <v>1936</v>
      </c>
      <c r="AA190" s="226">
        <f>(Y190/$AK$15)*100</f>
        <v>1.5846542286970535</v>
      </c>
    </row>
    <row r="191" spans="1:27" ht="15.5">
      <c r="A191" s="487">
        <v>44249</v>
      </c>
      <c r="B191" s="112">
        <v>8</v>
      </c>
      <c r="C191" s="89" t="s">
        <v>1923</v>
      </c>
      <c r="D191" s="281">
        <v>3612.5</v>
      </c>
      <c r="E191" s="379"/>
      <c r="F191" s="379"/>
      <c r="G191" s="281">
        <v>3611.7775000000001</v>
      </c>
      <c r="H191" s="89">
        <v>427.90449999999998</v>
      </c>
      <c r="I191" s="281">
        <v>3.7219999999999996E-2</v>
      </c>
      <c r="J191" s="281">
        <v>427.86727999999999</v>
      </c>
      <c r="K191" s="488">
        <v>3600.3674446443993</v>
      </c>
      <c r="L191" s="489">
        <v>99.68408753430684</v>
      </c>
      <c r="M191" s="281">
        <v>3565.7981727893425</v>
      </c>
      <c r="N191" s="489">
        <v>98.726961248009943</v>
      </c>
      <c r="O191" s="379">
        <v>128</v>
      </c>
      <c r="P191" s="379">
        <v>41.7</v>
      </c>
      <c r="Q191" s="105">
        <v>100</v>
      </c>
      <c r="R191" s="105">
        <v>3</v>
      </c>
      <c r="S191" t="s">
        <v>50</v>
      </c>
      <c r="T191" t="s">
        <v>50</v>
      </c>
      <c r="Y191" s="226">
        <f>(Y190/12.01)*100.09</f>
        <v>25.691921723215131</v>
      </c>
      <c r="Z191" s="227" t="s">
        <v>1937</v>
      </c>
    </row>
    <row r="192" spans="1:27">
      <c r="A192" s="487">
        <v>44249</v>
      </c>
      <c r="B192" s="112">
        <v>9</v>
      </c>
      <c r="C192" s="89" t="s">
        <v>1803</v>
      </c>
      <c r="D192" s="281"/>
      <c r="E192" s="379"/>
      <c r="F192" s="379"/>
      <c r="G192" s="379"/>
      <c r="H192" s="89">
        <v>0.23219999999999999</v>
      </c>
      <c r="I192" s="281">
        <v>3.7219999999999996E-2</v>
      </c>
      <c r="J192" s="281">
        <v>0.19497999999999999</v>
      </c>
      <c r="K192" s="488">
        <v>1.5479807197712481</v>
      </c>
      <c r="L192" s="489"/>
      <c r="M192" s="281">
        <v>1.6249415653621979</v>
      </c>
      <c r="N192" s="489"/>
      <c r="O192" s="379">
        <v>128</v>
      </c>
      <c r="P192" s="379">
        <v>41.7</v>
      </c>
      <c r="Q192" s="105">
        <v>100</v>
      </c>
      <c r="R192" s="105">
        <v>3</v>
      </c>
      <c r="S192" t="s">
        <v>50</v>
      </c>
      <c r="T192" t="s">
        <v>50</v>
      </c>
    </row>
    <row r="193" spans="1:20">
      <c r="A193" s="487">
        <v>44249</v>
      </c>
      <c r="B193" s="112">
        <v>10</v>
      </c>
      <c r="C193" s="89" t="s">
        <v>1804</v>
      </c>
      <c r="D193" s="281"/>
      <c r="E193" s="379"/>
      <c r="F193" s="379"/>
      <c r="G193" s="379"/>
      <c r="H193" s="89">
        <v>0</v>
      </c>
      <c r="I193" s="281">
        <v>3.7219999999999996E-2</v>
      </c>
      <c r="J193" s="281">
        <v>-3.7219999999999996E-2</v>
      </c>
      <c r="K193" s="488">
        <v>-0.40595896611277693</v>
      </c>
      <c r="L193" s="489"/>
      <c r="M193" s="281">
        <v>-0.31018732722731057</v>
      </c>
      <c r="N193" s="489"/>
      <c r="O193" s="379">
        <v>128</v>
      </c>
      <c r="P193" s="379">
        <v>41.7</v>
      </c>
      <c r="Q193" s="105">
        <v>100</v>
      </c>
      <c r="R193" s="105">
        <v>3</v>
      </c>
      <c r="S193" t="s">
        <v>50</v>
      </c>
      <c r="T193" t="s">
        <v>50</v>
      </c>
    </row>
    <row r="194" spans="1:20">
      <c r="A194" s="487">
        <v>44249</v>
      </c>
      <c r="B194" s="112">
        <v>11</v>
      </c>
      <c r="C194" s="89" t="s">
        <v>1805</v>
      </c>
      <c r="D194" s="281"/>
      <c r="E194" s="379"/>
      <c r="F194" s="379"/>
      <c r="G194" s="379"/>
      <c r="H194" s="89">
        <v>0</v>
      </c>
      <c r="I194" s="281">
        <v>3.7219999999999996E-2</v>
      </c>
      <c r="J194" s="281">
        <v>-3.7219999999999996E-2</v>
      </c>
      <c r="K194" s="488">
        <v>-0.40595896611277693</v>
      </c>
      <c r="L194" s="489"/>
      <c r="M194" s="281">
        <v>-0.31018732722731057</v>
      </c>
      <c r="N194" s="489"/>
      <c r="O194" s="379">
        <v>128</v>
      </c>
      <c r="P194" s="379">
        <v>41.7</v>
      </c>
      <c r="Q194" s="105">
        <v>100</v>
      </c>
      <c r="R194" s="105">
        <v>3</v>
      </c>
      <c r="S194" t="s">
        <v>50</v>
      </c>
      <c r="T194" t="s">
        <v>50</v>
      </c>
    </row>
    <row r="195" spans="1:20">
      <c r="A195" s="487">
        <v>44249</v>
      </c>
      <c r="B195" s="112">
        <v>12</v>
      </c>
      <c r="C195" s="63" t="s">
        <v>1806</v>
      </c>
      <c r="D195" s="490">
        <v>1359.7</v>
      </c>
      <c r="E195" s="515"/>
      <c r="F195" s="515"/>
      <c r="G195" s="515"/>
      <c r="H195" s="89">
        <v>18.886900000000001</v>
      </c>
      <c r="I195" s="490">
        <v>3.7219999999999996E-2</v>
      </c>
      <c r="J195" s="281">
        <v>18.849679999999999</v>
      </c>
      <c r="K195" s="488">
        <v>158.52540818859433</v>
      </c>
      <c r="L195" s="491">
        <v>11.658851819415631</v>
      </c>
      <c r="M195" s="490">
        <v>157.0911299916736</v>
      </c>
      <c r="N195" s="491">
        <v>11.553366918560975</v>
      </c>
      <c r="O195" s="379">
        <v>128</v>
      </c>
      <c r="P195" s="379">
        <v>41.7</v>
      </c>
      <c r="Q195" s="105">
        <v>100</v>
      </c>
      <c r="R195" s="105">
        <v>3</v>
      </c>
      <c r="S195" t="s">
        <v>50</v>
      </c>
      <c r="T195" t="s">
        <v>50</v>
      </c>
    </row>
    <row r="196" spans="1:20">
      <c r="A196" s="487">
        <v>44249</v>
      </c>
      <c r="B196" s="112">
        <v>13</v>
      </c>
      <c r="C196" s="63" t="s">
        <v>1806</v>
      </c>
      <c r="D196" s="490">
        <v>2333.9</v>
      </c>
      <c r="E196" s="515"/>
      <c r="F196" s="515"/>
      <c r="G196" s="515"/>
      <c r="H196" s="89">
        <v>33.6053</v>
      </c>
      <c r="I196" s="490">
        <v>3.7219999999999996E-2</v>
      </c>
      <c r="J196" s="281">
        <v>33.568080000000002</v>
      </c>
      <c r="K196" s="488">
        <v>282.37926638288997</v>
      </c>
      <c r="L196" s="491">
        <v>12.099030223355326</v>
      </c>
      <c r="M196" s="490">
        <v>279.75263340549543</v>
      </c>
      <c r="N196" s="491">
        <v>11.986487570396994</v>
      </c>
      <c r="O196" s="379">
        <v>128</v>
      </c>
      <c r="P196" s="379">
        <v>41.7</v>
      </c>
      <c r="Q196" s="105">
        <v>100</v>
      </c>
      <c r="R196" s="105">
        <v>3</v>
      </c>
      <c r="S196" t="s">
        <v>50</v>
      </c>
      <c r="T196" t="s">
        <v>50</v>
      </c>
    </row>
    <row r="197" spans="1:20">
      <c r="A197" s="487">
        <v>44249</v>
      </c>
      <c r="B197" s="112">
        <v>14</v>
      </c>
      <c r="C197" s="89" t="s">
        <v>1807</v>
      </c>
      <c r="D197" s="379"/>
      <c r="E197" s="379"/>
      <c r="F197" s="379"/>
      <c r="G197" s="379"/>
      <c r="H197" s="89">
        <v>0.14000000000000001</v>
      </c>
      <c r="I197" s="281">
        <v>3.7219999999999996E-2</v>
      </c>
      <c r="J197" s="281">
        <v>0.10278000000000001</v>
      </c>
      <c r="K197" s="488">
        <v>0.77212697714201861</v>
      </c>
      <c r="L197" s="489"/>
      <c r="M197" s="281">
        <v>0.85655705245628655</v>
      </c>
      <c r="N197" s="489" t="e">
        <v>#DIV/0!</v>
      </c>
      <c r="O197" s="379">
        <v>128</v>
      </c>
      <c r="P197" s="379">
        <v>41.7</v>
      </c>
      <c r="Q197" s="105">
        <v>100</v>
      </c>
      <c r="R197" s="105">
        <v>3</v>
      </c>
      <c r="S197" t="s">
        <v>50</v>
      </c>
      <c r="T197" t="s">
        <v>50</v>
      </c>
    </row>
    <row r="198" spans="1:20">
      <c r="A198" s="492">
        <v>44249</v>
      </c>
      <c r="B198" s="493">
        <v>15</v>
      </c>
      <c r="C198" s="494" t="s">
        <v>1924</v>
      </c>
      <c r="D198" s="398">
        <v>3069.3</v>
      </c>
      <c r="E198" s="498"/>
      <c r="F198" s="498"/>
      <c r="G198" s="498"/>
      <c r="H198" s="494">
        <v>262.15879999999999</v>
      </c>
      <c r="I198" s="495">
        <v>3.7219999999999996E-2</v>
      </c>
      <c r="J198" s="495">
        <v>262.12157999999999</v>
      </c>
      <c r="K198" s="496">
        <v>2205.6340208949246</v>
      </c>
      <c r="L198" s="497">
        <v>71.861141657541609</v>
      </c>
      <c r="M198" s="495">
        <v>2184.4920018484595</v>
      </c>
      <c r="N198" s="497">
        <v>71.172319481590563</v>
      </c>
      <c r="O198" s="498">
        <v>128</v>
      </c>
      <c r="P198" s="498">
        <v>41.7</v>
      </c>
      <c r="Q198" s="449">
        <v>100</v>
      </c>
      <c r="R198" s="449">
        <v>3</v>
      </c>
      <c r="S198" s="395" t="s">
        <v>50</v>
      </c>
      <c r="T198" s="395" t="s">
        <v>50</v>
      </c>
    </row>
    <row r="199" spans="1:20">
      <c r="A199" s="487">
        <v>44249</v>
      </c>
      <c r="B199" s="112">
        <v>16</v>
      </c>
      <c r="C199" s="89" t="s">
        <v>1925</v>
      </c>
      <c r="D199" s="398">
        <v>2356.5</v>
      </c>
      <c r="E199" s="379"/>
      <c r="F199" s="379"/>
      <c r="G199" s="379"/>
      <c r="H199" s="89">
        <v>185.018</v>
      </c>
      <c r="I199" s="281">
        <v>3.7219999999999996E-2</v>
      </c>
      <c r="J199" s="281">
        <v>184.98078000000001</v>
      </c>
      <c r="K199" s="488">
        <v>1556.501934241857</v>
      </c>
      <c r="L199" s="489">
        <v>66.051429418283774</v>
      </c>
      <c r="M199" s="281">
        <v>1541.6091815320567</v>
      </c>
      <c r="N199" s="489">
        <v>65.419443307110413</v>
      </c>
      <c r="O199" s="379">
        <v>128</v>
      </c>
      <c r="P199" s="379">
        <v>41.7</v>
      </c>
      <c r="Q199" s="105">
        <v>100</v>
      </c>
      <c r="R199" s="105">
        <v>3</v>
      </c>
      <c r="S199" t="s">
        <v>50</v>
      </c>
      <c r="T199" t="s">
        <v>50</v>
      </c>
    </row>
    <row r="200" spans="1:20">
      <c r="A200" s="487">
        <v>44249</v>
      </c>
      <c r="B200" s="112">
        <v>17</v>
      </c>
      <c r="C200" s="89" t="s">
        <v>1926</v>
      </c>
      <c r="D200" s="398">
        <v>2723.6</v>
      </c>
      <c r="E200" s="379"/>
      <c r="F200" s="379"/>
      <c r="G200" s="379"/>
      <c r="H200" s="89">
        <v>159.91249999999999</v>
      </c>
      <c r="I200" s="281">
        <v>3.7219999999999996E-2</v>
      </c>
      <c r="J200" s="281">
        <v>159.87528</v>
      </c>
      <c r="K200" s="488">
        <v>1345.2416724676907</v>
      </c>
      <c r="L200" s="489">
        <v>49.392042607860581</v>
      </c>
      <c r="M200" s="281">
        <v>1332.3827456452957</v>
      </c>
      <c r="N200" s="489">
        <v>48.919912822929057</v>
      </c>
      <c r="O200" s="379">
        <v>128</v>
      </c>
      <c r="P200" s="379">
        <v>41.7</v>
      </c>
      <c r="Q200" s="105">
        <v>100</v>
      </c>
      <c r="R200" s="105">
        <v>3</v>
      </c>
      <c r="S200" t="s">
        <v>50</v>
      </c>
      <c r="T200" t="s">
        <v>50</v>
      </c>
    </row>
    <row r="201" spans="1:20">
      <c r="A201" s="487">
        <v>44249</v>
      </c>
      <c r="B201" s="112">
        <v>18</v>
      </c>
      <c r="C201" s="89" t="s">
        <v>1927</v>
      </c>
      <c r="D201" s="398">
        <v>2521.5</v>
      </c>
      <c r="E201" s="379"/>
      <c r="F201" s="379"/>
      <c r="G201" s="379"/>
      <c r="H201" s="89">
        <v>171.7902</v>
      </c>
      <c r="I201" s="281">
        <v>3.7219999999999996E-2</v>
      </c>
      <c r="J201" s="281">
        <v>171.75298000000001</v>
      </c>
      <c r="K201" s="488">
        <v>1445.191325383387</v>
      </c>
      <c r="L201" s="489">
        <v>57.31474619803241</v>
      </c>
      <c r="M201" s="281">
        <v>1431.3701722064948</v>
      </c>
      <c r="N201" s="489">
        <v>56.766614007792775</v>
      </c>
      <c r="O201" s="379">
        <v>128</v>
      </c>
      <c r="P201" s="379">
        <v>41.7</v>
      </c>
      <c r="Q201" s="105">
        <v>100</v>
      </c>
      <c r="R201" s="105">
        <v>3</v>
      </c>
      <c r="S201" t="s">
        <v>50</v>
      </c>
      <c r="T201" t="s">
        <v>50</v>
      </c>
    </row>
    <row r="202" spans="1:20">
      <c r="A202" s="487">
        <v>44249</v>
      </c>
      <c r="B202" s="112">
        <v>19</v>
      </c>
      <c r="C202" s="89" t="s">
        <v>1928</v>
      </c>
      <c r="D202" s="398">
        <v>2172.6999999999998</v>
      </c>
      <c r="E202" s="379"/>
      <c r="F202" s="379"/>
      <c r="G202" s="379"/>
      <c r="H202" s="89">
        <v>132.94149999999999</v>
      </c>
      <c r="I202" s="281">
        <v>3.7219999999999996E-2</v>
      </c>
      <c r="J202" s="281">
        <v>132.90428</v>
      </c>
      <c r="K202" s="488">
        <v>1118.2834154996544</v>
      </c>
      <c r="L202" s="489">
        <v>51.46975723752265</v>
      </c>
      <c r="M202" s="281">
        <v>1107.6094408992506</v>
      </c>
      <c r="N202" s="489">
        <v>50.978480273358066</v>
      </c>
      <c r="O202" s="379">
        <v>128</v>
      </c>
      <c r="P202" s="379">
        <v>41.7</v>
      </c>
      <c r="Q202" s="105">
        <v>100</v>
      </c>
      <c r="R202" s="105">
        <v>3</v>
      </c>
      <c r="S202" t="s">
        <v>50</v>
      </c>
      <c r="T202" t="s">
        <v>50</v>
      </c>
    </row>
    <row r="203" spans="1:20">
      <c r="A203" s="487">
        <v>44249</v>
      </c>
      <c r="B203" s="112">
        <v>20</v>
      </c>
      <c r="C203" s="89" t="s">
        <v>1814</v>
      </c>
      <c r="D203" s="516"/>
      <c r="E203" s="379"/>
      <c r="F203" s="379"/>
      <c r="G203" s="379"/>
      <c r="H203" s="89">
        <v>0</v>
      </c>
      <c r="I203" s="281">
        <v>3.7219999999999996E-2</v>
      </c>
      <c r="J203" s="281">
        <v>-3.7219999999999996E-2</v>
      </c>
      <c r="K203" s="488">
        <v>-0.40595896611277693</v>
      </c>
      <c r="L203" s="489"/>
      <c r="M203" s="281">
        <v>-0.31018732722731057</v>
      </c>
      <c r="N203" s="489"/>
      <c r="O203" s="379">
        <v>128</v>
      </c>
      <c r="P203" s="379">
        <v>41.7</v>
      </c>
      <c r="Q203" s="105">
        <v>100</v>
      </c>
      <c r="R203" s="105">
        <v>3</v>
      </c>
      <c r="S203" t="s">
        <v>50</v>
      </c>
      <c r="T203" t="s">
        <v>50</v>
      </c>
    </row>
    <row r="204" spans="1:20">
      <c r="A204" s="492">
        <v>44249</v>
      </c>
      <c r="B204" s="493">
        <v>21</v>
      </c>
      <c r="C204" s="494" t="s">
        <v>1929</v>
      </c>
      <c r="D204" s="398">
        <v>2464.3000000000002</v>
      </c>
      <c r="E204" s="498"/>
      <c r="F204" s="498"/>
      <c r="G204" s="498"/>
      <c r="H204" s="494">
        <v>212.09809999999999</v>
      </c>
      <c r="I204" s="495">
        <v>3.7219999999999996E-2</v>
      </c>
      <c r="J204" s="495">
        <v>212.06088</v>
      </c>
      <c r="K204" s="496">
        <v>1784.3782567556725</v>
      </c>
      <c r="L204" s="497">
        <v>72.409132684968242</v>
      </c>
      <c r="M204" s="495">
        <v>1767.2917135054122</v>
      </c>
      <c r="N204" s="497">
        <v>71.715769731989297</v>
      </c>
      <c r="O204" s="498">
        <v>128</v>
      </c>
      <c r="P204" s="498">
        <v>41.7</v>
      </c>
      <c r="Q204" s="449">
        <v>100</v>
      </c>
      <c r="R204" s="449">
        <v>3</v>
      </c>
      <c r="S204" s="395" t="s">
        <v>50</v>
      </c>
      <c r="T204" s="395" t="s">
        <v>50</v>
      </c>
    </row>
    <row r="205" spans="1:20">
      <c r="A205" s="487">
        <v>44249</v>
      </c>
      <c r="B205" s="112">
        <v>22</v>
      </c>
      <c r="C205" s="89" t="s">
        <v>1930</v>
      </c>
      <c r="D205" s="398">
        <v>2512.5</v>
      </c>
      <c r="E205" s="379"/>
      <c r="F205" s="379"/>
      <c r="G205" s="379"/>
      <c r="H205" s="89">
        <v>172.3261</v>
      </c>
      <c r="I205" s="281">
        <v>3.7219999999999996E-2</v>
      </c>
      <c r="J205" s="281">
        <v>172.28888000000001</v>
      </c>
      <c r="K205" s="488">
        <v>1449.7008700761746</v>
      </c>
      <c r="L205" s="489">
        <v>57.699537117459684</v>
      </c>
      <c r="M205" s="281">
        <v>1435.836303014155</v>
      </c>
      <c r="N205" s="489">
        <v>57.14771355280218</v>
      </c>
      <c r="O205" s="379">
        <v>128</v>
      </c>
      <c r="P205" s="379">
        <v>41.7</v>
      </c>
      <c r="Q205" s="105">
        <v>100</v>
      </c>
      <c r="R205" s="105">
        <v>3</v>
      </c>
      <c r="S205" t="s">
        <v>50</v>
      </c>
      <c r="T205" t="s">
        <v>50</v>
      </c>
    </row>
    <row r="206" spans="1:20">
      <c r="A206" s="487">
        <v>44249</v>
      </c>
      <c r="B206" s="112">
        <v>23</v>
      </c>
      <c r="C206" s="89" t="s">
        <v>1931</v>
      </c>
      <c r="D206" s="398">
        <v>2601.6999999999998</v>
      </c>
      <c r="E206" s="379"/>
      <c r="F206" s="379"/>
      <c r="G206" s="379"/>
      <c r="H206" s="89">
        <v>162.0779</v>
      </c>
      <c r="I206" s="281">
        <v>3.7219999999999996E-2</v>
      </c>
      <c r="J206" s="281">
        <v>162.04068000000001</v>
      </c>
      <c r="K206" s="488">
        <v>1363.4632960500046</v>
      </c>
      <c r="L206" s="489">
        <v>52.406630128377785</v>
      </c>
      <c r="M206" s="281">
        <v>1350.4289476436304</v>
      </c>
      <c r="N206" s="489">
        <v>51.905636608510989</v>
      </c>
      <c r="O206" s="379">
        <v>128</v>
      </c>
      <c r="P206" s="379">
        <v>41.7</v>
      </c>
      <c r="Q206" s="105">
        <v>100</v>
      </c>
      <c r="R206" s="105">
        <v>3</v>
      </c>
      <c r="S206" t="s">
        <v>50</v>
      </c>
      <c r="T206" t="s">
        <v>50</v>
      </c>
    </row>
    <row r="207" spans="1:20">
      <c r="A207" s="487">
        <v>44249</v>
      </c>
      <c r="B207" s="112">
        <v>24</v>
      </c>
      <c r="C207" s="89" t="s">
        <v>1932</v>
      </c>
      <c r="D207" s="398">
        <v>2458.1999999999998</v>
      </c>
      <c r="E207" s="379"/>
      <c r="F207" s="379"/>
      <c r="G207" s="379"/>
      <c r="H207" s="89">
        <v>190.9787</v>
      </c>
      <c r="I207" s="281">
        <v>3.7219999999999996E-2</v>
      </c>
      <c r="J207" s="281">
        <v>190.94148000000001</v>
      </c>
      <c r="K207" s="488">
        <v>1606.6606262558489</v>
      </c>
      <c r="L207" s="489">
        <v>65.359231399229074</v>
      </c>
      <c r="M207" s="281">
        <v>1591.2849902747712</v>
      </c>
      <c r="N207" s="489">
        <v>64.73374787546868</v>
      </c>
      <c r="O207" s="379">
        <v>128</v>
      </c>
      <c r="P207" s="379">
        <v>41.7</v>
      </c>
      <c r="Q207" s="105">
        <v>100</v>
      </c>
      <c r="R207" s="105">
        <v>3</v>
      </c>
      <c r="S207" t="s">
        <v>50</v>
      </c>
      <c r="T207" t="s">
        <v>50</v>
      </c>
    </row>
    <row r="208" spans="1:20">
      <c r="A208" s="487">
        <v>44249</v>
      </c>
      <c r="B208" s="112">
        <v>25</v>
      </c>
      <c r="C208" s="89" t="s">
        <v>1821</v>
      </c>
      <c r="D208" s="281"/>
      <c r="E208" s="379"/>
      <c r="F208" s="379"/>
      <c r="G208" s="379"/>
      <c r="H208" s="89">
        <v>0</v>
      </c>
      <c r="I208" s="281">
        <v>3.7219999999999996E-2</v>
      </c>
      <c r="J208" s="281">
        <v>-3.7219999999999996E-2</v>
      </c>
      <c r="K208" s="488">
        <v>-0.40595896611277693</v>
      </c>
      <c r="L208" s="489"/>
      <c r="M208" s="281">
        <v>-0.31018732722731057</v>
      </c>
      <c r="N208" s="489"/>
      <c r="O208" s="379">
        <v>128</v>
      </c>
      <c r="P208" s="379">
        <v>41.7</v>
      </c>
      <c r="Q208" s="105">
        <v>100</v>
      </c>
      <c r="R208" s="105">
        <v>3</v>
      </c>
      <c r="S208" t="s">
        <v>50</v>
      </c>
      <c r="T208" t="s">
        <v>50</v>
      </c>
    </row>
    <row r="209" spans="1:20">
      <c r="A209" s="487">
        <v>44249</v>
      </c>
      <c r="B209" s="112">
        <v>26</v>
      </c>
      <c r="C209" s="89" t="s">
        <v>1933</v>
      </c>
      <c r="D209" s="281">
        <v>2011.5</v>
      </c>
      <c r="E209" s="379"/>
      <c r="F209" s="379"/>
      <c r="G209" s="281">
        <v>2011.0977</v>
      </c>
      <c r="H209" s="89">
        <v>239.2072</v>
      </c>
      <c r="I209" s="281">
        <v>3.7219999999999996E-2</v>
      </c>
      <c r="J209" s="281">
        <v>239.16998000000001</v>
      </c>
      <c r="K209" s="488">
        <v>2012.4986113577338</v>
      </c>
      <c r="L209" s="489">
        <v>100.06965904032081</v>
      </c>
      <c r="M209" s="281">
        <v>1993.215928243131</v>
      </c>
      <c r="N209" s="489">
        <v>99.110845198775323</v>
      </c>
      <c r="O209" s="379">
        <v>128</v>
      </c>
      <c r="P209" s="379">
        <v>41.7</v>
      </c>
      <c r="Q209" s="105">
        <v>100</v>
      </c>
      <c r="R209" s="105">
        <v>3</v>
      </c>
      <c r="S209" t="s">
        <v>50</v>
      </c>
      <c r="T209" t="s">
        <v>50</v>
      </c>
    </row>
    <row r="210" spans="1:20">
      <c r="A210" s="487">
        <v>44249</v>
      </c>
      <c r="B210" s="112">
        <v>27</v>
      </c>
      <c r="C210" s="89" t="s">
        <v>1822</v>
      </c>
      <c r="D210" s="281"/>
      <c r="E210" s="379"/>
      <c r="F210" s="379"/>
      <c r="G210" s="379"/>
      <c r="H210" s="89">
        <v>0</v>
      </c>
      <c r="I210" s="281">
        <v>3.7219999999999996E-2</v>
      </c>
      <c r="J210" s="281">
        <v>-3.7219999999999996E-2</v>
      </c>
      <c r="K210" s="488">
        <v>-0.40595896611277693</v>
      </c>
      <c r="L210" s="489"/>
      <c r="M210" s="281">
        <v>-0.31018732722731057</v>
      </c>
      <c r="N210" s="489"/>
      <c r="O210" s="379">
        <v>128</v>
      </c>
      <c r="P210" s="379">
        <v>41.7</v>
      </c>
      <c r="Q210" s="105">
        <v>100</v>
      </c>
      <c r="R210" s="105">
        <v>3</v>
      </c>
      <c r="S210" t="s">
        <v>50</v>
      </c>
      <c r="T210" t="s">
        <v>50</v>
      </c>
    </row>
  </sheetData>
  <mergeCells count="4">
    <mergeCell ref="K3:L3"/>
    <mergeCell ref="M3:N3"/>
    <mergeCell ref="X6:Y6"/>
    <mergeCell ref="AJ4:AJ6"/>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2128A-1527-4F0F-84ED-92F1C814F1B5}">
  <dimension ref="A1:AR96"/>
  <sheetViews>
    <sheetView topLeftCell="Z10" zoomScale="80" zoomScaleNormal="80" workbookViewId="0">
      <selection activeCell="AM16" sqref="AM16"/>
    </sheetView>
  </sheetViews>
  <sheetFormatPr defaultRowHeight="14.5"/>
  <cols>
    <col min="5" max="6" width="12.81640625" customWidth="1"/>
    <col min="7" max="7" width="15" customWidth="1"/>
    <col min="8" max="8" width="15.1796875" customWidth="1"/>
    <col min="9" max="9" width="19.54296875" customWidth="1"/>
    <col min="18" max="18" width="9.81640625" bestFit="1" customWidth="1"/>
    <col min="20" max="21" width="27.81640625" bestFit="1" customWidth="1"/>
    <col min="22" max="22" width="12.453125" customWidth="1"/>
    <col min="30" max="30" width="15" customWidth="1"/>
    <col min="31" max="31" width="15.1796875" customWidth="1"/>
    <col min="35" max="35" width="39.1796875" bestFit="1" customWidth="1"/>
  </cols>
  <sheetData>
    <row r="1" spans="1:44" s="1" customFormat="1" ht="27" customHeight="1">
      <c r="A1" s="1" t="s">
        <v>145</v>
      </c>
      <c r="B1" s="1" t="s">
        <v>146</v>
      </c>
      <c r="C1" s="1" t="s">
        <v>147</v>
      </c>
      <c r="D1" s="96" t="s">
        <v>148</v>
      </c>
      <c r="E1" s="97" t="s">
        <v>149</v>
      </c>
      <c r="F1" s="98" t="s">
        <v>150</v>
      </c>
      <c r="G1" s="99" t="s">
        <v>151</v>
      </c>
      <c r="H1" s="1" t="s">
        <v>152</v>
      </c>
      <c r="I1" s="98" t="s">
        <v>153</v>
      </c>
      <c r="J1" s="100" t="s">
        <v>153</v>
      </c>
      <c r="K1" s="100" t="s">
        <v>154</v>
      </c>
      <c r="L1" s="100" t="s">
        <v>155</v>
      </c>
      <c r="M1" s="101" t="s">
        <v>156</v>
      </c>
      <c r="N1" s="101" t="s">
        <v>157</v>
      </c>
      <c r="O1" s="101" t="s">
        <v>158</v>
      </c>
      <c r="P1" s="101" t="s">
        <v>159</v>
      </c>
      <c r="Q1" s="100" t="s">
        <v>160</v>
      </c>
      <c r="R1" s="100" t="s">
        <v>161</v>
      </c>
      <c r="S1" s="100" t="s">
        <v>162</v>
      </c>
      <c r="T1" s="102" t="s">
        <v>152</v>
      </c>
      <c r="U1" s="102" t="s">
        <v>152</v>
      </c>
      <c r="V1" s="103" t="s">
        <v>163</v>
      </c>
      <c r="W1" s="1" t="s">
        <v>152</v>
      </c>
      <c r="X1" s="1" t="s">
        <v>152</v>
      </c>
      <c r="Y1" s="97" t="s">
        <v>148</v>
      </c>
      <c r="Z1" s="1" t="s">
        <v>164</v>
      </c>
      <c r="AB1" s="104" t="s">
        <v>165</v>
      </c>
      <c r="AC1" s="104" t="s">
        <v>165</v>
      </c>
      <c r="AD1" s="105" t="s">
        <v>166</v>
      </c>
      <c r="AE1" s="105" t="s">
        <v>167</v>
      </c>
      <c r="AF1" t="s">
        <v>168</v>
      </c>
      <c r="AG1" s="105" t="s">
        <v>169</v>
      </c>
      <c r="AH1" s="106" t="s">
        <v>170</v>
      </c>
      <c r="AI1" s="107" t="s">
        <v>171</v>
      </c>
      <c r="AJ1" s="108" t="s">
        <v>172</v>
      </c>
      <c r="AK1" s="100" t="s">
        <v>173</v>
      </c>
      <c r="AM1" s="77"/>
      <c r="AN1" s="109"/>
    </row>
    <row r="2" spans="1:44" ht="29.25" customHeight="1">
      <c r="A2" s="110" t="s">
        <v>1337</v>
      </c>
      <c r="D2" s="111" t="s">
        <v>174</v>
      </c>
      <c r="E2" s="105" t="s">
        <v>175</v>
      </c>
      <c r="F2" s="112"/>
      <c r="G2" s="113" t="s">
        <v>176</v>
      </c>
      <c r="H2" t="s">
        <v>177</v>
      </c>
      <c r="I2" s="114" t="s">
        <v>178</v>
      </c>
      <c r="J2" s="115"/>
      <c r="K2" s="115"/>
      <c r="L2" s="116" t="s">
        <v>179</v>
      </c>
      <c r="M2" s="117" t="s">
        <v>180</v>
      </c>
      <c r="N2" s="117"/>
      <c r="O2" s="117" t="s">
        <v>181</v>
      </c>
      <c r="P2" s="117"/>
      <c r="Q2" s="115" t="s">
        <v>182</v>
      </c>
      <c r="R2" s="116"/>
      <c r="S2" s="116"/>
      <c r="T2" s="118" t="s">
        <v>183</v>
      </c>
      <c r="U2" s="118" t="s">
        <v>183</v>
      </c>
      <c r="V2" s="119" t="s">
        <v>183</v>
      </c>
      <c r="W2" t="s">
        <v>177</v>
      </c>
      <c r="X2" t="s">
        <v>177</v>
      </c>
      <c r="Y2" s="105" t="s">
        <v>184</v>
      </c>
      <c r="AB2" s="104" t="s">
        <v>185</v>
      </c>
      <c r="AC2" s="104" t="s">
        <v>186</v>
      </c>
      <c r="AD2" s="105" t="s">
        <v>187</v>
      </c>
      <c r="AE2" s="105" t="s">
        <v>187</v>
      </c>
      <c r="AF2" t="s">
        <v>165</v>
      </c>
      <c r="AG2" s="105" t="s">
        <v>165</v>
      </c>
      <c r="AH2" s="106" t="s">
        <v>165</v>
      </c>
      <c r="AI2" s="120" t="s">
        <v>188</v>
      </c>
      <c r="AJ2" s="37"/>
      <c r="AK2" s="100" t="s">
        <v>189</v>
      </c>
      <c r="AM2" s="121"/>
      <c r="AN2" s="122"/>
    </row>
    <row r="3" spans="1:44" ht="19" customHeight="1">
      <c r="A3" s="123"/>
      <c r="D3" s="111"/>
      <c r="E3" s="124" t="s">
        <v>191</v>
      </c>
      <c r="F3" s="114"/>
      <c r="G3" s="113"/>
      <c r="H3" t="s">
        <v>175</v>
      </c>
      <c r="I3" s="114" t="s">
        <v>191</v>
      </c>
      <c r="J3" s="125" t="s">
        <v>191</v>
      </c>
      <c r="K3" s="125"/>
      <c r="L3" s="126"/>
      <c r="M3" s="117" t="s">
        <v>192</v>
      </c>
      <c r="N3" s="117"/>
      <c r="O3" s="117" t="s">
        <v>192</v>
      </c>
      <c r="P3" s="117"/>
      <c r="Q3" s="116"/>
      <c r="R3" s="115" t="s">
        <v>193</v>
      </c>
      <c r="S3" s="116"/>
      <c r="T3" s="118" t="s">
        <v>194</v>
      </c>
      <c r="U3" s="118" t="s">
        <v>195</v>
      </c>
      <c r="V3" s="119" t="s">
        <v>196</v>
      </c>
      <c r="W3" t="s">
        <v>197</v>
      </c>
      <c r="X3" t="s">
        <v>197</v>
      </c>
      <c r="Y3" s="124" t="s">
        <v>198</v>
      </c>
      <c r="AB3" s="104" t="s">
        <v>192</v>
      </c>
      <c r="AC3" s="104" t="s">
        <v>192</v>
      </c>
      <c r="AD3" s="127" t="s">
        <v>192</v>
      </c>
      <c r="AE3" s="127" t="s">
        <v>192</v>
      </c>
      <c r="AF3" s="127" t="s">
        <v>192</v>
      </c>
      <c r="AG3" s="127" t="s">
        <v>192</v>
      </c>
      <c r="AH3" s="128" t="s">
        <v>192</v>
      </c>
      <c r="AI3" s="120" t="s">
        <v>199</v>
      </c>
      <c r="AJ3" s="37"/>
      <c r="AM3" s="121"/>
      <c r="AN3" s="109"/>
    </row>
    <row r="4" spans="1:44" s="1" customFormat="1" ht="18" customHeight="1">
      <c r="A4" s="129" t="s">
        <v>215</v>
      </c>
      <c r="B4" s="130"/>
      <c r="D4" s="96" t="s">
        <v>200</v>
      </c>
      <c r="E4" s="97" t="s">
        <v>201</v>
      </c>
      <c r="F4" s="98" t="s">
        <v>202</v>
      </c>
      <c r="G4" s="99"/>
      <c r="H4" s="1" t="s">
        <v>203</v>
      </c>
      <c r="I4" s="98" t="s">
        <v>204</v>
      </c>
      <c r="J4" s="100" t="s">
        <v>205</v>
      </c>
      <c r="K4" s="100"/>
      <c r="L4" s="131"/>
      <c r="M4" s="132" t="s">
        <v>206</v>
      </c>
      <c r="N4" s="101"/>
      <c r="O4" s="132" t="s">
        <v>206</v>
      </c>
      <c r="P4" s="132"/>
      <c r="Q4" s="100"/>
      <c r="R4" s="100" t="s">
        <v>207</v>
      </c>
      <c r="T4" s="102"/>
      <c r="U4" s="102"/>
      <c r="V4" s="103"/>
      <c r="W4" s="1" t="s">
        <v>203</v>
      </c>
      <c r="X4" s="1" t="s">
        <v>203</v>
      </c>
      <c r="Y4" s="97" t="s">
        <v>208</v>
      </c>
      <c r="AB4" s="104" t="s">
        <v>206</v>
      </c>
      <c r="AC4" s="104" t="s">
        <v>206</v>
      </c>
      <c r="AD4" s="105" t="s">
        <v>209</v>
      </c>
      <c r="AE4" s="105" t="s">
        <v>209</v>
      </c>
      <c r="AF4" s="104" t="s">
        <v>206</v>
      </c>
      <c r="AG4" s="104" t="s">
        <v>206</v>
      </c>
      <c r="AH4" s="128" t="s">
        <v>206</v>
      </c>
      <c r="AI4" s="107" t="s">
        <v>210</v>
      </c>
      <c r="AJ4" s="37"/>
      <c r="AM4" s="121"/>
      <c r="AN4" s="109"/>
    </row>
    <row r="5" spans="1:44" ht="13" customHeight="1">
      <c r="A5" s="165" t="s">
        <v>216</v>
      </c>
      <c r="B5" s="166"/>
      <c r="C5" s="166"/>
      <c r="D5" s="134"/>
      <c r="E5" s="105"/>
      <c r="F5" s="135"/>
      <c r="G5" s="113"/>
      <c r="H5" s="133"/>
      <c r="I5" s="135"/>
      <c r="J5" s="136"/>
      <c r="K5" s="136"/>
      <c r="L5" s="136"/>
      <c r="M5" s="137"/>
      <c r="N5" s="137"/>
      <c r="O5" s="137"/>
      <c r="P5" s="137"/>
      <c r="Q5" s="116"/>
      <c r="R5" s="138"/>
      <c r="S5" s="136"/>
      <c r="T5" s="139"/>
      <c r="U5" s="139"/>
      <c r="V5" s="140"/>
      <c r="W5" t="s">
        <v>211</v>
      </c>
      <c r="X5" t="s">
        <v>212</v>
      </c>
      <c r="Y5" s="141"/>
      <c r="Z5" s="133"/>
      <c r="AA5" s="133"/>
      <c r="AB5" s="104"/>
      <c r="AC5" s="104"/>
      <c r="AD5" s="105"/>
      <c r="AE5" s="105"/>
      <c r="AG5" s="105"/>
      <c r="AH5" s="142"/>
      <c r="AI5" s="143"/>
      <c r="AJ5" s="37"/>
      <c r="AM5" s="144"/>
      <c r="AN5" s="109"/>
    </row>
    <row r="6" spans="1:44" s="151" customFormat="1">
      <c r="A6" s="154" t="s">
        <v>1950</v>
      </c>
      <c r="B6" s="149" t="s">
        <v>217</v>
      </c>
      <c r="C6" s="150"/>
      <c r="E6" s="152"/>
      <c r="F6" s="153"/>
      <c r="G6" s="148"/>
      <c r="H6" s="185" t="s">
        <v>218</v>
      </c>
      <c r="I6" s="154" t="s">
        <v>220</v>
      </c>
      <c r="J6" s="155"/>
      <c r="K6" s="155"/>
      <c r="L6" s="155"/>
      <c r="M6" s="156"/>
      <c r="N6" s="156"/>
      <c r="O6" s="156"/>
      <c r="P6" s="156"/>
      <c r="Q6" s="157"/>
      <c r="R6" s="155"/>
      <c r="S6" s="155"/>
      <c r="T6" s="158"/>
      <c r="U6" s="158"/>
      <c r="V6" s="159"/>
      <c r="W6" s="145">
        <v>0</v>
      </c>
      <c r="X6" s="146"/>
      <c r="Y6" s="160"/>
      <c r="Z6" s="155"/>
      <c r="AA6" s="155"/>
      <c r="AB6" s="161"/>
      <c r="AC6" s="161"/>
      <c r="AD6" s="162"/>
      <c r="AE6" s="162"/>
      <c r="AG6" s="162"/>
      <c r="AH6" s="148"/>
      <c r="AI6" s="151" t="s">
        <v>214</v>
      </c>
      <c r="AJ6" s="154"/>
      <c r="AL6" s="155"/>
      <c r="AM6" s="163"/>
      <c r="AN6" s="164"/>
      <c r="AO6" s="155"/>
      <c r="AP6" s="155"/>
      <c r="AQ6" s="155"/>
      <c r="AR6" s="155"/>
    </row>
    <row r="7" spans="1:44" s="462" customFormat="1">
      <c r="A7" s="462">
        <v>2019</v>
      </c>
      <c r="B7" s="462" t="s">
        <v>98</v>
      </c>
      <c r="C7" s="462" t="s">
        <v>219</v>
      </c>
      <c r="D7" s="462">
        <v>8</v>
      </c>
      <c r="E7" s="463">
        <f>'mass filt'!V7</f>
        <v>877.15714285714284</v>
      </c>
      <c r="F7" s="462">
        <v>0.5</v>
      </c>
      <c r="G7" s="462" t="str">
        <f>'sample processing comments'!H6</f>
        <v>FSW carboy 7, IN2019_V02, GF/F filtered</v>
      </c>
      <c r="H7" s="464">
        <f>U7-T7</f>
        <v>19</v>
      </c>
      <c r="I7" s="463">
        <f>E7/F7/H7</f>
        <v>92.332330827067665</v>
      </c>
      <c r="J7" s="463">
        <f>0.001*365.25*E7/F7/H7</f>
        <v>33.724383834586469</v>
      </c>
      <c r="L7" s="462">
        <v>1</v>
      </c>
      <c r="M7" s="463">
        <f>'CHN raw data'!C5</f>
        <v>16.493982315063477</v>
      </c>
      <c r="N7" s="463">
        <f>'CHN raw data'!D5</f>
        <v>1.4027091264724731</v>
      </c>
      <c r="O7" s="463">
        <f>'CHN raw data'!E5</f>
        <v>1.6053479909896851</v>
      </c>
      <c r="R7" s="463">
        <f>pH_Sal!D66</f>
        <v>39.15</v>
      </c>
      <c r="S7" s="463">
        <f>pH_Sal!I66</f>
        <v>8.2010000000000005</v>
      </c>
      <c r="T7" s="465">
        <f>'Traps and Logs'!E112</f>
        <v>43550</v>
      </c>
      <c r="U7" s="465">
        <f>'Traps and Logs'!E113</f>
        <v>43569</v>
      </c>
      <c r="V7" s="466">
        <f>AVERAGE(T7:U7)</f>
        <v>43559.5</v>
      </c>
      <c r="W7" s="464">
        <f t="shared" ref="W7:W8" si="0">H7+W6</f>
        <v>19</v>
      </c>
      <c r="X7" s="462">
        <v>0</v>
      </c>
      <c r="Z7" s="462" t="s">
        <v>1756</v>
      </c>
      <c r="AB7" s="462">
        <f>'BSi raw data_and calculations'!R8</f>
        <v>5.664912004871427</v>
      </c>
      <c r="AC7" s="462">
        <f>'BSi raw data_and calculations'!S8</f>
        <v>12.118353947053187</v>
      </c>
      <c r="AF7" s="462">
        <f>'PIC data'!AF8</f>
        <v>59.129763840253617</v>
      </c>
      <c r="AG7" s="462">
        <f>AF7*12.01/100.0869</f>
        <v>7.0953188051727647</v>
      </c>
      <c r="AH7" s="463">
        <f>M7-AG7</f>
        <v>9.3986635098907119</v>
      </c>
      <c r="AI7" s="462">
        <f>AF7+(AC7*1.11)+(AH7*2.2)+3.7</f>
        <v>96.958196443242215</v>
      </c>
      <c r="AK7" s="462">
        <f>(AH7/12.01)/(O7/14.01)</f>
        <v>6.8295492358745982</v>
      </c>
    </row>
    <row r="8" spans="1:44" s="462" customFormat="1">
      <c r="A8" s="462">
        <v>2019</v>
      </c>
      <c r="B8" s="462" t="s">
        <v>98</v>
      </c>
      <c r="C8" s="462">
        <v>2</v>
      </c>
      <c r="D8" s="462">
        <v>6</v>
      </c>
      <c r="E8" s="463">
        <f>'mass filt'!V8</f>
        <v>537.64285714285722</v>
      </c>
      <c r="F8" s="462">
        <v>0.5</v>
      </c>
      <c r="G8" s="462" t="str">
        <f>'sample processing comments'!H7</f>
        <v>FSW carboy 7, IN2019_V02, GF/F filtered</v>
      </c>
      <c r="H8" s="464">
        <f t="shared" ref="H8:H27" si="1">U8-T8</f>
        <v>19</v>
      </c>
      <c r="I8" s="463">
        <f t="shared" ref="I8:I27" si="2">E8/F8/H8</f>
        <v>56.593984962406026</v>
      </c>
      <c r="J8" s="463">
        <f t="shared" ref="J8:J27" si="3">0.001*365.25*E8/F8/H8</f>
        <v>20.670953007518801</v>
      </c>
      <c r="L8" s="462">
        <v>1</v>
      </c>
      <c r="M8" s="463">
        <f>AVERAGE('CHN raw data'!C6,'CHN raw data'!C16)</f>
        <v>15.446144580841064</v>
      </c>
      <c r="N8" s="463">
        <f>AVERAGE('CHN raw data'!D6,'CHN raw data'!D16)</f>
        <v>1.3354294896125793</v>
      </c>
      <c r="O8" s="463">
        <f>AVERAGE('CHN raw data'!E6,'CHN raw data'!E16)</f>
        <v>1.3850204944610596</v>
      </c>
      <c r="R8" s="463">
        <f>pH_Sal!D67</f>
        <v>39.03</v>
      </c>
      <c r="S8" s="463">
        <f>pH_Sal!I67</f>
        <v>8.3559999999999999</v>
      </c>
      <c r="T8" s="465">
        <f>'Traps and Logs'!E113</f>
        <v>43569</v>
      </c>
      <c r="U8" s="465">
        <f>'Traps and Logs'!E114</f>
        <v>43588</v>
      </c>
      <c r="V8" s="466">
        <f t="shared" ref="V8:V27" si="4">AVERAGE(T8:U8)</f>
        <v>43578.5</v>
      </c>
      <c r="W8" s="464">
        <f t="shared" si="0"/>
        <v>38</v>
      </c>
      <c r="X8" s="462">
        <f t="shared" ref="X8" si="5">X7+H8</f>
        <v>19</v>
      </c>
      <c r="Z8" s="462" t="s">
        <v>1757</v>
      </c>
      <c r="AB8" s="462">
        <f>AVERAGE('BSi raw data_and calculations'!R9:R10)</f>
        <v>6.7708039015226298</v>
      </c>
      <c r="AC8" s="462">
        <f>AVERAGE('BSi raw data_and calculations'!S9:S10)</f>
        <v>14.484072853061402</v>
      </c>
      <c r="AF8" s="462">
        <f>'PIC data'!AF9</f>
        <v>57.583515638982547</v>
      </c>
      <c r="AG8" s="462">
        <f t="shared" ref="AG8:AG27" si="6">AF8*12.01/100.0869</f>
        <v>6.9097756332165385</v>
      </c>
      <c r="AH8" s="463">
        <f t="shared" ref="AH8:AH27" si="7">M8-AG8</f>
        <v>8.5363689476245259</v>
      </c>
      <c r="AI8" s="462">
        <f t="shared" ref="AI8:AI27" si="8">AF8+(AC8*1.11)+(AH8*2.2)+3.7</f>
        <v>96.140848190654665</v>
      </c>
      <c r="AK8" s="462">
        <f t="shared" ref="AK8:AK27" si="9">(AH8/12.01)/(O8/14.01)</f>
        <v>7.189722120192533</v>
      </c>
    </row>
    <row r="9" spans="1:44">
      <c r="A9">
        <v>2019</v>
      </c>
      <c r="B9" t="s">
        <v>98</v>
      </c>
      <c r="C9">
        <v>3</v>
      </c>
      <c r="D9">
        <v>2</v>
      </c>
      <c r="E9" s="105">
        <f>'mass filt'!V9</f>
        <v>232.68571428571425</v>
      </c>
      <c r="F9">
        <v>0.5</v>
      </c>
      <c r="G9" t="str">
        <f>'sample processing comments'!H8</f>
        <v>FSW carboy 7, IN2019_V02, GF/F filtered</v>
      </c>
      <c r="H9" s="112">
        <f t="shared" si="1"/>
        <v>19</v>
      </c>
      <c r="I9" s="105">
        <f t="shared" si="2"/>
        <v>24.493233082706762</v>
      </c>
      <c r="J9" s="105">
        <f t="shared" si="3"/>
        <v>8.9461533834586451</v>
      </c>
      <c r="L9">
        <v>1</v>
      </c>
      <c r="M9" s="105">
        <f>'CHN raw data'!C7</f>
        <v>14.961239814758301</v>
      </c>
      <c r="N9" s="105">
        <f>'CHN raw data'!D7</f>
        <v>0.94896554946899414</v>
      </c>
      <c r="O9" s="105">
        <f>'CHN raw data'!E7</f>
        <v>1.1001783609390259</v>
      </c>
      <c r="Q9" s="285" t="s">
        <v>1573</v>
      </c>
      <c r="R9" s="286">
        <f>AVERAGE(pH_Sal!D68,pH_Sal!G68)</f>
        <v>37.659999999999997</v>
      </c>
      <c r="S9" s="286">
        <f>AVERAGE(pH_Sal!I68,pH_Sal!L68)</f>
        <v>8.3520000000000003</v>
      </c>
      <c r="T9" s="67">
        <f>'Traps and Logs'!E114</f>
        <v>43588</v>
      </c>
      <c r="U9" s="67">
        <f>'Traps and Logs'!E115</f>
        <v>43607</v>
      </c>
      <c r="V9" s="170">
        <f t="shared" si="4"/>
        <v>43597.5</v>
      </c>
      <c r="W9" s="112">
        <f t="shared" ref="W9:W27" si="10">H9+W8</f>
        <v>57</v>
      </c>
      <c r="X9">
        <f t="shared" ref="X9:X27" si="11">X8+H9</f>
        <v>38</v>
      </c>
      <c r="AB9">
        <f>'BSi raw data_and calculations'!R11</f>
        <v>2.4583744291810152</v>
      </c>
      <c r="AC9">
        <f>'BSi raw data_and calculations'!S11</f>
        <v>5.2589433766282374</v>
      </c>
      <c r="AF9" s="88">
        <f>'PIC data'!AF10</f>
        <v>71.776054170038094</v>
      </c>
      <c r="AG9" s="88">
        <f t="shared" si="6"/>
        <v>8.612819565619052</v>
      </c>
      <c r="AH9" s="514">
        <f t="shared" si="7"/>
        <v>6.3484202491392487</v>
      </c>
      <c r="AI9" s="88">
        <f t="shared" si="8"/>
        <v>95.28000586620179</v>
      </c>
      <c r="AK9" s="88">
        <f t="shared" si="9"/>
        <v>6.7312806384103663</v>
      </c>
    </row>
    <row r="10" spans="1:44">
      <c r="A10">
        <v>2019</v>
      </c>
      <c r="B10" t="s">
        <v>98</v>
      </c>
      <c r="C10">
        <v>4</v>
      </c>
      <c r="D10">
        <v>10</v>
      </c>
      <c r="E10" s="105">
        <f>'mass filt'!V10</f>
        <v>398.94285714285718</v>
      </c>
      <c r="F10">
        <v>0.5</v>
      </c>
      <c r="G10" t="str">
        <f>'sample processing comments'!H9</f>
        <v>FSW carboy 7, IN2019_V02, GF/F filtered</v>
      </c>
      <c r="H10" s="112">
        <f t="shared" si="1"/>
        <v>19</v>
      </c>
      <c r="I10" s="105">
        <f t="shared" si="2"/>
        <v>41.993984962406017</v>
      </c>
      <c r="J10" s="105">
        <f t="shared" si="3"/>
        <v>15.338303007518798</v>
      </c>
      <c r="L10">
        <v>1</v>
      </c>
      <c r="M10" s="105">
        <f>'CHN raw data'!C8</f>
        <v>15.094412803649902</v>
      </c>
      <c r="N10" s="105">
        <f>'CHN raw data'!D8</f>
        <v>1.3163539171218872</v>
      </c>
      <c r="O10" s="105">
        <f>'CHN raw data'!E8</f>
        <v>1.3729462623596191</v>
      </c>
      <c r="R10" s="105">
        <f>pH_Sal!D69</f>
        <v>38.39</v>
      </c>
      <c r="S10" s="105">
        <f>pH_Sal!I69</f>
        <v>8.3249999999999993</v>
      </c>
      <c r="T10" s="67">
        <f>'Traps and Logs'!E115</f>
        <v>43607</v>
      </c>
      <c r="U10" s="67">
        <f>'Traps and Logs'!E116</f>
        <v>43626</v>
      </c>
      <c r="V10" s="170">
        <f t="shared" si="4"/>
        <v>43616.5</v>
      </c>
      <c r="W10" s="112">
        <f t="shared" si="10"/>
        <v>76</v>
      </c>
      <c r="X10">
        <f t="shared" si="11"/>
        <v>57</v>
      </c>
      <c r="AB10">
        <f>'BSi raw data_and calculations'!R12</f>
        <v>7.6747303186504228</v>
      </c>
      <c r="AC10">
        <f>'BSi raw data_and calculations'!S12</f>
        <v>16.417748125585756</v>
      </c>
      <c r="AF10" s="88">
        <f>'PIC data'!AF11</f>
        <v>54.752876891954458</v>
      </c>
      <c r="AG10" s="88">
        <f t="shared" si="6"/>
        <v>6.5701110881880949</v>
      </c>
      <c r="AH10" s="514">
        <f t="shared" si="7"/>
        <v>8.5243017154618066</v>
      </c>
      <c r="AI10" s="88">
        <f t="shared" si="8"/>
        <v>95.430041085370632</v>
      </c>
      <c r="AK10" s="88">
        <f t="shared" si="9"/>
        <v>7.2426984184671985</v>
      </c>
    </row>
    <row r="11" spans="1:44">
      <c r="A11">
        <v>2019</v>
      </c>
      <c r="B11" t="s">
        <v>98</v>
      </c>
      <c r="C11">
        <v>5</v>
      </c>
      <c r="D11">
        <v>6</v>
      </c>
      <c r="E11" s="105">
        <f>'mass filt'!V11</f>
        <v>286.78571428571428</v>
      </c>
      <c r="F11">
        <v>0.5</v>
      </c>
      <c r="G11" t="str">
        <f>'sample processing comments'!H10</f>
        <v>FSW carboy 7, IN2019_V02, GF/F filtered</v>
      </c>
      <c r="H11" s="112">
        <f t="shared" si="1"/>
        <v>19</v>
      </c>
      <c r="I11" s="105">
        <f t="shared" si="2"/>
        <v>30.18796992481203</v>
      </c>
      <c r="J11" s="105">
        <f t="shared" si="3"/>
        <v>11.026156015037595</v>
      </c>
      <c r="L11">
        <v>1</v>
      </c>
      <c r="M11" s="105">
        <f>'CHN raw data'!C9</f>
        <v>15.571017265319824</v>
      </c>
      <c r="N11" s="105">
        <f>'CHN raw data'!D9</f>
        <v>1.2891032695770264</v>
      </c>
      <c r="O11" s="105">
        <f>'CHN raw data'!E9</f>
        <v>1.3772218227386475</v>
      </c>
      <c r="R11" s="105">
        <f>pH_Sal!D70</f>
        <v>39.22</v>
      </c>
      <c r="S11" s="105">
        <f>pH_Sal!I70</f>
        <v>8.343</v>
      </c>
      <c r="T11" s="67">
        <f>'Traps and Logs'!E116</f>
        <v>43626</v>
      </c>
      <c r="U11" s="67">
        <f>'Traps and Logs'!E117</f>
        <v>43645</v>
      </c>
      <c r="V11" s="170">
        <f t="shared" si="4"/>
        <v>43635.5</v>
      </c>
      <c r="W11" s="112">
        <f t="shared" si="10"/>
        <v>95</v>
      </c>
      <c r="X11">
        <f t="shared" si="11"/>
        <v>76</v>
      </c>
      <c r="AB11">
        <f>'BSi raw data_and calculations'!R13</f>
        <v>5.9290617535420971</v>
      </c>
      <c r="AC11">
        <f>'BSi raw data_and calculations'!S13</f>
        <v>12.683421885736726</v>
      </c>
      <c r="AF11" s="88">
        <f>'PIC data'!AF12</f>
        <v>59.05862393790845</v>
      </c>
      <c r="AG11" s="88">
        <f t="shared" si="6"/>
        <v>7.0867823211057637</v>
      </c>
      <c r="AH11" s="514">
        <f t="shared" si="7"/>
        <v>8.4842349442140605</v>
      </c>
      <c r="AI11" s="88">
        <f t="shared" si="8"/>
        <v>95.502539108347165</v>
      </c>
      <c r="AK11" s="88">
        <f t="shared" si="9"/>
        <v>7.186276425022025</v>
      </c>
    </row>
    <row r="12" spans="1:44">
      <c r="A12">
        <v>2019</v>
      </c>
      <c r="B12" t="s">
        <v>98</v>
      </c>
      <c r="C12">
        <v>6</v>
      </c>
      <c r="D12">
        <v>5</v>
      </c>
      <c r="E12" s="105">
        <f>'mass filt'!V12</f>
        <v>328.2285714285714</v>
      </c>
      <c r="F12">
        <v>0.5</v>
      </c>
      <c r="G12" t="str">
        <f>'sample processing comments'!H11</f>
        <v>FSW carboy 7, IN2019_V02, GF/F filtered</v>
      </c>
      <c r="H12" s="112">
        <f t="shared" si="1"/>
        <v>19</v>
      </c>
      <c r="I12" s="105">
        <f t="shared" si="2"/>
        <v>34.550375939849623</v>
      </c>
      <c r="J12" s="105">
        <f t="shared" si="3"/>
        <v>12.619524812030074</v>
      </c>
      <c r="L12">
        <v>1</v>
      </c>
      <c r="M12" s="105">
        <f>'CHN raw data'!C10</f>
        <v>15.029834747314453</v>
      </c>
      <c r="N12" s="105">
        <f>'CHN raw data'!D10</f>
        <v>1.364091157913208</v>
      </c>
      <c r="O12" s="105">
        <f>'CHN raw data'!E10</f>
        <v>1.3040809631347656</v>
      </c>
      <c r="R12" s="105">
        <f>pH_Sal!D71</f>
        <v>39.24</v>
      </c>
      <c r="S12" s="105">
        <f>pH_Sal!I71</f>
        <v>8.52</v>
      </c>
      <c r="T12" s="67">
        <f>'Traps and Logs'!E117</f>
        <v>43645</v>
      </c>
      <c r="U12" s="67">
        <f>'Traps and Logs'!E118</f>
        <v>43664</v>
      </c>
      <c r="V12" s="170">
        <f t="shared" si="4"/>
        <v>43654.5</v>
      </c>
      <c r="W12" s="112">
        <f t="shared" si="10"/>
        <v>114</v>
      </c>
      <c r="X12">
        <f t="shared" si="11"/>
        <v>95</v>
      </c>
      <c r="AB12">
        <f>'BSi raw data_and calculations'!R14</f>
        <v>7.242673023264584</v>
      </c>
      <c r="AC12">
        <f>'BSi raw data_and calculations'!S14</f>
        <v>15.493493128087179</v>
      </c>
      <c r="AF12" s="88">
        <f>'PIC data'!AF13</f>
        <v>53.560029468903714</v>
      </c>
      <c r="AG12" s="88">
        <f t="shared" si="6"/>
        <v>6.4269744983762465</v>
      </c>
      <c r="AH12" s="514">
        <f t="shared" si="7"/>
        <v>8.6028602489382067</v>
      </c>
      <c r="AI12" s="88">
        <f t="shared" si="8"/>
        <v>93.384099388744531</v>
      </c>
      <c r="AK12" s="88">
        <f t="shared" si="9"/>
        <v>7.6954397213771335</v>
      </c>
    </row>
    <row r="13" spans="1:44">
      <c r="A13">
        <v>2019</v>
      </c>
      <c r="B13" t="s">
        <v>98</v>
      </c>
      <c r="C13">
        <v>7</v>
      </c>
      <c r="D13">
        <v>5</v>
      </c>
      <c r="E13" s="105">
        <f>'mass filt'!V13</f>
        <v>183.15714285714284</v>
      </c>
      <c r="F13">
        <v>0.5</v>
      </c>
      <c r="G13" t="str">
        <f>'sample processing comments'!H12</f>
        <v>FSW carboy 7, IN2019_V02, GF/F filtered</v>
      </c>
      <c r="H13" s="112">
        <f t="shared" si="1"/>
        <v>19</v>
      </c>
      <c r="I13" s="105">
        <f t="shared" si="2"/>
        <v>19.279699248120298</v>
      </c>
      <c r="J13" s="105">
        <f t="shared" si="3"/>
        <v>7.0419101503759389</v>
      </c>
      <c r="L13">
        <v>1</v>
      </c>
      <c r="M13" s="105">
        <f>'CHN raw data'!C11</f>
        <v>17.541290283203125</v>
      </c>
      <c r="N13" s="105">
        <f>'CHN raw data'!D11</f>
        <v>1.6977771520614624</v>
      </c>
      <c r="O13" s="105">
        <f>'CHN raw data'!E11</f>
        <v>1.9773457050323486</v>
      </c>
      <c r="R13" s="105">
        <f>pH_Sal!D72</f>
        <v>38.200000000000003</v>
      </c>
      <c r="S13" s="105">
        <f>pH_Sal!I72</f>
        <v>8.4239999999999995</v>
      </c>
      <c r="T13" s="67">
        <f>'Traps and Logs'!E118</f>
        <v>43664</v>
      </c>
      <c r="U13" s="67">
        <f>'Traps and Logs'!E119</f>
        <v>43683</v>
      </c>
      <c r="V13" s="170">
        <f t="shared" si="4"/>
        <v>43673.5</v>
      </c>
      <c r="W13" s="112">
        <f t="shared" si="10"/>
        <v>133</v>
      </c>
      <c r="X13">
        <f t="shared" si="11"/>
        <v>114</v>
      </c>
      <c r="AB13">
        <f>'BSi raw data_and calculations'!R15</f>
        <v>4.5906897305674033</v>
      </c>
      <c r="AC13">
        <f>'BSi raw data_and calculations'!S15</f>
        <v>9.8203825528585025</v>
      </c>
      <c r="AF13" s="88">
        <f>'PIC data'!AF14</f>
        <v>54.837901787100641</v>
      </c>
      <c r="AG13" s="88">
        <f t="shared" si="6"/>
        <v>6.5803137120150454</v>
      </c>
      <c r="AH13" s="514">
        <f t="shared" si="7"/>
        <v>10.96097657118808</v>
      </c>
      <c r="AI13" s="88">
        <f t="shared" si="8"/>
        <v>93.552674877387361</v>
      </c>
      <c r="AK13" s="88">
        <f t="shared" si="9"/>
        <v>6.4663881874051832</v>
      </c>
    </row>
    <row r="14" spans="1:44">
      <c r="A14">
        <v>2019</v>
      </c>
      <c r="B14" t="s">
        <v>98</v>
      </c>
      <c r="C14">
        <v>8</v>
      </c>
      <c r="D14" t="s">
        <v>1338</v>
      </c>
      <c r="E14" s="105">
        <f>'mass filt'!V14</f>
        <v>89.5</v>
      </c>
      <c r="F14">
        <v>0.5</v>
      </c>
      <c r="G14" t="str">
        <f>'sample processing comments'!H13</f>
        <v>FSW carboy 7, IN2019_V02, GF/F filtered</v>
      </c>
      <c r="H14" s="112">
        <f t="shared" si="1"/>
        <v>19</v>
      </c>
      <c r="I14" s="105">
        <f t="shared" si="2"/>
        <v>9.4210526315789469</v>
      </c>
      <c r="J14" s="105">
        <f t="shared" si="3"/>
        <v>3.4410394736842105</v>
      </c>
      <c r="L14">
        <v>1</v>
      </c>
      <c r="M14" s="286">
        <f>AVERAGE('CHN raw data'!W85:W86)</f>
        <v>19.53175163269043</v>
      </c>
      <c r="N14" s="286">
        <f>AVERAGE('CHN raw data'!X85:X86)</f>
        <v>1.97513747215271</v>
      </c>
      <c r="O14" s="286">
        <f>AVERAGE('CHN raw data'!Y85:Y86)</f>
        <v>2.8690613508224487</v>
      </c>
      <c r="P14" s="285" t="s">
        <v>1956</v>
      </c>
      <c r="R14" s="105">
        <f>pH_Sal!D73</f>
        <v>37.549999999999997</v>
      </c>
      <c r="S14" s="105">
        <f>pH_Sal!I73</f>
        <v>8.1969999999999992</v>
      </c>
      <c r="T14" s="67">
        <f>'Traps and Logs'!E119</f>
        <v>43683</v>
      </c>
      <c r="U14" s="67">
        <f>'Traps and Logs'!E120</f>
        <v>43702</v>
      </c>
      <c r="V14" s="170">
        <f t="shared" si="4"/>
        <v>43692.5</v>
      </c>
      <c r="W14" s="112">
        <f t="shared" si="10"/>
        <v>152</v>
      </c>
      <c r="X14">
        <f t="shared" si="11"/>
        <v>133</v>
      </c>
      <c r="AB14">
        <f>'BSi raw data_and calculations'!R16</f>
        <v>0.79303484245507505</v>
      </c>
      <c r="AC14">
        <f>'BSi raw data_and calculations'!S16</f>
        <v>1.6964565212931813</v>
      </c>
      <c r="AF14" s="88">
        <f>'PIC data'!AF15</f>
        <v>46.766667166115496</v>
      </c>
      <c r="AG14" s="88">
        <f t="shared" si="6"/>
        <v>5.6118000723875667</v>
      </c>
      <c r="AH14" s="514">
        <f t="shared" si="7"/>
        <v>13.919951560302863</v>
      </c>
      <c r="AI14" s="88">
        <f t="shared" si="8"/>
        <v>82.973627337417227</v>
      </c>
      <c r="AK14" s="544">
        <f t="shared" si="9"/>
        <v>5.6596948564810701</v>
      </c>
      <c r="AL14" s="76"/>
    </row>
    <row r="15" spans="1:44">
      <c r="A15">
        <v>2019</v>
      </c>
      <c r="B15" t="s">
        <v>98</v>
      </c>
      <c r="C15">
        <v>9</v>
      </c>
      <c r="D15">
        <v>3</v>
      </c>
      <c r="E15" s="105">
        <f>'mass filt'!V15</f>
        <v>88.871428571428567</v>
      </c>
      <c r="F15">
        <v>0.5</v>
      </c>
      <c r="G15" t="str">
        <f>'sample processing comments'!H14</f>
        <v>FSW carboy 7, IN2019_V02, GF/F filtered</v>
      </c>
      <c r="H15" s="112">
        <f t="shared" si="1"/>
        <v>19</v>
      </c>
      <c r="I15" s="105">
        <f t="shared" si="2"/>
        <v>9.3548872180451124</v>
      </c>
      <c r="J15" s="105">
        <f t="shared" si="3"/>
        <v>3.4168725563909779</v>
      </c>
      <c r="L15">
        <v>1</v>
      </c>
      <c r="M15" s="105">
        <f>'CHN raw data'!C13</f>
        <v>22.682868957519531</v>
      </c>
      <c r="N15" s="105">
        <f>'CHN raw data'!D13</f>
        <v>2.7638511657714844</v>
      </c>
      <c r="O15" s="105">
        <f>'CHN raw data'!E13</f>
        <v>3.4354841709136963</v>
      </c>
      <c r="R15" s="105">
        <f>pH_Sal!D74</f>
        <v>39.17</v>
      </c>
      <c r="S15" s="105">
        <f>pH_Sal!I74</f>
        <v>8.5779999999999994</v>
      </c>
      <c r="T15" s="67">
        <f>'Traps and Logs'!E120</f>
        <v>43702</v>
      </c>
      <c r="U15" s="67">
        <f>'Traps and Logs'!E121</f>
        <v>43721</v>
      </c>
      <c r="V15" s="170">
        <f t="shared" si="4"/>
        <v>43711.5</v>
      </c>
      <c r="W15" s="112">
        <f t="shared" si="10"/>
        <v>171</v>
      </c>
      <c r="X15">
        <f t="shared" si="11"/>
        <v>152</v>
      </c>
      <c r="AB15">
        <f>'BSi raw data_and calculations'!R17</f>
        <v>3.6381105650844869</v>
      </c>
      <c r="AC15">
        <f>'BSi raw data_and calculations'!S17</f>
        <v>7.782629542752824</v>
      </c>
      <c r="AF15" s="88">
        <f>'PIC data'!AF16</f>
        <v>41.380263512828492</v>
      </c>
      <c r="AG15" s="88">
        <f t="shared" si="6"/>
        <v>4.9654546677843969</v>
      </c>
      <c r="AH15" s="514">
        <f t="shared" si="7"/>
        <v>17.717414289735135</v>
      </c>
      <c r="AI15" s="88">
        <f t="shared" si="8"/>
        <v>92.697293742701433</v>
      </c>
      <c r="AK15" s="88">
        <f t="shared" si="9"/>
        <v>6.0159956908767835</v>
      </c>
    </row>
    <row r="16" spans="1:44">
      <c r="A16">
        <v>2019</v>
      </c>
      <c r="B16" t="s">
        <v>98</v>
      </c>
      <c r="C16">
        <v>10</v>
      </c>
      <c r="D16">
        <v>3</v>
      </c>
      <c r="E16" s="105">
        <f>'mass filt'!V16</f>
        <v>175.98571428571429</v>
      </c>
      <c r="F16">
        <v>0.5</v>
      </c>
      <c r="G16" t="str">
        <f>'sample processing comments'!H15</f>
        <v>FSW carboy 7, IN2019_V02, GF/F filtered</v>
      </c>
      <c r="H16" s="112">
        <f t="shared" si="1"/>
        <v>19</v>
      </c>
      <c r="I16" s="105">
        <f t="shared" si="2"/>
        <v>18.524812030075189</v>
      </c>
      <c r="J16" s="105">
        <f t="shared" si="3"/>
        <v>6.7661875939849638</v>
      </c>
      <c r="L16">
        <v>1</v>
      </c>
      <c r="M16" s="105">
        <f>'CHN raw data'!C14</f>
        <v>16.158702850341797</v>
      </c>
      <c r="N16" s="105">
        <f>'CHN raw data'!D14</f>
        <v>1.3664209842681885</v>
      </c>
      <c r="O16" s="105">
        <f>'CHN raw data'!E14</f>
        <v>1.6685749292373657</v>
      </c>
      <c r="R16" s="105">
        <f>pH_Sal!D75</f>
        <v>39.520000000000003</v>
      </c>
      <c r="S16" s="105">
        <f>pH_Sal!I75</f>
        <v>8.5760000000000005</v>
      </c>
      <c r="T16" s="67">
        <f>'Traps and Logs'!E121</f>
        <v>43721</v>
      </c>
      <c r="U16" s="67">
        <f>'Traps and Logs'!E122</f>
        <v>43740</v>
      </c>
      <c r="V16" s="170">
        <f t="shared" si="4"/>
        <v>43730.5</v>
      </c>
      <c r="W16" s="112">
        <f t="shared" si="10"/>
        <v>190</v>
      </c>
      <c r="X16">
        <f t="shared" si="11"/>
        <v>171</v>
      </c>
      <c r="AB16">
        <f>'BSi raw data_and calculations'!R20</f>
        <v>5.7476750669045495</v>
      </c>
      <c r="AC16">
        <f>'BSi raw data_and calculations'!S20</f>
        <v>12.295400312221231</v>
      </c>
      <c r="AF16" s="88">
        <f>'PIC data'!AF17</f>
        <v>58.07429164962403</v>
      </c>
      <c r="AG16" s="88">
        <f t="shared" si="6"/>
        <v>6.9686666557959587</v>
      </c>
      <c r="AH16" s="514">
        <f t="shared" si="7"/>
        <v>9.1900361945458382</v>
      </c>
      <c r="AI16" s="88">
        <f t="shared" si="8"/>
        <v>95.640265624190448</v>
      </c>
      <c r="AK16" s="88">
        <f t="shared" si="9"/>
        <v>6.4249038953238395</v>
      </c>
    </row>
    <row r="17" spans="1:44">
      <c r="A17">
        <v>2019</v>
      </c>
      <c r="B17" t="s">
        <v>98</v>
      </c>
      <c r="C17">
        <v>11</v>
      </c>
      <c r="D17">
        <v>5</v>
      </c>
      <c r="E17" s="105">
        <f>'mass filt'!V17</f>
        <v>554.94285714285718</v>
      </c>
      <c r="F17">
        <v>0.5</v>
      </c>
      <c r="G17" t="str">
        <f>'sample processing comments'!H16</f>
        <v>FSW carboy 7, IN2019_V02, GF/F filtered</v>
      </c>
      <c r="H17" s="112">
        <f t="shared" si="1"/>
        <v>19</v>
      </c>
      <c r="I17" s="105">
        <f t="shared" si="2"/>
        <v>58.41503759398497</v>
      </c>
      <c r="J17" s="105">
        <f t="shared" si="3"/>
        <v>21.336092481203011</v>
      </c>
      <c r="L17">
        <v>1</v>
      </c>
      <c r="M17" s="105">
        <f>'CHN raw data'!C15</f>
        <v>14.976724624633789</v>
      </c>
      <c r="N17" s="105">
        <f>'CHN raw data'!D15</f>
        <v>1.099612832069397</v>
      </c>
      <c r="O17" s="105">
        <f>'CHN raw data'!E15</f>
        <v>1.2329243421554565</v>
      </c>
      <c r="R17" s="105">
        <f>pH_Sal!D76</f>
        <v>39.520000000000003</v>
      </c>
      <c r="S17" s="105">
        <f>pH_Sal!I76</f>
        <v>8.4469999999999992</v>
      </c>
      <c r="T17" s="67">
        <f>'Traps and Logs'!E122</f>
        <v>43740</v>
      </c>
      <c r="U17" s="67">
        <f>'Traps and Logs'!E123</f>
        <v>43759</v>
      </c>
      <c r="V17" s="170">
        <f t="shared" si="4"/>
        <v>43749.5</v>
      </c>
      <c r="W17" s="112">
        <f t="shared" si="10"/>
        <v>209</v>
      </c>
      <c r="X17">
        <f t="shared" si="11"/>
        <v>190</v>
      </c>
      <c r="AB17">
        <f>'BSi raw data_and calculations'!R21</f>
        <v>5.12804146556525</v>
      </c>
      <c r="AC17">
        <f>'BSi raw data_and calculations'!S21</f>
        <v>10.969882935771306</v>
      </c>
      <c r="AF17" s="88">
        <f>'PIC data'!AF18</f>
        <v>61.74930965606795</v>
      </c>
      <c r="AG17" s="88">
        <f t="shared" si="6"/>
        <v>7.4096531011488622</v>
      </c>
      <c r="AH17" s="514">
        <f t="shared" si="7"/>
        <v>7.5670715234849268</v>
      </c>
      <c r="AI17" s="88">
        <f t="shared" si="8"/>
        <v>94.273437066440934</v>
      </c>
      <c r="AK17" s="88">
        <f t="shared" si="9"/>
        <v>7.1595634069755407</v>
      </c>
    </row>
    <row r="18" spans="1:44">
      <c r="A18">
        <v>2019</v>
      </c>
      <c r="B18" t="s">
        <v>98</v>
      </c>
      <c r="C18">
        <v>12</v>
      </c>
      <c r="D18">
        <v>5</v>
      </c>
      <c r="E18" s="105">
        <f>'mass filt'!V18</f>
        <v>863.91428571428582</v>
      </c>
      <c r="F18">
        <v>0.5</v>
      </c>
      <c r="G18" t="str">
        <f>'sample processing comments'!H17</f>
        <v>FSW carboy 7, IN2019_V02, GF/F filtered</v>
      </c>
      <c r="H18" s="112">
        <f t="shared" si="1"/>
        <v>19</v>
      </c>
      <c r="I18" s="105">
        <f t="shared" si="2"/>
        <v>90.93834586466167</v>
      </c>
      <c r="J18" s="105">
        <f t="shared" si="3"/>
        <v>33.215230827067678</v>
      </c>
      <c r="L18">
        <v>1</v>
      </c>
      <c r="M18" s="105">
        <f>'CHN raw data'!C18</f>
        <v>14.551158905029297</v>
      </c>
      <c r="N18" s="105">
        <f>'CHN raw data'!D18</f>
        <v>0.97580194473266602</v>
      </c>
      <c r="O18" s="105">
        <f>'CHN raw data'!E18</f>
        <v>0.97431081533432007</v>
      </c>
      <c r="Q18" s="285" t="s">
        <v>1573</v>
      </c>
      <c r="R18" s="286">
        <f>pH_Sal!D77</f>
        <v>38.729999999999997</v>
      </c>
      <c r="S18" s="286">
        <f>AVERAGE(pH_Sal!I77,pH_Sal!L77)</f>
        <v>8.275500000000001</v>
      </c>
      <c r="T18" s="67">
        <f>'Traps and Logs'!E123</f>
        <v>43759</v>
      </c>
      <c r="U18" s="67">
        <f>'Traps and Logs'!E124</f>
        <v>43778</v>
      </c>
      <c r="V18" s="170">
        <f t="shared" si="4"/>
        <v>43768.5</v>
      </c>
      <c r="W18" s="112">
        <f t="shared" si="10"/>
        <v>228</v>
      </c>
      <c r="X18">
        <f t="shared" si="11"/>
        <v>209</v>
      </c>
      <c r="AB18">
        <f>'BSi raw data_and calculations'!R22</f>
        <v>3.8631501693818517</v>
      </c>
      <c r="AC18">
        <f>'BSi raw data_and calculations'!S22</f>
        <v>8.2640332388093789</v>
      </c>
      <c r="AF18" s="88">
        <f>'PIC data'!AF19</f>
        <v>68.586367428182143</v>
      </c>
      <c r="AG18" s="88">
        <f t="shared" si="6"/>
        <v>8.230070796602428</v>
      </c>
      <c r="AH18" s="514">
        <f t="shared" si="7"/>
        <v>6.3210881084268689</v>
      </c>
      <c r="AI18" s="88">
        <f t="shared" si="8"/>
        <v>95.365838161799672</v>
      </c>
      <c r="AK18" s="88">
        <f t="shared" si="9"/>
        <v>7.5681450715794467</v>
      </c>
    </row>
    <row r="19" spans="1:44">
      <c r="A19">
        <v>2019</v>
      </c>
      <c r="B19" t="s">
        <v>98</v>
      </c>
      <c r="C19">
        <v>13</v>
      </c>
      <c r="D19">
        <v>15</v>
      </c>
      <c r="E19" s="105">
        <f>'mass filt'!V19</f>
        <v>2098.2714285714287</v>
      </c>
      <c r="F19">
        <v>0.5</v>
      </c>
      <c r="G19" t="str">
        <f>'sample processing comments'!H18</f>
        <v>FSW carboy 7, IN2019_V02, GF/F filtered</v>
      </c>
      <c r="H19" s="112">
        <f t="shared" si="1"/>
        <v>19</v>
      </c>
      <c r="I19" s="105">
        <f t="shared" si="2"/>
        <v>220.87067669172933</v>
      </c>
      <c r="J19" s="105">
        <f t="shared" si="3"/>
        <v>80.673014661654136</v>
      </c>
      <c r="L19">
        <v>1</v>
      </c>
      <c r="M19" s="286">
        <f>AVERAGE('CHN raw data'!W90:W91)</f>
        <v>13.051294803619385</v>
      </c>
      <c r="N19" s="286">
        <f>AVERAGE('CHN raw data'!X90:X91)</f>
        <v>0.6120409369468689</v>
      </c>
      <c r="O19" s="286">
        <f>AVERAGE('CHN raw data'!Y90:Y91)</f>
        <v>0.56372952461242676</v>
      </c>
      <c r="P19" s="285" t="s">
        <v>1956</v>
      </c>
      <c r="R19" s="105">
        <f>pH_Sal!D78</f>
        <v>39.090000000000003</v>
      </c>
      <c r="S19" s="105">
        <f>pH_Sal!I78</f>
        <v>8.3469999999999995</v>
      </c>
      <c r="T19" s="67">
        <f>'Traps and Logs'!E124</f>
        <v>43778</v>
      </c>
      <c r="U19" s="67">
        <f>'Traps and Logs'!E125</f>
        <v>43797</v>
      </c>
      <c r="V19" s="170">
        <f t="shared" si="4"/>
        <v>43787.5</v>
      </c>
      <c r="W19" s="112">
        <f t="shared" si="10"/>
        <v>247</v>
      </c>
      <c r="X19">
        <f t="shared" si="11"/>
        <v>228</v>
      </c>
      <c r="AB19">
        <f>'BSi raw data_and calculations'!R23</f>
        <v>4.2807181844419544</v>
      </c>
      <c r="AC19">
        <f>'BSi raw data_and calculations'!S23</f>
        <v>9.1572928338596338</v>
      </c>
      <c r="AF19" s="88">
        <f>'PIC data'!AF20</f>
        <v>73.949080995875718</v>
      </c>
      <c r="AG19" s="88">
        <f t="shared" si="6"/>
        <v>8.8735734922399185</v>
      </c>
      <c r="AH19" s="514">
        <f t="shared" si="7"/>
        <v>4.1777213113794662</v>
      </c>
      <c r="AI19" s="88">
        <f t="shared" si="8"/>
        <v>97.004662926494746</v>
      </c>
      <c r="AK19" s="88">
        <f t="shared" si="9"/>
        <v>8.6449764078240623</v>
      </c>
    </row>
    <row r="20" spans="1:44">
      <c r="A20">
        <v>2019</v>
      </c>
      <c r="B20" t="s">
        <v>98</v>
      </c>
      <c r="C20">
        <v>14</v>
      </c>
      <c r="D20">
        <v>10</v>
      </c>
      <c r="E20" s="105">
        <f>'mass filt'!V21</f>
        <v>1958.8428571428572</v>
      </c>
      <c r="F20">
        <v>0.5</v>
      </c>
      <c r="G20" t="str">
        <f>'sample processing comments'!H19</f>
        <v>FSW carboy 7, IN2019_V02, GF/F filtered</v>
      </c>
      <c r="H20" s="112">
        <f t="shared" si="1"/>
        <v>19</v>
      </c>
      <c r="I20" s="105">
        <f t="shared" si="2"/>
        <v>206.19398496240601</v>
      </c>
      <c r="J20" s="105">
        <f t="shared" si="3"/>
        <v>75.312353007518794</v>
      </c>
      <c r="L20">
        <v>1</v>
      </c>
      <c r="M20" s="105">
        <f>AVERAGE('CHN raw data'!C20:C21)</f>
        <v>12.688194751739502</v>
      </c>
      <c r="N20" s="105">
        <f>AVERAGE('CHN raw data'!D20:D21)</f>
        <v>0.59450668096542358</v>
      </c>
      <c r="O20" s="105">
        <f>AVERAGE('CHN raw data'!E20:E21)</f>
        <v>0.58674687147140503</v>
      </c>
      <c r="R20" s="105">
        <f>pH_Sal!D79</f>
        <v>38.979999999999997</v>
      </c>
      <c r="S20" s="105">
        <f>pH_Sal!I79</f>
        <v>8.1660000000000004</v>
      </c>
      <c r="T20" s="67">
        <f>'Traps and Logs'!E125</f>
        <v>43797</v>
      </c>
      <c r="U20" s="67">
        <f>'Traps and Logs'!E126</f>
        <v>43816</v>
      </c>
      <c r="V20" s="170">
        <f t="shared" si="4"/>
        <v>43806.5</v>
      </c>
      <c r="W20" s="112">
        <f t="shared" si="10"/>
        <v>266</v>
      </c>
      <c r="X20">
        <f t="shared" si="11"/>
        <v>247</v>
      </c>
      <c r="AB20">
        <f>AVERAGE('BSi raw data_and calculations'!R24:R25)</f>
        <v>5.288354221217431</v>
      </c>
      <c r="AC20">
        <f>AVERAGE('BSi raw data_and calculations'!S24:S25)</f>
        <v>11.312823252152207</v>
      </c>
      <c r="AF20" s="88">
        <f>'PIC data'!AF21</f>
        <v>72.135137171254925</v>
      </c>
      <c r="AG20" s="88">
        <f t="shared" si="6"/>
        <v>8.6559079902242111</v>
      </c>
      <c r="AH20" s="514">
        <f t="shared" si="7"/>
        <v>4.0322867615152909</v>
      </c>
      <c r="AI20" s="88">
        <f t="shared" si="8"/>
        <v>97.263401856477529</v>
      </c>
      <c r="AK20" s="88">
        <f t="shared" si="9"/>
        <v>8.0167022787673883</v>
      </c>
    </row>
    <row r="21" spans="1:44">
      <c r="A21">
        <v>2019</v>
      </c>
      <c r="B21" t="s">
        <v>98</v>
      </c>
      <c r="C21">
        <v>15</v>
      </c>
      <c r="D21">
        <v>10</v>
      </c>
      <c r="E21" s="105">
        <f>'mass filt'!V23</f>
        <v>866.17142857142869</v>
      </c>
      <c r="F21">
        <v>0.5</v>
      </c>
      <c r="G21" t="str">
        <f>'sample processing comments'!H20</f>
        <v>FSW carboy 7, IN2019_V02, GF/F filtered</v>
      </c>
      <c r="H21" s="112">
        <f t="shared" si="1"/>
        <v>19</v>
      </c>
      <c r="I21" s="105">
        <f t="shared" si="2"/>
        <v>91.175939849624072</v>
      </c>
      <c r="J21" s="105">
        <f t="shared" si="3"/>
        <v>33.302012030075197</v>
      </c>
      <c r="L21">
        <v>1</v>
      </c>
      <c r="M21" s="105">
        <f>'CHN raw data'!C22</f>
        <v>12.13929271697998</v>
      </c>
      <c r="N21" s="105">
        <f>'CHN raw data'!D22</f>
        <v>0.70039463043212891</v>
      </c>
      <c r="O21" s="105">
        <f>'CHN raw data'!E22</f>
        <v>0.64991587400436401</v>
      </c>
      <c r="R21" s="105">
        <f>pH_Sal!D80</f>
        <v>39.25</v>
      </c>
      <c r="S21" s="105">
        <f>pH_Sal!I80</f>
        <v>8.4149999999999991</v>
      </c>
      <c r="T21" s="67">
        <f>'Traps and Logs'!E126</f>
        <v>43816</v>
      </c>
      <c r="U21" s="67">
        <f>'Traps and Logs'!E127</f>
        <v>43835</v>
      </c>
      <c r="V21" s="170">
        <f t="shared" si="4"/>
        <v>43825.5</v>
      </c>
      <c r="W21" s="112">
        <f t="shared" si="10"/>
        <v>285</v>
      </c>
      <c r="X21">
        <f t="shared" si="11"/>
        <v>266</v>
      </c>
      <c r="AB21">
        <f>'BSi raw data_and calculations'!R26</f>
        <v>7.6518266658560306</v>
      </c>
      <c r="AC21">
        <f>'BSi raw data_and calculations'!S26</f>
        <v>16.368752735894944</v>
      </c>
      <c r="AF21" s="88">
        <f>'PIC data'!AF22</f>
        <v>66.051429418283774</v>
      </c>
      <c r="AG21" s="88">
        <f t="shared" si="6"/>
        <v>7.9258890755292466</v>
      </c>
      <c r="AH21" s="514">
        <f t="shared" si="7"/>
        <v>4.2134036414507339</v>
      </c>
      <c r="AI21" s="88">
        <f t="shared" si="8"/>
        <v>97.190232966318774</v>
      </c>
      <c r="AK21" s="88">
        <f t="shared" si="9"/>
        <v>7.5625985925152674</v>
      </c>
    </row>
    <row r="22" spans="1:44" s="89" customFormat="1">
      <c r="A22" s="89">
        <v>2019</v>
      </c>
      <c r="B22" s="89" t="s">
        <v>98</v>
      </c>
      <c r="C22" s="89">
        <v>16</v>
      </c>
      <c r="D22" s="89">
        <v>4</v>
      </c>
      <c r="E22" s="281">
        <f>'mass filt'!V24</f>
        <v>390.62857142857138</v>
      </c>
      <c r="F22" s="89">
        <v>0.5</v>
      </c>
      <c r="G22" s="89" t="str">
        <f>'sample processing comments'!H21</f>
        <v>FSW carboy 7, IN2019_V02, GF/F filtered</v>
      </c>
      <c r="H22" s="545">
        <f t="shared" si="1"/>
        <v>19</v>
      </c>
      <c r="I22" s="281">
        <f t="shared" si="2"/>
        <v>41.118796992481201</v>
      </c>
      <c r="J22" s="281">
        <f t="shared" si="3"/>
        <v>15.018640601503758</v>
      </c>
      <c r="L22" s="89">
        <v>1</v>
      </c>
      <c r="M22" s="550">
        <f>AVERAGE('CHN raw data'!W87:W89)</f>
        <v>25.989185969034811</v>
      </c>
      <c r="N22" s="550">
        <f>AVERAGE('CHN raw data'!X87:X89)</f>
        <v>3.1099778016408286</v>
      </c>
      <c r="O22" s="550">
        <f>AVERAGE('CHN raw data'!Y87:Y89)</f>
        <v>1.5573702653249104</v>
      </c>
      <c r="P22" s="546" t="s">
        <v>1957</v>
      </c>
      <c r="R22" s="281">
        <f>pH_Sal!D81</f>
        <v>38.270000000000003</v>
      </c>
      <c r="S22" s="547">
        <f>pH_Sal!I18</f>
        <v>8.2210000000000001</v>
      </c>
      <c r="T22" s="548">
        <f>'Traps and Logs'!E127</f>
        <v>43835</v>
      </c>
      <c r="U22" s="548">
        <f>'Traps and Logs'!E128</f>
        <v>43854</v>
      </c>
      <c r="V22" s="170">
        <f t="shared" si="4"/>
        <v>43844.5</v>
      </c>
      <c r="W22" s="545">
        <f t="shared" si="10"/>
        <v>304</v>
      </c>
      <c r="X22" s="89">
        <f t="shared" si="11"/>
        <v>285</v>
      </c>
      <c r="AB22" s="89">
        <f>'BSi raw data_and calculations'!R27</f>
        <v>3.9140199454516917</v>
      </c>
      <c r="AC22" s="89">
        <f>'BSi raw data_and calculations'!S27</f>
        <v>8.3728536319755147</v>
      </c>
      <c r="AF22" s="544">
        <f>'PIC data'!AF23</f>
        <v>49.392042607860581</v>
      </c>
      <c r="AG22" s="544">
        <f t="shared" si="6"/>
        <v>5.926833898546219</v>
      </c>
      <c r="AH22" s="549">
        <f t="shared" si="7"/>
        <v>20.062352070488593</v>
      </c>
      <c r="AI22" s="544">
        <f t="shared" si="8"/>
        <v>106.52308469442831</v>
      </c>
      <c r="AK22" s="544">
        <f t="shared" si="9"/>
        <v>15.027443260577444</v>
      </c>
      <c r="AL22" s="324"/>
    </row>
    <row r="23" spans="1:44">
      <c r="A23">
        <v>2019</v>
      </c>
      <c r="B23" t="s">
        <v>98</v>
      </c>
      <c r="C23">
        <v>17</v>
      </c>
      <c r="D23">
        <v>5</v>
      </c>
      <c r="E23" s="105">
        <f>'mass filt'!V25</f>
        <v>234.24285714285713</v>
      </c>
      <c r="F23">
        <v>0.5</v>
      </c>
      <c r="G23" t="str">
        <f>'sample processing comments'!H22</f>
        <v>FSW carboy 7, IN2019_V02, GF/F filtered</v>
      </c>
      <c r="H23" s="112">
        <f t="shared" si="1"/>
        <v>19</v>
      </c>
      <c r="I23" s="105">
        <f t="shared" si="2"/>
        <v>24.657142857142855</v>
      </c>
      <c r="J23" s="105">
        <f t="shared" si="3"/>
        <v>9.0060214285714295</v>
      </c>
      <c r="L23">
        <v>1</v>
      </c>
      <c r="M23" s="105">
        <f>'CHN raw data'!C25</f>
        <v>19.005569458007813</v>
      </c>
      <c r="N23" s="105">
        <f>'CHN raw data'!D25</f>
        <v>1.859127402305603</v>
      </c>
      <c r="O23" s="105">
        <f>'CHN raw data'!E25</f>
        <v>1.9113456010818481</v>
      </c>
      <c r="R23" s="105">
        <f>pH_Sal!D82</f>
        <v>38.770000000000003</v>
      </c>
      <c r="S23" s="105">
        <f>pH_Sal!I82</f>
        <v>8.4359999999999999</v>
      </c>
      <c r="T23" s="67">
        <f>'Traps and Logs'!E128</f>
        <v>43854</v>
      </c>
      <c r="U23" s="67">
        <f>'Traps and Logs'!E129</f>
        <v>43873</v>
      </c>
      <c r="V23" s="170">
        <f t="shared" si="4"/>
        <v>43863.5</v>
      </c>
      <c r="W23" s="112">
        <f t="shared" si="10"/>
        <v>323</v>
      </c>
      <c r="X23">
        <f t="shared" si="11"/>
        <v>304</v>
      </c>
      <c r="AB23">
        <f>'BSi raw data_and calculations'!R28</f>
        <v>2.4305946955235274</v>
      </c>
      <c r="AC23">
        <f>'BSi raw data_and calculations'!S28</f>
        <v>5.1995170969743247</v>
      </c>
      <c r="AF23" s="88">
        <f>'PIC data'!AF24</f>
        <v>57.31474619803241</v>
      </c>
      <c r="AG23" s="88">
        <f t="shared" si="6"/>
        <v>6.8775244496369581</v>
      </c>
      <c r="AH23" s="514">
        <f t="shared" si="7"/>
        <v>12.128045008370854</v>
      </c>
      <c r="AI23" s="88">
        <f t="shared" si="8"/>
        <v>93.467909194089799</v>
      </c>
      <c r="AK23" s="88">
        <f t="shared" si="9"/>
        <v>7.4019595341292845</v>
      </c>
    </row>
    <row r="24" spans="1:44">
      <c r="A24">
        <v>2019</v>
      </c>
      <c r="B24" t="s">
        <v>98</v>
      </c>
      <c r="C24">
        <v>18</v>
      </c>
      <c r="D24">
        <v>8</v>
      </c>
      <c r="E24" s="105">
        <f>'mass filt'!V26</f>
        <v>250.32857142857148</v>
      </c>
      <c r="F24">
        <v>0.5</v>
      </c>
      <c r="G24" t="str">
        <f>'sample processing comments'!H23</f>
        <v>FSW carboy 7, IN2019_V02, GF/F filtered</v>
      </c>
      <c r="H24" s="112">
        <f t="shared" si="1"/>
        <v>19</v>
      </c>
      <c r="I24" s="105">
        <f t="shared" si="2"/>
        <v>26.350375939849631</v>
      </c>
      <c r="J24" s="105">
        <f t="shared" si="3"/>
        <v>9.624474812030078</v>
      </c>
      <c r="L24">
        <v>1</v>
      </c>
      <c r="M24" s="105">
        <f>'CHN raw data'!C26</f>
        <v>21.95036506652832</v>
      </c>
      <c r="N24" s="105">
        <f>'CHN raw data'!D26</f>
        <v>2.4691586494445801</v>
      </c>
      <c r="O24" s="105">
        <f>'CHN raw data'!E26</f>
        <v>2.4620542526245117</v>
      </c>
      <c r="R24" s="105">
        <f>pH_Sal!D83</f>
        <v>37.840000000000003</v>
      </c>
      <c r="S24" s="105">
        <f>pH_Sal!I83</f>
        <v>8.3320000000000007</v>
      </c>
      <c r="T24" s="67">
        <f>'Traps and Logs'!E129</f>
        <v>43873</v>
      </c>
      <c r="U24" s="67">
        <f>'Traps and Logs'!E130</f>
        <v>43892</v>
      </c>
      <c r="V24" s="170">
        <f t="shared" si="4"/>
        <v>43882.5</v>
      </c>
      <c r="W24" s="112">
        <f t="shared" si="10"/>
        <v>342</v>
      </c>
      <c r="X24">
        <f t="shared" si="11"/>
        <v>323</v>
      </c>
      <c r="AB24">
        <f>'BSi raw data_and calculations'!R29</f>
        <v>2.3985475407432224</v>
      </c>
      <c r="AC24">
        <f>'BSi raw data_and calculations'!S29</f>
        <v>5.1309619695001878</v>
      </c>
      <c r="AF24" s="88">
        <f>'PIC data'!AF25</f>
        <v>51.46975723752265</v>
      </c>
      <c r="AG24" s="88">
        <f t="shared" si="6"/>
        <v>6.1761507692080277</v>
      </c>
      <c r="AH24" s="514">
        <f t="shared" si="7"/>
        <v>15.774214297320292</v>
      </c>
      <c r="AI24" s="88">
        <f t="shared" si="8"/>
        <v>95.568396477772509</v>
      </c>
      <c r="AK24" s="88">
        <f t="shared" si="9"/>
        <v>7.4738649463257465</v>
      </c>
    </row>
    <row r="25" spans="1:44">
      <c r="A25">
        <v>2019</v>
      </c>
      <c r="B25" t="s">
        <v>98</v>
      </c>
      <c r="C25">
        <v>19</v>
      </c>
      <c r="D25">
        <v>10</v>
      </c>
      <c r="E25" s="105">
        <f>'mass filt'!V28</f>
        <v>324.08571428571429</v>
      </c>
      <c r="F25">
        <v>0.5</v>
      </c>
      <c r="G25" t="str">
        <f>'sample processing comments'!H24</f>
        <v>FSW carboy 7, IN2019_V02, GF/F filtered</v>
      </c>
      <c r="H25" s="112">
        <f t="shared" si="1"/>
        <v>19</v>
      </c>
      <c r="I25" s="105">
        <f t="shared" si="2"/>
        <v>34.114285714285714</v>
      </c>
      <c r="J25" s="105">
        <f t="shared" si="3"/>
        <v>12.460242857142859</v>
      </c>
      <c r="L25">
        <v>1</v>
      </c>
      <c r="M25" s="105">
        <f>'CHN raw data'!C27</f>
        <v>20.553665161132813</v>
      </c>
      <c r="N25" s="105">
        <f>'CHN raw data'!D27</f>
        <v>2.1493401527404785</v>
      </c>
      <c r="O25" s="105">
        <f>'CHN raw data'!E27</f>
        <v>2.2835824489593506</v>
      </c>
      <c r="R25" s="105">
        <f>pH_Sal!D84</f>
        <v>37.85</v>
      </c>
      <c r="S25" s="105">
        <f>pH_Sal!I84</f>
        <v>8.2759999999999998</v>
      </c>
      <c r="T25" s="67">
        <f>'Traps and Logs'!E130</f>
        <v>43892</v>
      </c>
      <c r="U25" s="67">
        <f>'Traps and Logs'!E131</f>
        <v>43911</v>
      </c>
      <c r="V25" s="170">
        <f t="shared" si="4"/>
        <v>43901.5</v>
      </c>
      <c r="W25" s="112">
        <f t="shared" si="10"/>
        <v>361</v>
      </c>
      <c r="X25">
        <f t="shared" si="11"/>
        <v>342</v>
      </c>
      <c r="AB25">
        <f>'BSi raw data_and calculations'!R30</f>
        <v>1.5691584583196199</v>
      </c>
      <c r="AC25">
        <f>'BSi raw data_and calculations'!S30</f>
        <v>3.3567366237246694</v>
      </c>
      <c r="AF25" s="88">
        <f>'PIC data'!AF26</f>
        <v>57.699537117459684</v>
      </c>
      <c r="AG25" s="88">
        <f t="shared" si="6"/>
        <v>6.9236977144930139</v>
      </c>
      <c r="AH25" s="514">
        <f t="shared" si="7"/>
        <v>13.6299674466398</v>
      </c>
      <c r="AI25" s="88">
        <f t="shared" si="8"/>
        <v>95.111443152401634</v>
      </c>
      <c r="AK25" s="88">
        <f t="shared" si="9"/>
        <v>6.9626289255230684</v>
      </c>
    </row>
    <row r="26" spans="1:44">
      <c r="A26">
        <v>2019</v>
      </c>
      <c r="B26" t="s">
        <v>98</v>
      </c>
      <c r="C26">
        <v>20</v>
      </c>
      <c r="D26">
        <v>9</v>
      </c>
      <c r="E26" s="105">
        <f>'mass filt'!V30</f>
        <v>238.44285714285715</v>
      </c>
      <c r="F26">
        <v>0.5</v>
      </c>
      <c r="G26" t="str">
        <f>'sample processing comments'!H25</f>
        <v>FSW carboy 7, IN2019_V02, GF/F filtered</v>
      </c>
      <c r="H26" s="112">
        <f t="shared" si="1"/>
        <v>19</v>
      </c>
      <c r="I26" s="105">
        <f t="shared" si="2"/>
        <v>25.099248120300754</v>
      </c>
      <c r="J26" s="105">
        <f t="shared" si="3"/>
        <v>9.1675003759398503</v>
      </c>
      <c r="L26">
        <v>1</v>
      </c>
      <c r="M26" s="105">
        <f>'CHN raw data'!C28</f>
        <v>20.583889007568359</v>
      </c>
      <c r="N26" s="105">
        <f>'CHN raw data'!D28</f>
        <v>2.3624162673950195</v>
      </c>
      <c r="O26" s="105">
        <f>'CHN raw data'!E28</f>
        <v>2.4531049728393555</v>
      </c>
      <c r="R26" s="105">
        <f>pH_Sal!D85</f>
        <v>37.33</v>
      </c>
      <c r="S26" s="105">
        <f>pH_Sal!I85</f>
        <v>8.2949999999999999</v>
      </c>
      <c r="T26" s="67">
        <f>'Traps and Logs'!E131</f>
        <v>43911</v>
      </c>
      <c r="U26" s="67">
        <f>'Traps and Logs'!E132</f>
        <v>43930</v>
      </c>
      <c r="V26" s="170">
        <f t="shared" si="4"/>
        <v>43920.5</v>
      </c>
      <c r="W26" s="112">
        <f t="shared" si="10"/>
        <v>380</v>
      </c>
      <c r="X26">
        <f t="shared" si="11"/>
        <v>361</v>
      </c>
      <c r="AB26">
        <f>'BSi raw data_and calculations'!R31</f>
        <v>0.75516641537555029</v>
      </c>
      <c r="AC26">
        <f>'BSi raw data_and calculations'!S31</f>
        <v>1.6154485546428201</v>
      </c>
      <c r="AF26" s="88">
        <f>'PIC data'!AF27</f>
        <v>52.406630128377785</v>
      </c>
      <c r="AG26" s="88">
        <f t="shared" si="6"/>
        <v>6.2885715097761761</v>
      </c>
      <c r="AH26" s="514">
        <f t="shared" si="7"/>
        <v>14.295317497792183</v>
      </c>
      <c r="AI26" s="88">
        <f t="shared" si="8"/>
        <v>89.349476519174132</v>
      </c>
      <c r="AK26" s="88">
        <f t="shared" si="9"/>
        <v>6.7978691458925722</v>
      </c>
    </row>
    <row r="27" spans="1:44">
      <c r="A27">
        <v>2019</v>
      </c>
      <c r="B27" t="s">
        <v>98</v>
      </c>
      <c r="C27">
        <v>21</v>
      </c>
      <c r="D27">
        <v>7</v>
      </c>
      <c r="E27" s="105">
        <f>'mass filt'!V32</f>
        <v>415.82857142857154</v>
      </c>
      <c r="F27">
        <v>0.5</v>
      </c>
      <c r="G27" t="str">
        <f>'sample processing comments'!H26</f>
        <v>FSW carboy 7, IN2019_V02, GF/F filtered + carboy 5, IN2019_V02</v>
      </c>
      <c r="H27" s="112">
        <f t="shared" si="1"/>
        <v>19</v>
      </c>
      <c r="I27" s="105">
        <f t="shared" si="2"/>
        <v>43.771428571428579</v>
      </c>
      <c r="J27" s="105">
        <f t="shared" si="3"/>
        <v>15.98751428571429</v>
      </c>
      <c r="L27">
        <v>1</v>
      </c>
      <c r="M27" s="105">
        <f>'CHN raw data'!C29</f>
        <v>18.822460174560547</v>
      </c>
      <c r="N27" s="105">
        <f>'CHN raw data'!D29</f>
        <v>1.5671674013137817</v>
      </c>
      <c r="O27" s="105">
        <f>'CHN raw data'!E29</f>
        <v>1.962510347366333</v>
      </c>
      <c r="R27" s="105">
        <f>pH_Sal!D86</f>
        <v>37.64</v>
      </c>
      <c r="S27" s="105">
        <f>pH_Sal!I86</f>
        <v>8.1739999999999995</v>
      </c>
      <c r="T27" s="67">
        <f>'Traps and Logs'!E132</f>
        <v>43930</v>
      </c>
      <c r="U27" s="67">
        <f>'Traps and Logs'!E133</f>
        <v>43949</v>
      </c>
      <c r="V27" s="170">
        <f t="shared" si="4"/>
        <v>43939.5</v>
      </c>
      <c r="W27" s="112">
        <f t="shared" si="10"/>
        <v>399</v>
      </c>
      <c r="X27">
        <f t="shared" si="11"/>
        <v>380</v>
      </c>
      <c r="AB27">
        <f>'BSi raw data_and calculations'!R32</f>
        <v>1.020350993602831</v>
      </c>
      <c r="AC27">
        <f>'BSi raw data_and calculations'!S32</f>
        <v>2.1827301959983667</v>
      </c>
      <c r="AF27" s="88">
        <f>'PIC data'!AF28</f>
        <v>65.359231399229074</v>
      </c>
      <c r="AG27" s="88">
        <f t="shared" si="6"/>
        <v>7.8428282732779335</v>
      </c>
      <c r="AH27" s="514">
        <f t="shared" si="7"/>
        <v>10.979631901282612</v>
      </c>
      <c r="AI27" s="88">
        <f t="shared" si="8"/>
        <v>95.637252099609</v>
      </c>
      <c r="AK27" s="88">
        <f t="shared" si="9"/>
        <v>6.5263589002432925</v>
      </c>
    </row>
    <row r="28" spans="1:44">
      <c r="A28" s="76" t="s">
        <v>221</v>
      </c>
      <c r="R28" s="105"/>
      <c r="T28" s="169"/>
    </row>
    <row r="30" spans="1:44" s="151" customFormat="1">
      <c r="A30" s="154" t="s">
        <v>1950</v>
      </c>
      <c r="B30" s="149" t="s">
        <v>222</v>
      </c>
      <c r="C30" s="150"/>
      <c r="E30" s="152"/>
      <c r="F30" s="153"/>
      <c r="G30" s="148"/>
      <c r="H30" s="185" t="s">
        <v>218</v>
      </c>
      <c r="I30" s="154" t="s">
        <v>220</v>
      </c>
      <c r="J30" s="155"/>
      <c r="K30" s="155"/>
      <c r="L30" s="155"/>
      <c r="M30" s="156"/>
      <c r="N30" s="156"/>
      <c r="O30" s="156"/>
      <c r="P30" s="156"/>
      <c r="Q30" s="157"/>
      <c r="R30" s="155"/>
      <c r="S30" s="155"/>
      <c r="T30" s="158"/>
      <c r="U30" s="158"/>
      <c r="V30" s="159"/>
      <c r="W30" s="145">
        <v>0</v>
      </c>
      <c r="X30" s="146"/>
      <c r="Y30" s="160"/>
      <c r="Z30" s="155"/>
      <c r="AA30" s="155"/>
      <c r="AB30" s="161"/>
      <c r="AC30" s="161"/>
      <c r="AD30" s="162"/>
      <c r="AE30" s="162"/>
      <c r="AG30" s="162"/>
      <c r="AH30" s="148"/>
      <c r="AI30" s="151" t="s">
        <v>214</v>
      </c>
      <c r="AJ30" s="154"/>
      <c r="AL30" s="155"/>
      <c r="AM30" s="163"/>
      <c r="AN30" s="164"/>
      <c r="AO30" s="155"/>
      <c r="AP30" s="155"/>
      <c r="AQ30" s="155"/>
      <c r="AR30" s="155"/>
    </row>
    <row r="31" spans="1:44">
      <c r="A31">
        <v>2019</v>
      </c>
      <c r="B31" t="s">
        <v>101</v>
      </c>
      <c r="C31" t="s">
        <v>805</v>
      </c>
      <c r="D31">
        <v>8</v>
      </c>
      <c r="E31" s="105">
        <f>'mass filt'!V36</f>
        <v>736.7</v>
      </c>
      <c r="F31">
        <v>0.5</v>
      </c>
      <c r="G31" t="str">
        <f>'sample processing comments'!H30</f>
        <v>FSW carboy 5, IN2019_V02</v>
      </c>
      <c r="H31" s="112">
        <f>U31-T31</f>
        <v>19</v>
      </c>
      <c r="I31" s="105">
        <f t="shared" ref="I31:I42" si="12">E31/F31/H31</f>
        <v>77.547368421052639</v>
      </c>
      <c r="J31" s="105">
        <f t="shared" ref="J31:J42" si="13">0.001*365.25*E31/F31/H31</f>
        <v>28.324176315789476</v>
      </c>
      <c r="L31">
        <v>1</v>
      </c>
      <c r="M31" s="105">
        <f>'CHN raw data'!C32</f>
        <v>14.198935508728027</v>
      </c>
      <c r="N31" s="105">
        <f>'CHN raw data'!D32</f>
        <v>0.87195110321044922</v>
      </c>
      <c r="O31" s="105">
        <f>'CHN raw data'!E32</f>
        <v>0.93131935596466064</v>
      </c>
      <c r="R31">
        <f>pH_Sal!D24</f>
        <v>39.31</v>
      </c>
      <c r="S31" s="105">
        <f>pH_Sal!I24</f>
        <v>8.59</v>
      </c>
      <c r="T31" s="67">
        <f>'Traps and Logs'!J117</f>
        <v>43550</v>
      </c>
      <c r="U31" s="67">
        <f>'Traps and Logs'!J118</f>
        <v>43569</v>
      </c>
      <c r="V31" s="170">
        <f>AVERAGE(T31:U31)</f>
        <v>43559.5</v>
      </c>
      <c r="W31" s="112">
        <f t="shared" ref="W31:W51" si="14">H31+W30</f>
        <v>19</v>
      </c>
      <c r="X31">
        <v>0</v>
      </c>
      <c r="AB31">
        <f>'BSi raw data_and calculations'!R33</f>
        <v>6.2644264321701808</v>
      </c>
      <c r="AC31">
        <f>'BSi raw data_and calculations'!S33</f>
        <v>13.400832478074268</v>
      </c>
      <c r="AF31" s="105">
        <f>'PIC data'!AF29</f>
        <v>65.379281650516432</v>
      </c>
      <c r="AG31" s="88">
        <f t="shared" ref="AG31:AG51" si="15">AF31*12.01/100.0869</f>
        <v>7.845234217691849</v>
      </c>
      <c r="AH31" s="514">
        <f t="shared" ref="AH31:AH51" si="16">M31-AG31</f>
        <v>6.3537012910361783</v>
      </c>
      <c r="AI31" s="88">
        <f t="shared" ref="AI31:AI51" si="17">AF31+(AC31*1.11)+(AH31*2.2)+3.7</f>
        <v>97.932348541458467</v>
      </c>
      <c r="AK31" s="88">
        <f t="shared" ref="AK31:AK51" si="18">(AH31/12.01)/(O31/14.01)</f>
        <v>7.9583547093670202</v>
      </c>
    </row>
    <row r="32" spans="1:44">
      <c r="A32">
        <v>2019</v>
      </c>
      <c r="B32" t="s">
        <v>101</v>
      </c>
      <c r="C32">
        <v>2</v>
      </c>
      <c r="D32">
        <v>8</v>
      </c>
      <c r="E32" s="105">
        <f>'mass filt'!V38</f>
        <v>715.44285714285718</v>
      </c>
      <c r="F32">
        <v>0.5</v>
      </c>
      <c r="G32" t="str">
        <f>'sample processing comments'!H31</f>
        <v>FSW carboy 5, IN2019_V02</v>
      </c>
      <c r="H32" s="112">
        <f t="shared" ref="H32:H51" si="19">U32-T32</f>
        <v>19</v>
      </c>
      <c r="I32" s="105">
        <f t="shared" si="12"/>
        <v>75.309774436090223</v>
      </c>
      <c r="J32" s="105">
        <f t="shared" si="13"/>
        <v>27.506895112781962</v>
      </c>
      <c r="L32">
        <v>1</v>
      </c>
      <c r="M32" s="105">
        <f>'CHN raw data'!C33</f>
        <v>13.804064750671387</v>
      </c>
      <c r="N32" s="105">
        <f>'CHN raw data'!D33</f>
        <v>0.89993613958358765</v>
      </c>
      <c r="O32" s="105">
        <f>'CHN raw data'!E33</f>
        <v>0.95144325494766235</v>
      </c>
      <c r="R32">
        <f>pH_Sal!D25</f>
        <v>38.46</v>
      </c>
      <c r="S32" s="105">
        <f>pH_Sal!I25</f>
        <v>8.4640000000000004</v>
      </c>
      <c r="T32" s="67">
        <f>'Traps and Logs'!J118</f>
        <v>43569</v>
      </c>
      <c r="U32" s="67">
        <f>'Traps and Logs'!J119</f>
        <v>43588</v>
      </c>
      <c r="V32" s="170">
        <f t="shared" ref="V32:V51" si="20">AVERAGE(T32:U32)</f>
        <v>43578.5</v>
      </c>
      <c r="W32" s="112">
        <f t="shared" si="14"/>
        <v>38</v>
      </c>
      <c r="X32">
        <f t="shared" ref="X32:X51" si="21">X31+H32</f>
        <v>19</v>
      </c>
      <c r="AB32">
        <f>'BSi raw data_and calculations'!R34</f>
        <v>5.9935820888151392</v>
      </c>
      <c r="AC32">
        <f>'BSi raw data_and calculations'!S34</f>
        <v>12.821443492947731</v>
      </c>
      <c r="AF32" s="105">
        <f>'PIC data'!AF30</f>
        <v>64.482712401487859</v>
      </c>
      <c r="AG32" s="88">
        <f t="shared" si="15"/>
        <v>7.7376497417930734</v>
      </c>
      <c r="AH32" s="514">
        <f t="shared" si="16"/>
        <v>6.0664150088783133</v>
      </c>
      <c r="AI32" s="88">
        <f t="shared" si="17"/>
        <v>95.760627698192138</v>
      </c>
      <c r="AK32" s="88">
        <f t="shared" si="18"/>
        <v>7.4377975608441282</v>
      </c>
    </row>
    <row r="33" spans="1:37">
      <c r="A33">
        <v>2019</v>
      </c>
      <c r="B33" t="s">
        <v>101</v>
      </c>
      <c r="C33">
        <v>3</v>
      </c>
      <c r="D33">
        <v>5</v>
      </c>
      <c r="E33" s="105">
        <f>'mass filt'!V39</f>
        <v>476.64285714285711</v>
      </c>
      <c r="F33">
        <v>0.5</v>
      </c>
      <c r="G33" t="str">
        <f>'sample processing comments'!H32</f>
        <v>FSW carboy 5, IN2019_V02</v>
      </c>
      <c r="H33" s="112">
        <f t="shared" si="19"/>
        <v>19</v>
      </c>
      <c r="I33" s="105">
        <f t="shared" si="12"/>
        <v>50.172932330827066</v>
      </c>
      <c r="J33" s="105">
        <f t="shared" si="13"/>
        <v>18.325663533834586</v>
      </c>
      <c r="L33">
        <v>1</v>
      </c>
      <c r="M33" s="105">
        <f>AVERAGE('CHN raw data'!C34,'CHN raw data'!C47)</f>
        <v>13.565476894378662</v>
      </c>
      <c r="N33" s="105">
        <f>AVERAGE('CHN raw data'!D34,'CHN raw data'!D47)</f>
        <v>0.72189223766326904</v>
      </c>
      <c r="O33" s="105">
        <f>AVERAGE('CHN raw data'!E34,'CHN raw data'!E47)</f>
        <v>0.74777066707611084</v>
      </c>
      <c r="Q33" s="285" t="s">
        <v>1573</v>
      </c>
      <c r="R33" s="295">
        <f>AVERAGE(pH_Sal!D26,pH_Sal!G26)</f>
        <v>36.72</v>
      </c>
      <c r="S33" s="286">
        <f>AVERAGE(pH_Sal!I26,pH_Sal!L26)</f>
        <v>8.5419999999999998</v>
      </c>
      <c r="T33" s="67">
        <f>'Traps and Logs'!J119</f>
        <v>43588</v>
      </c>
      <c r="U33" s="67">
        <f>'Traps and Logs'!J120</f>
        <v>43607</v>
      </c>
      <c r="V33" s="170">
        <f t="shared" si="20"/>
        <v>43597.5</v>
      </c>
      <c r="W33" s="112">
        <f t="shared" si="14"/>
        <v>57</v>
      </c>
      <c r="X33">
        <f t="shared" si="21"/>
        <v>38</v>
      </c>
      <c r="AB33">
        <f>AVERAGE('BSi raw data_and calculations'!R35:R36)</f>
        <v>5.099775777298702</v>
      </c>
      <c r="AC33">
        <f>AVERAGE('BSi raw data_and calculations'!S35:S36)</f>
        <v>10.909417104232075</v>
      </c>
      <c r="AF33" s="105">
        <f>'PIC data'!AF31</f>
        <v>70.547956134967279</v>
      </c>
      <c r="AG33" s="88">
        <f t="shared" si="15"/>
        <v>8.4654530531064207</v>
      </c>
      <c r="AH33" s="514">
        <f t="shared" si="16"/>
        <v>5.1000238412722414</v>
      </c>
      <c r="AI33" s="88">
        <f t="shared" si="17"/>
        <v>97.577461571463814</v>
      </c>
      <c r="AK33" s="88">
        <f t="shared" si="18"/>
        <v>7.95607574609034</v>
      </c>
    </row>
    <row r="34" spans="1:37">
      <c r="A34">
        <v>2019</v>
      </c>
      <c r="B34" t="s">
        <v>101</v>
      </c>
      <c r="C34">
        <v>4</v>
      </c>
      <c r="D34">
        <v>12</v>
      </c>
      <c r="E34" s="105">
        <f>'mass filt'!V40</f>
        <v>989.07142857142856</v>
      </c>
      <c r="F34">
        <v>0.5</v>
      </c>
      <c r="G34" t="str">
        <f>'sample processing comments'!H33</f>
        <v>FSW carboy 5, IN2019_V02</v>
      </c>
      <c r="H34" s="112">
        <f t="shared" si="19"/>
        <v>19</v>
      </c>
      <c r="I34" s="105">
        <f t="shared" si="12"/>
        <v>104.11278195488721</v>
      </c>
      <c r="J34" s="105">
        <f t="shared" si="13"/>
        <v>38.027193609022554</v>
      </c>
      <c r="L34">
        <v>1</v>
      </c>
      <c r="M34" s="105">
        <f>'CHN raw data'!C36</f>
        <v>13.616997718811035</v>
      </c>
      <c r="N34" s="105">
        <f>'CHN raw data'!D36</f>
        <v>0.97969776391983032</v>
      </c>
      <c r="O34" s="105">
        <f>'CHN raw data'!E36</f>
        <v>0.95399433374404907</v>
      </c>
      <c r="R34">
        <f>pH_Sal!D27</f>
        <v>37.83</v>
      </c>
      <c r="S34" s="105">
        <f>pH_Sal!I27</f>
        <v>8.4610000000000003</v>
      </c>
      <c r="T34" s="67">
        <f>'Traps and Logs'!J120</f>
        <v>43607</v>
      </c>
      <c r="U34" s="67">
        <f>'Traps and Logs'!J121</f>
        <v>43626</v>
      </c>
      <c r="V34" s="170">
        <f t="shared" si="20"/>
        <v>43616.5</v>
      </c>
      <c r="W34" s="112">
        <f t="shared" si="14"/>
        <v>76</v>
      </c>
      <c r="X34">
        <f t="shared" si="21"/>
        <v>57</v>
      </c>
      <c r="AB34">
        <f>'BSi raw data_and calculations'!R37</f>
        <v>7.317298668261242</v>
      </c>
      <c r="AC34">
        <f>'BSi raw data_and calculations'!S37</f>
        <v>15.653131967811253</v>
      </c>
      <c r="AF34" s="105">
        <f>'PIC data'!AF32</f>
        <v>58.986623827841768</v>
      </c>
      <c r="AG34" s="88">
        <f t="shared" si="15"/>
        <v>7.0781426157906742</v>
      </c>
      <c r="AH34" s="514">
        <f t="shared" si="16"/>
        <v>6.538855103020361</v>
      </c>
      <c r="AI34" s="88">
        <f t="shared" si="17"/>
        <v>94.447081538757061</v>
      </c>
      <c r="AK34" s="88">
        <f t="shared" si="18"/>
        <v>7.9955997629284514</v>
      </c>
    </row>
    <row r="35" spans="1:37">
      <c r="A35">
        <v>2019</v>
      </c>
      <c r="B35" t="s">
        <v>101</v>
      </c>
      <c r="C35">
        <v>5</v>
      </c>
      <c r="D35">
        <v>9</v>
      </c>
      <c r="E35" s="105">
        <f>'mass filt'!V42</f>
        <v>407.71428571428567</v>
      </c>
      <c r="F35">
        <v>0.5</v>
      </c>
      <c r="G35" t="str">
        <f>'sample processing comments'!H34</f>
        <v>FSW carboy 5, IN2019_V02</v>
      </c>
      <c r="H35" s="112">
        <f t="shared" si="19"/>
        <v>19</v>
      </c>
      <c r="I35" s="105">
        <f t="shared" si="12"/>
        <v>42.917293233082702</v>
      </c>
      <c r="J35" s="105">
        <f t="shared" si="13"/>
        <v>15.675541353383458</v>
      </c>
      <c r="L35">
        <v>1</v>
      </c>
      <c r="M35" s="105">
        <f>'CHN raw data'!C37</f>
        <v>12.455282211303711</v>
      </c>
      <c r="N35" s="105">
        <f>'CHN raw data'!D37</f>
        <v>0.89233845472335815</v>
      </c>
      <c r="O35" s="105">
        <f>'CHN raw data'!E37</f>
        <v>0.84419530630111694</v>
      </c>
      <c r="R35">
        <f>pH_Sal!D28</f>
        <v>39.18</v>
      </c>
      <c r="S35" s="105">
        <f>pH_Sal!I28</f>
        <v>8.5920000000000005</v>
      </c>
      <c r="T35" s="67">
        <f>'Traps and Logs'!J121</f>
        <v>43626</v>
      </c>
      <c r="U35" s="67">
        <f>'Traps and Logs'!J122</f>
        <v>43645</v>
      </c>
      <c r="V35" s="170">
        <f t="shared" si="20"/>
        <v>43635.5</v>
      </c>
      <c r="W35" s="112">
        <f t="shared" si="14"/>
        <v>95</v>
      </c>
      <c r="X35">
        <f t="shared" si="21"/>
        <v>76</v>
      </c>
      <c r="AB35">
        <f>'BSi raw data_and calculations'!R38</f>
        <v>9.70295532287669</v>
      </c>
      <c r="AC35">
        <f>'BSi raw data_and calculations'!S38</f>
        <v>20.756517812447857</v>
      </c>
      <c r="AF35" s="105">
        <f>'PIC data'!AF33</f>
        <v>55.970229043578925</v>
      </c>
      <c r="AG35" s="88">
        <f t="shared" si="15"/>
        <v>6.7161881406396127</v>
      </c>
      <c r="AH35" s="514">
        <f t="shared" si="16"/>
        <v>5.7390940706640983</v>
      </c>
      <c r="AI35" s="88">
        <f t="shared" si="17"/>
        <v>95.335970770857074</v>
      </c>
      <c r="AK35" s="88">
        <f t="shared" si="18"/>
        <v>7.9304081252678174</v>
      </c>
    </row>
    <row r="36" spans="1:37">
      <c r="A36">
        <v>2019</v>
      </c>
      <c r="B36" t="s">
        <v>101</v>
      </c>
      <c r="C36">
        <v>6</v>
      </c>
      <c r="D36">
        <v>8</v>
      </c>
      <c r="E36" s="105">
        <f>'mass filt'!V43</f>
        <v>418.12857142857138</v>
      </c>
      <c r="F36">
        <v>0.5</v>
      </c>
      <c r="G36" t="str">
        <f>'sample processing comments'!H35</f>
        <v>FSW carboy 5, IN2019_V02</v>
      </c>
      <c r="H36" s="112">
        <f t="shared" si="19"/>
        <v>19</v>
      </c>
      <c r="I36" s="105">
        <f t="shared" si="12"/>
        <v>44.013533834586461</v>
      </c>
      <c r="J36" s="105">
        <f t="shared" si="13"/>
        <v>16.075943233082707</v>
      </c>
      <c r="L36">
        <v>1</v>
      </c>
      <c r="M36" s="105">
        <f>'CHN raw data'!C38</f>
        <v>12.500893592834473</v>
      </c>
      <c r="N36" s="105">
        <f>'CHN raw data'!D38</f>
        <v>0.81097108125686646</v>
      </c>
      <c r="O36" s="105">
        <f>'CHN raw data'!E38</f>
        <v>0.75590145587921143</v>
      </c>
      <c r="R36">
        <f>pH_Sal!D29</f>
        <v>39.04</v>
      </c>
      <c r="S36" s="105">
        <f>pH_Sal!I29</f>
        <v>8.6199999999999992</v>
      </c>
      <c r="T36" s="67">
        <f>'Traps and Logs'!J122</f>
        <v>43645</v>
      </c>
      <c r="U36" s="67">
        <f>'Traps and Logs'!J123</f>
        <v>43664</v>
      </c>
      <c r="V36" s="170">
        <f t="shared" si="20"/>
        <v>43654.5</v>
      </c>
      <c r="W36" s="112">
        <f t="shared" si="14"/>
        <v>114</v>
      </c>
      <c r="X36">
        <f t="shared" si="21"/>
        <v>95</v>
      </c>
      <c r="AB36">
        <f>'BSi raw data_and calculations'!R39</f>
        <v>8.1104690463792934</v>
      </c>
      <c r="AC36">
        <f>'BSi raw data_and calculations'!S39</f>
        <v>17.349878426377067</v>
      </c>
      <c r="AF36" s="105">
        <f>'PIC data'!AF34</f>
        <v>59.738062201019737</v>
      </c>
      <c r="AG36" s="88">
        <f t="shared" si="15"/>
        <v>7.1683120072082058</v>
      </c>
      <c r="AH36" s="514">
        <f t="shared" si="16"/>
        <v>5.3325815856262668</v>
      </c>
      <c r="AI36" s="88">
        <f t="shared" si="17"/>
        <v>94.428106742676079</v>
      </c>
      <c r="AK36" s="88">
        <f t="shared" si="18"/>
        <v>8.2293864037435647</v>
      </c>
    </row>
    <row r="37" spans="1:37">
      <c r="A37">
        <v>2019</v>
      </c>
      <c r="B37" t="s">
        <v>101</v>
      </c>
      <c r="C37">
        <v>7</v>
      </c>
      <c r="D37">
        <v>5</v>
      </c>
      <c r="E37" s="105">
        <f>'mass filt'!V44</f>
        <v>277.61428571428576</v>
      </c>
      <c r="F37">
        <v>0.5</v>
      </c>
      <c r="G37" t="str">
        <f>'sample processing comments'!H36</f>
        <v>FSW carboy 5, IN2019_V02</v>
      </c>
      <c r="H37" s="112">
        <f t="shared" si="19"/>
        <v>19</v>
      </c>
      <c r="I37" s="105">
        <f t="shared" si="12"/>
        <v>29.222556390977449</v>
      </c>
      <c r="J37" s="105">
        <f t="shared" si="13"/>
        <v>10.673538721804514</v>
      </c>
      <c r="L37">
        <v>1</v>
      </c>
      <c r="M37" s="105">
        <f>'CHN raw data'!C39</f>
        <v>13.338446617126465</v>
      </c>
      <c r="N37" s="105">
        <f>'CHN raw data'!D39</f>
        <v>0.95076966285705566</v>
      </c>
      <c r="O37" s="105">
        <f>'CHN raw data'!E39</f>
        <v>0.89161521196365356</v>
      </c>
      <c r="R37">
        <f>pH_Sal!D30</f>
        <v>38.479999999999997</v>
      </c>
      <c r="S37" s="105">
        <f>pH_Sal!I30</f>
        <v>8.6470000000000002</v>
      </c>
      <c r="T37" s="67">
        <f>'Traps and Logs'!J123</f>
        <v>43664</v>
      </c>
      <c r="U37" s="67">
        <f>'Traps and Logs'!J124</f>
        <v>43683</v>
      </c>
      <c r="V37" s="170">
        <f t="shared" si="20"/>
        <v>43673.5</v>
      </c>
      <c r="W37" s="112">
        <f t="shared" si="14"/>
        <v>133</v>
      </c>
      <c r="X37">
        <f t="shared" si="21"/>
        <v>114</v>
      </c>
      <c r="AB37">
        <f>'BSi raw data_and calculations'!R40</f>
        <v>8.0625322500000021</v>
      </c>
      <c r="AC37">
        <f>'BSi raw data_and calculations'!S40</f>
        <v>17.247332250000007</v>
      </c>
      <c r="AF37" s="105">
        <f>'PIC data'!AF35</f>
        <v>59.862641912889522</v>
      </c>
      <c r="AG37" s="88">
        <f t="shared" si="15"/>
        <v>7.1832610398943633</v>
      </c>
      <c r="AH37" s="514">
        <f t="shared" si="16"/>
        <v>6.1551855772321016</v>
      </c>
      <c r="AI37" s="88">
        <f t="shared" si="17"/>
        <v>96.248588980300156</v>
      </c>
      <c r="AK37" s="88">
        <f t="shared" si="18"/>
        <v>8.053020595305469</v>
      </c>
    </row>
    <row r="38" spans="1:37">
      <c r="A38">
        <v>2019</v>
      </c>
      <c r="B38" t="s">
        <v>101</v>
      </c>
      <c r="C38">
        <v>8</v>
      </c>
      <c r="D38">
        <v>2</v>
      </c>
      <c r="E38" s="105">
        <f>'mass filt'!V45</f>
        <v>172.24285714285713</v>
      </c>
      <c r="F38">
        <v>0.5</v>
      </c>
      <c r="G38" t="str">
        <f>'sample processing comments'!H37</f>
        <v>FSW carboy 5, IN2019_V02</v>
      </c>
      <c r="H38" s="112">
        <f t="shared" si="19"/>
        <v>19</v>
      </c>
      <c r="I38" s="105">
        <f t="shared" si="12"/>
        <v>18.130827067669173</v>
      </c>
      <c r="J38" s="105">
        <f t="shared" si="13"/>
        <v>6.622284586466165</v>
      </c>
      <c r="L38">
        <v>1</v>
      </c>
      <c r="M38" s="105">
        <f>'CHN raw data'!C40</f>
        <v>14.830756187438965</v>
      </c>
      <c r="N38" s="105">
        <f>'CHN raw data'!D40</f>
        <v>0.91067034006118774</v>
      </c>
      <c r="O38" s="105">
        <f>'CHN raw data'!E40</f>
        <v>1.1395817995071411</v>
      </c>
      <c r="R38" s="296">
        <f>pH_Sal!D31</f>
        <v>35.619999999999997</v>
      </c>
      <c r="S38" s="105">
        <f>pH_Sal!I31</f>
        <v>8.5459999999999994</v>
      </c>
      <c r="T38" s="67">
        <f>'Traps and Logs'!J124</f>
        <v>43683</v>
      </c>
      <c r="U38" s="67">
        <f>'Traps and Logs'!J125</f>
        <v>43702</v>
      </c>
      <c r="V38" s="170">
        <f t="shared" si="20"/>
        <v>43692.5</v>
      </c>
      <c r="W38" s="112">
        <f t="shared" si="14"/>
        <v>152</v>
      </c>
      <c r="X38">
        <f t="shared" si="21"/>
        <v>133</v>
      </c>
      <c r="AB38">
        <f>'BSi raw data_and calculations'!R41</f>
        <v>4.8121528229478336</v>
      </c>
      <c r="AC38">
        <f>'BSi raw data_and calculations'!S41</f>
        <v>10.294135390919736</v>
      </c>
      <c r="AF38" s="105">
        <f>'PIC data'!AF36</f>
        <v>61.924951763985788</v>
      </c>
      <c r="AG38" s="88">
        <f t="shared" si="15"/>
        <v>7.4307294030034834</v>
      </c>
      <c r="AH38" s="514">
        <f t="shared" si="16"/>
        <v>7.4000267844354815</v>
      </c>
      <c r="AI38" s="88">
        <f t="shared" si="17"/>
        <v>93.33150097366476</v>
      </c>
      <c r="AK38" s="88">
        <f t="shared" si="18"/>
        <v>7.5750048481367491</v>
      </c>
    </row>
    <row r="39" spans="1:37">
      <c r="A39">
        <v>2019</v>
      </c>
      <c r="B39" t="s">
        <v>101</v>
      </c>
      <c r="C39">
        <v>9</v>
      </c>
      <c r="D39">
        <v>1</v>
      </c>
      <c r="E39" s="105">
        <f>'mass filt'!V46</f>
        <v>146.64285714285714</v>
      </c>
      <c r="F39">
        <v>0.5</v>
      </c>
      <c r="G39" t="str">
        <f>'sample processing comments'!H38</f>
        <v>FSW carboy 5, IN2019_V02</v>
      </c>
      <c r="H39" s="112">
        <f t="shared" si="19"/>
        <v>19</v>
      </c>
      <c r="I39" s="105">
        <f t="shared" si="12"/>
        <v>15.436090225563909</v>
      </c>
      <c r="J39" s="105">
        <f t="shared" si="13"/>
        <v>5.638031954887218</v>
      </c>
      <c r="L39">
        <v>1</v>
      </c>
      <c r="M39" s="105">
        <f>'CHN raw data'!C41</f>
        <v>14.477551460266113</v>
      </c>
      <c r="N39" s="105">
        <f>'CHN raw data'!D41</f>
        <v>1.1051152944564819</v>
      </c>
      <c r="O39" s="105">
        <f>'CHN raw data'!E41</f>
        <v>1.3147323131561279</v>
      </c>
      <c r="R39">
        <f>pH_Sal!D32</f>
        <v>37.47</v>
      </c>
      <c r="S39" s="105">
        <f>pH_Sal!I32</f>
        <v>8.6379999999999999</v>
      </c>
      <c r="T39" s="67">
        <f>'Traps and Logs'!J125</f>
        <v>43702</v>
      </c>
      <c r="U39" s="67">
        <f>'Traps and Logs'!J126</f>
        <v>43721</v>
      </c>
      <c r="V39" s="170">
        <f t="shared" si="20"/>
        <v>43711.5</v>
      </c>
      <c r="W39" s="112">
        <f t="shared" si="14"/>
        <v>171</v>
      </c>
      <c r="X39">
        <f t="shared" si="21"/>
        <v>152</v>
      </c>
      <c r="AB39">
        <f>'BSi raw data_and calculations'!R42</f>
        <v>6.369878975265018</v>
      </c>
      <c r="AC39">
        <f>'BSi raw data_and calculations'!S42</f>
        <v>13.626416077738519</v>
      </c>
      <c r="AF39" s="105">
        <f>'PIC data'!AF37</f>
        <v>58.525862619899229</v>
      </c>
      <c r="AG39" s="88">
        <f t="shared" si="15"/>
        <v>7.0228532411833084</v>
      </c>
      <c r="AH39" s="514">
        <f t="shared" si="16"/>
        <v>7.4546982190828048</v>
      </c>
      <c r="AI39" s="88">
        <f t="shared" si="17"/>
        <v>93.751520548171172</v>
      </c>
      <c r="AK39" s="88">
        <f t="shared" si="18"/>
        <v>6.6143604462939969</v>
      </c>
    </row>
    <row r="40" spans="1:37">
      <c r="A40">
        <v>2019</v>
      </c>
      <c r="B40" t="s">
        <v>101</v>
      </c>
      <c r="C40">
        <v>10</v>
      </c>
      <c r="D40">
        <v>1</v>
      </c>
      <c r="E40" s="105">
        <f>'mass filt'!V47</f>
        <v>189.7</v>
      </c>
      <c r="F40">
        <v>0.5</v>
      </c>
      <c r="G40" t="str">
        <f>'sample processing comments'!H39</f>
        <v>FSW carboy 5, IN2019_V02</v>
      </c>
      <c r="H40" s="112">
        <f t="shared" si="19"/>
        <v>19</v>
      </c>
      <c r="I40" s="105">
        <f t="shared" si="12"/>
        <v>19.968421052631577</v>
      </c>
      <c r="J40" s="105">
        <f t="shared" si="13"/>
        <v>7.2934657894736841</v>
      </c>
      <c r="L40">
        <v>1</v>
      </c>
      <c r="M40" s="105">
        <f>'CHN raw data'!C43</f>
        <v>17.096782684326172</v>
      </c>
      <c r="N40" s="105">
        <f>'CHN raw data'!D43</f>
        <v>1.54903244972229</v>
      </c>
      <c r="O40" s="105">
        <f>'CHN raw data'!E43</f>
        <v>1.8598906993865967</v>
      </c>
      <c r="R40">
        <f>pH_Sal!D33</f>
        <v>37.43</v>
      </c>
      <c r="S40" s="105">
        <f>pH_Sal!I33</f>
        <v>8.5950000000000006</v>
      </c>
      <c r="T40" s="67">
        <f>'Traps and Logs'!J126</f>
        <v>43721</v>
      </c>
      <c r="U40" s="67">
        <f>'Traps and Logs'!J127</f>
        <v>43740</v>
      </c>
      <c r="V40" s="170">
        <f t="shared" si="20"/>
        <v>43730.5</v>
      </c>
      <c r="W40" s="112">
        <f t="shared" si="14"/>
        <v>190</v>
      </c>
      <c r="X40">
        <f t="shared" si="21"/>
        <v>171</v>
      </c>
      <c r="AB40">
        <f>'BSi raw data_and calculations'!R43</f>
        <v>5.1565464751486489</v>
      </c>
      <c r="AC40">
        <f>'BSi raw data_and calculations'!S43</f>
        <v>11.030860722381002</v>
      </c>
      <c r="AF40" s="105">
        <f>'PIC data'!AF38</f>
        <v>55.96647736049902</v>
      </c>
      <c r="AG40" s="88">
        <f t="shared" si="15"/>
        <v>6.7157379547132869</v>
      </c>
      <c r="AH40" s="514">
        <f t="shared" si="16"/>
        <v>10.381044729612885</v>
      </c>
      <c r="AI40" s="88">
        <f t="shared" si="17"/>
        <v>94.749031167490287</v>
      </c>
      <c r="AK40" s="88">
        <f t="shared" si="18"/>
        <v>6.5110160741974203</v>
      </c>
    </row>
    <row r="41" spans="1:37">
      <c r="A41">
        <v>2019</v>
      </c>
      <c r="B41" t="s">
        <v>101</v>
      </c>
      <c r="C41">
        <v>11</v>
      </c>
      <c r="D41">
        <v>1</v>
      </c>
      <c r="E41" s="105">
        <f>'mass filt'!V48</f>
        <v>197.38571428571424</v>
      </c>
      <c r="F41">
        <v>0.5</v>
      </c>
      <c r="G41" t="str">
        <f>'sample processing comments'!H40</f>
        <v>FSW carboy 5, IN2019_V02</v>
      </c>
      <c r="H41" s="112">
        <f t="shared" si="19"/>
        <v>19</v>
      </c>
      <c r="I41" s="105">
        <f t="shared" si="12"/>
        <v>20.777443609022551</v>
      </c>
      <c r="J41" s="105">
        <f t="shared" si="13"/>
        <v>7.5889612781954865</v>
      </c>
      <c r="L41">
        <v>1</v>
      </c>
      <c r="M41" s="105">
        <f>'CHN raw data'!C44</f>
        <v>15.583263397216797</v>
      </c>
      <c r="N41" s="105">
        <f>'CHN raw data'!D44</f>
        <v>1.1371685266494751</v>
      </c>
      <c r="O41" s="105">
        <f>'CHN raw data'!E44</f>
        <v>1.3919014930725098</v>
      </c>
      <c r="R41">
        <f>pH_Sal!D34</f>
        <v>37.75</v>
      </c>
      <c r="S41" s="105">
        <f>pH_Sal!I34</f>
        <v>8.4849999999999994</v>
      </c>
      <c r="T41" s="67">
        <f>'Traps and Logs'!J127</f>
        <v>43740</v>
      </c>
      <c r="U41" s="67">
        <f>'Traps and Logs'!J128</f>
        <v>43759</v>
      </c>
      <c r="V41" s="170">
        <f t="shared" si="20"/>
        <v>43749.5</v>
      </c>
      <c r="W41" s="112">
        <f t="shared" si="14"/>
        <v>209</v>
      </c>
      <c r="X41">
        <f t="shared" si="21"/>
        <v>190</v>
      </c>
      <c r="AB41">
        <f>'BSi raw data_and calculations'!R44</f>
        <v>4.9774126103555245</v>
      </c>
      <c r="AC41">
        <f>'BSi raw data_and calculations'!S44</f>
        <v>10.647658375089481</v>
      </c>
      <c r="AF41" s="105">
        <f>'PIC data'!AF39</f>
        <v>61.26420480710317</v>
      </c>
      <c r="AG41" s="88">
        <f t="shared" si="15"/>
        <v>7.351442593719149</v>
      </c>
      <c r="AH41" s="514">
        <f t="shared" si="16"/>
        <v>8.2318208034976479</v>
      </c>
      <c r="AI41" s="88">
        <f t="shared" si="17"/>
        <v>94.893111371147327</v>
      </c>
      <c r="AK41" s="88">
        <f t="shared" si="18"/>
        <v>6.8989426541497973</v>
      </c>
    </row>
    <row r="42" spans="1:37">
      <c r="A42">
        <v>2019</v>
      </c>
      <c r="B42" t="s">
        <v>101</v>
      </c>
      <c r="C42">
        <v>12</v>
      </c>
      <c r="D42">
        <v>2</v>
      </c>
      <c r="E42" s="105">
        <f>'mass filt'!V49</f>
        <v>358.38571428571424</v>
      </c>
      <c r="F42">
        <v>0.5</v>
      </c>
      <c r="G42" t="str">
        <f>'sample processing comments'!H41</f>
        <v>FSW carboy 5, IN2019_V02</v>
      </c>
      <c r="H42" s="112">
        <f t="shared" si="19"/>
        <v>19</v>
      </c>
      <c r="I42" s="105">
        <f t="shared" si="12"/>
        <v>37.724812030075185</v>
      </c>
      <c r="J42" s="105">
        <f t="shared" si="13"/>
        <v>13.77898759398496</v>
      </c>
      <c r="L42">
        <v>1</v>
      </c>
      <c r="M42" s="105">
        <f>'CHN raw data'!C45</f>
        <v>13.833269119262695</v>
      </c>
      <c r="N42" s="105">
        <f>'CHN raw data'!D45</f>
        <v>0.76363539695739746</v>
      </c>
      <c r="O42" s="105">
        <f>'CHN raw data'!E45</f>
        <v>0.89746320247650146</v>
      </c>
      <c r="Q42" s="285" t="s">
        <v>1573</v>
      </c>
      <c r="R42" s="285">
        <f>AVERAGE(pH_Sal!D35,pH_Sal!G35)</f>
        <v>37.299999999999997</v>
      </c>
      <c r="S42" s="286">
        <f>AVERAGE(pH_Sal!I35,pH_Sal!L35)</f>
        <v>8.6095000000000006</v>
      </c>
      <c r="T42" s="67">
        <f>'Traps and Logs'!J128</f>
        <v>43759</v>
      </c>
      <c r="U42" s="67">
        <f>'Traps and Logs'!J129</f>
        <v>43778</v>
      </c>
      <c r="V42" s="170">
        <f t="shared" si="20"/>
        <v>43768.5</v>
      </c>
      <c r="W42" s="112">
        <f t="shared" si="14"/>
        <v>228</v>
      </c>
      <c r="X42">
        <f t="shared" si="21"/>
        <v>209</v>
      </c>
      <c r="AB42">
        <f>'BSi raw data_and calculations'!R45</f>
        <v>4.4784842696844365</v>
      </c>
      <c r="AC42">
        <f>'BSi raw data_and calculations'!S45</f>
        <v>9.5803531422334576</v>
      </c>
      <c r="AF42" s="105">
        <f>'PIC data'!AF40</f>
        <v>67.949709523039971</v>
      </c>
      <c r="AG42" s="88">
        <f t="shared" si="15"/>
        <v>8.1536745705153226</v>
      </c>
      <c r="AH42" s="514">
        <f t="shared" si="16"/>
        <v>5.6795945487473727</v>
      </c>
      <c r="AI42" s="88">
        <f t="shared" si="17"/>
        <v>94.779009518163335</v>
      </c>
      <c r="AK42" s="88">
        <f t="shared" si="18"/>
        <v>7.3823700472172451</v>
      </c>
    </row>
    <row r="43" spans="1:37" s="518" customFormat="1">
      <c r="A43" s="518">
        <v>2019</v>
      </c>
      <c r="B43" s="518" t="s">
        <v>101</v>
      </c>
      <c r="C43" s="518">
        <v>13</v>
      </c>
      <c r="D43" s="518">
        <v>30</v>
      </c>
      <c r="E43" s="519">
        <f>'mass filt'!V50</f>
        <v>739.7</v>
      </c>
      <c r="F43" s="518">
        <v>0.5</v>
      </c>
      <c r="G43" s="518" t="str">
        <f>'sample processing comments'!H42</f>
        <v>FSW carboy 5, IN2019_V02</v>
      </c>
      <c r="H43" s="520">
        <f t="shared" si="19"/>
        <v>19</v>
      </c>
      <c r="I43" s="519">
        <f t="shared" ref="I43:I50" si="22">E43/F43/H43</f>
        <v>77.863157894736844</v>
      </c>
      <c r="J43" s="519">
        <f t="shared" ref="J43:J50" si="23">0.001*365.25*E43/F43/H43</f>
        <v>28.439518421052632</v>
      </c>
      <c r="L43" s="518">
        <v>1</v>
      </c>
      <c r="M43" s="519">
        <f>'CHN raw data'!C46</f>
        <v>13.888647079467773</v>
      </c>
      <c r="N43" s="519">
        <f>'CHN raw data'!D46</f>
        <v>0.71111595630645752</v>
      </c>
      <c r="O43" s="519">
        <f>'CHN raw data'!E46</f>
        <v>0.77622455358505249</v>
      </c>
      <c r="R43" s="518">
        <f>pH_Sal!D36</f>
        <v>37.86</v>
      </c>
      <c r="S43" s="519">
        <f>pH_Sal!I36</f>
        <v>8.0850000000000009</v>
      </c>
      <c r="T43" s="521">
        <f>'Traps and Logs'!J129</f>
        <v>43778</v>
      </c>
      <c r="U43" s="521">
        <f>'Traps and Logs'!J130</f>
        <v>43797</v>
      </c>
      <c r="V43" s="522">
        <f t="shared" si="20"/>
        <v>43787.5</v>
      </c>
      <c r="W43" s="520">
        <f t="shared" si="14"/>
        <v>247</v>
      </c>
      <c r="X43" s="518">
        <f t="shared" si="21"/>
        <v>228</v>
      </c>
      <c r="AB43" s="518">
        <f>'BSi raw data_and calculations'!R46</f>
        <v>3.988528666468568</v>
      </c>
      <c r="AC43" s="518">
        <f>'BSi raw data_and calculations'!S46</f>
        <v>8.5322423484548349</v>
      </c>
      <c r="AF43" s="519">
        <f>'PIC data'!AF41</f>
        <v>71.183719741281195</v>
      </c>
      <c r="AG43" s="518">
        <f t="shared" si="15"/>
        <v>8.5417419671584103</v>
      </c>
      <c r="AH43" s="519">
        <f t="shared" si="16"/>
        <v>5.3469051123093632</v>
      </c>
      <c r="AI43" s="518">
        <f t="shared" si="17"/>
        <v>96.117699995146666</v>
      </c>
      <c r="AK43" s="518">
        <f t="shared" si="18"/>
        <v>8.035450473941907</v>
      </c>
    </row>
    <row r="44" spans="1:37" s="518" customFormat="1">
      <c r="A44" s="518">
        <v>2019</v>
      </c>
      <c r="B44" s="518" t="s">
        <v>101</v>
      </c>
      <c r="C44" s="518">
        <v>14</v>
      </c>
      <c r="D44" s="518">
        <v>25</v>
      </c>
      <c r="E44" s="519">
        <f>'mass filt'!V52</f>
        <v>1475.9571428571426</v>
      </c>
      <c r="F44" s="518">
        <v>0.5</v>
      </c>
      <c r="G44" s="518" t="str">
        <f>'sample processing comments'!H43</f>
        <v>FSW carboy 5, IN2019_V02</v>
      </c>
      <c r="H44" s="520">
        <f t="shared" si="19"/>
        <v>19</v>
      </c>
      <c r="I44" s="519">
        <f t="shared" si="22"/>
        <v>155.36390977443605</v>
      </c>
      <c r="J44" s="519">
        <f t="shared" si="23"/>
        <v>56.746668045112777</v>
      </c>
      <c r="L44" s="518">
        <v>1</v>
      </c>
      <c r="M44" s="519">
        <f>AVERAGE('CHN raw data'!C48:C49)</f>
        <v>15.289293766021729</v>
      </c>
      <c r="N44" s="519">
        <f>AVERAGE('CHN raw data'!D48:D49)</f>
        <v>0.9853033721446991</v>
      </c>
      <c r="O44" s="519">
        <f>AVERAGE('CHN raw data'!E48:E49)</f>
        <v>1.1436153650283813</v>
      </c>
      <c r="R44" s="523">
        <f>pH_Sal!D37</f>
        <v>36.950000000000003</v>
      </c>
      <c r="S44" s="519">
        <f>pH_Sal!I37</f>
        <v>8.4030000000000005</v>
      </c>
      <c r="T44" s="521">
        <f>'Traps and Logs'!J130</f>
        <v>43797</v>
      </c>
      <c r="U44" s="521">
        <f>'Traps and Logs'!J131</f>
        <v>43816</v>
      </c>
      <c r="V44" s="522">
        <f t="shared" si="20"/>
        <v>43806.5</v>
      </c>
      <c r="W44" s="520">
        <f t="shared" si="14"/>
        <v>266</v>
      </c>
      <c r="X44" s="518">
        <f t="shared" si="21"/>
        <v>247</v>
      </c>
      <c r="AB44" s="518">
        <f>AVERAGE('BSi raw data_and calculations'!R47:R48)</f>
        <v>3.1380471593172921</v>
      </c>
      <c r="AC44" s="518">
        <f>AVERAGE('BSi raw data_and calculations'!S47:S48)</f>
        <v>6.7128961838154533</v>
      </c>
      <c r="AF44" s="519">
        <f>'PIC data'!AF42</f>
        <v>69.013458088383175</v>
      </c>
      <c r="AG44" s="518">
        <f t="shared" si="15"/>
        <v>8.2813198494656337</v>
      </c>
      <c r="AH44" s="519">
        <f t="shared" si="16"/>
        <v>7.0079739165560948</v>
      </c>
      <c r="AI44" s="518">
        <f t="shared" si="17"/>
        <v>95.582315468841728</v>
      </c>
      <c r="AK44" s="518">
        <f t="shared" si="18"/>
        <v>7.1483798661927409</v>
      </c>
    </row>
    <row r="45" spans="1:37">
      <c r="A45">
        <v>2019</v>
      </c>
      <c r="B45" t="s">
        <v>101</v>
      </c>
      <c r="C45">
        <v>15</v>
      </c>
      <c r="D45">
        <v>3</v>
      </c>
      <c r="E45" s="105">
        <f>'mass filt'!V54</f>
        <v>831.84285714285704</v>
      </c>
      <c r="F45">
        <v>0.5</v>
      </c>
      <c r="G45" t="str">
        <f>'sample processing comments'!H44</f>
        <v>FSW carboy 5, IN2019_V02</v>
      </c>
      <c r="H45" s="112">
        <f t="shared" si="19"/>
        <v>19</v>
      </c>
      <c r="I45" s="105">
        <f t="shared" si="22"/>
        <v>87.562406015037581</v>
      </c>
      <c r="J45" s="105">
        <f t="shared" si="23"/>
        <v>31.982168796992475</v>
      </c>
      <c r="L45">
        <v>1</v>
      </c>
      <c r="M45" s="105">
        <f>'CHN raw data'!C51</f>
        <v>12.960940361022949</v>
      </c>
      <c r="N45" s="105">
        <f>'CHN raw data'!D51</f>
        <v>0.6789812445640564</v>
      </c>
      <c r="O45" s="105">
        <f>'CHN raw data'!E51</f>
        <v>0.69302099943161011</v>
      </c>
      <c r="R45" s="33">
        <f>pH_Sal!D38</f>
        <v>36.68</v>
      </c>
      <c r="S45" s="105">
        <f>pH_Sal!I38</f>
        <v>8.5139999999999993</v>
      </c>
      <c r="T45" s="67">
        <f>'Traps and Logs'!J131</f>
        <v>43816</v>
      </c>
      <c r="U45" s="67">
        <f>'Traps and Logs'!J132</f>
        <v>43835</v>
      </c>
      <c r="V45" s="170">
        <f t="shared" si="20"/>
        <v>43825.5</v>
      </c>
      <c r="W45" s="112">
        <f t="shared" si="14"/>
        <v>285</v>
      </c>
      <c r="X45">
        <f t="shared" si="21"/>
        <v>266</v>
      </c>
      <c r="AB45">
        <f>'BSi raw data_and calculations'!R49</f>
        <v>4.3831768129147601</v>
      </c>
      <c r="AC45">
        <f>'BSi raw data_and calculations'!S49</f>
        <v>9.376471865007046</v>
      </c>
      <c r="AF45" s="105">
        <f>'PIC data'!AF43</f>
        <v>68.207281791119982</v>
      </c>
      <c r="AG45" s="88">
        <f t="shared" si="15"/>
        <v>8.1845821412327773</v>
      </c>
      <c r="AH45" s="514">
        <f t="shared" si="16"/>
        <v>4.7763582197901719</v>
      </c>
      <c r="AI45" s="88">
        <f t="shared" si="17"/>
        <v>92.823153644816188</v>
      </c>
      <c r="AK45" s="88">
        <f t="shared" si="18"/>
        <v>8.0398070144066871</v>
      </c>
    </row>
    <row r="46" spans="1:37">
      <c r="A46">
        <v>2019</v>
      </c>
      <c r="B46" t="s">
        <v>101</v>
      </c>
      <c r="C46">
        <v>16</v>
      </c>
      <c r="D46">
        <v>1</v>
      </c>
      <c r="E46" s="105">
        <f>'mass filt'!V55</f>
        <v>125.22857142857143</v>
      </c>
      <c r="F46">
        <v>0.5</v>
      </c>
      <c r="G46" t="str">
        <f>'sample processing comments'!H45</f>
        <v>FSW carboy 5, IN2019_V02</v>
      </c>
      <c r="H46" s="112">
        <f t="shared" si="19"/>
        <v>19</v>
      </c>
      <c r="I46" s="105">
        <f t="shared" si="22"/>
        <v>13.181954887218046</v>
      </c>
      <c r="J46" s="105">
        <f t="shared" si="23"/>
        <v>4.8147090225563911</v>
      </c>
      <c r="L46">
        <v>1</v>
      </c>
      <c r="M46" s="105">
        <f>'CHN raw data'!C52</f>
        <v>12.993682861328125</v>
      </c>
      <c r="N46" s="105">
        <f>'CHN raw data'!D52</f>
        <v>0.64872556924819946</v>
      </c>
      <c r="O46" s="105">
        <f>'CHN raw data'!E52</f>
        <v>0.71438348293304443</v>
      </c>
      <c r="R46">
        <f>pH_Sal!D39</f>
        <v>39.450000000000003</v>
      </c>
      <c r="S46" s="105">
        <f>pH_Sal!I39</f>
        <v>8.657</v>
      </c>
      <c r="T46" s="67">
        <f>'Traps and Logs'!J132</f>
        <v>43835</v>
      </c>
      <c r="U46" s="67">
        <f>'Traps and Logs'!J133</f>
        <v>43854</v>
      </c>
      <c r="V46" s="170">
        <f t="shared" si="20"/>
        <v>43844.5</v>
      </c>
      <c r="W46" s="112">
        <f t="shared" si="14"/>
        <v>304</v>
      </c>
      <c r="X46">
        <f t="shared" si="21"/>
        <v>285</v>
      </c>
      <c r="AB46">
        <f>'BSi raw data_and calculations'!R50</f>
        <v>3.9213613945274872</v>
      </c>
      <c r="AC46">
        <f>'BSi raw data_and calculations'!S50</f>
        <v>8.3885584263850745</v>
      </c>
      <c r="AF46" s="105">
        <f>'PIC data'!AF44</f>
        <v>71.818591868795949</v>
      </c>
      <c r="AG46" s="88">
        <f t="shared" si="15"/>
        <v>8.617923907566718</v>
      </c>
      <c r="AH46" s="514">
        <f t="shared" si="16"/>
        <v>4.375758953761407</v>
      </c>
      <c r="AI46" s="88">
        <f t="shared" si="17"/>
        <v>94.456561420358483</v>
      </c>
      <c r="AK46" s="88">
        <f t="shared" si="18"/>
        <v>7.1452448109481432</v>
      </c>
    </row>
    <row r="47" spans="1:37">
      <c r="A47">
        <v>2019</v>
      </c>
      <c r="B47" t="s">
        <v>101</v>
      </c>
      <c r="C47">
        <v>17</v>
      </c>
      <c r="D47" t="s">
        <v>1339</v>
      </c>
      <c r="E47" s="105">
        <f>'mass filt'!V56</f>
        <v>75.04285714285713</v>
      </c>
      <c r="F47">
        <v>0.5</v>
      </c>
      <c r="G47" t="str">
        <f>'sample processing comments'!H46</f>
        <v>FSW carboy 5, IN2019_V02</v>
      </c>
      <c r="H47" s="112">
        <f t="shared" si="19"/>
        <v>19</v>
      </c>
      <c r="I47" s="105">
        <f t="shared" si="22"/>
        <v>7.8992481203007507</v>
      </c>
      <c r="J47" s="105">
        <f t="shared" si="23"/>
        <v>2.8852003759398492</v>
      </c>
      <c r="L47">
        <v>1</v>
      </c>
      <c r="M47" s="105">
        <f>'CHN raw data'!C53</f>
        <v>12.892779350280762</v>
      </c>
      <c r="N47" s="105">
        <f>'CHN raw data'!D53</f>
        <v>0.63192653656005859</v>
      </c>
      <c r="O47" s="105">
        <f>'CHN raw data'!E53</f>
        <v>0.64206689596176147</v>
      </c>
      <c r="R47">
        <f>pH_Sal!D40</f>
        <v>39.46</v>
      </c>
      <c r="S47" s="105">
        <f>pH_Sal!I40</f>
        <v>8.6980000000000004</v>
      </c>
      <c r="T47" s="67">
        <f>'Traps and Logs'!J133</f>
        <v>43854</v>
      </c>
      <c r="U47" s="67">
        <f>'Traps and Logs'!J134</f>
        <v>43873</v>
      </c>
      <c r="V47" s="170">
        <f t="shared" si="20"/>
        <v>43863.5</v>
      </c>
      <c r="W47" s="112">
        <f t="shared" si="14"/>
        <v>323</v>
      </c>
      <c r="X47">
        <f t="shared" si="21"/>
        <v>304</v>
      </c>
      <c r="AB47">
        <f>'BSi raw data_and calculations'!R51</f>
        <v>3.8958825459317588</v>
      </c>
      <c r="AC47">
        <f>'BSi raw data_and calculations'!S51</f>
        <v>8.3340541895706437</v>
      </c>
      <c r="AF47" s="105">
        <f>'PIC data'!AF45</f>
        <v>71.987999303169346</v>
      </c>
      <c r="AG47" s="88">
        <f t="shared" si="15"/>
        <v>8.63825207525724</v>
      </c>
      <c r="AH47" s="514">
        <f t="shared" si="16"/>
        <v>4.2545272750235217</v>
      </c>
      <c r="AI47" s="88">
        <f t="shared" si="17"/>
        <v>94.298759458644511</v>
      </c>
      <c r="AK47" s="88">
        <f t="shared" si="18"/>
        <v>7.729762694284485</v>
      </c>
    </row>
    <row r="48" spans="1:37">
      <c r="A48">
        <v>2019</v>
      </c>
      <c r="B48" t="s">
        <v>101</v>
      </c>
      <c r="C48">
        <v>18</v>
      </c>
      <c r="D48" t="s">
        <v>1339</v>
      </c>
      <c r="E48" s="105">
        <f>'mass filt'!V57</f>
        <v>115.81428571428572</v>
      </c>
      <c r="F48">
        <v>0.5</v>
      </c>
      <c r="G48" t="str">
        <f>'sample processing comments'!H47</f>
        <v>FSW carboy 5, IN2019_V02</v>
      </c>
      <c r="H48" s="112">
        <f t="shared" si="19"/>
        <v>19</v>
      </c>
      <c r="I48" s="105">
        <f t="shared" si="22"/>
        <v>12.190977443609023</v>
      </c>
      <c r="J48" s="105">
        <f t="shared" si="23"/>
        <v>4.4527545112781954</v>
      </c>
      <c r="L48">
        <v>1</v>
      </c>
      <c r="M48" s="105">
        <f>'CHN raw data'!C54</f>
        <v>12.664422035217285</v>
      </c>
      <c r="N48" s="105">
        <f>'CHN raw data'!D54</f>
        <v>0.5409083366394043</v>
      </c>
      <c r="O48" s="105">
        <f>'CHN raw data'!E54</f>
        <v>0.59928643703460693</v>
      </c>
      <c r="R48">
        <f>pH_Sal!D41</f>
        <v>39.869999999999997</v>
      </c>
      <c r="S48" s="105">
        <f>pH_Sal!I41</f>
        <v>8.6669999999999998</v>
      </c>
      <c r="T48" s="67">
        <f>'Traps and Logs'!J134</f>
        <v>43873</v>
      </c>
      <c r="U48" s="67">
        <f>'Traps and Logs'!J135</f>
        <v>43892</v>
      </c>
      <c r="V48" s="170">
        <f t="shared" si="20"/>
        <v>43882.5</v>
      </c>
      <c r="W48" s="112">
        <f t="shared" si="14"/>
        <v>342</v>
      </c>
      <c r="X48">
        <f t="shared" si="21"/>
        <v>323</v>
      </c>
      <c r="AB48">
        <f>'BSi raw data_and calculations'!R52</f>
        <v>3.8027351974390924</v>
      </c>
      <c r="AC48">
        <f>'BSi raw data_and calculations'!S52</f>
        <v>8.1347938061272718</v>
      </c>
      <c r="AF48" s="105">
        <f>'PIC data'!AF46</f>
        <v>73.445995797693215</v>
      </c>
      <c r="AG48" s="88">
        <f t="shared" si="15"/>
        <v>8.8132054197931549</v>
      </c>
      <c r="AH48" s="514">
        <f t="shared" si="16"/>
        <v>3.8512166154241303</v>
      </c>
      <c r="AI48" s="88">
        <f t="shared" si="17"/>
        <v>94.648293476427568</v>
      </c>
      <c r="AK48" s="88">
        <f t="shared" si="18"/>
        <v>7.4965013854362521</v>
      </c>
    </row>
    <row r="49" spans="1:44">
      <c r="A49">
        <v>2019</v>
      </c>
      <c r="B49" t="s">
        <v>101</v>
      </c>
      <c r="C49">
        <v>19</v>
      </c>
      <c r="D49" t="s">
        <v>1339</v>
      </c>
      <c r="E49" s="105">
        <f>'mass filt'!V58</f>
        <v>31.957142857142852</v>
      </c>
      <c r="F49">
        <v>0.5</v>
      </c>
      <c r="G49" t="str">
        <f>'sample processing comments'!H48</f>
        <v>FSW carboy 5, IN2019_V02</v>
      </c>
      <c r="H49" s="112">
        <f t="shared" si="19"/>
        <v>19</v>
      </c>
      <c r="I49" s="105">
        <f t="shared" si="22"/>
        <v>3.3639097744360895</v>
      </c>
      <c r="J49" s="105">
        <f t="shared" si="23"/>
        <v>1.2286680451127818</v>
      </c>
      <c r="L49">
        <v>1</v>
      </c>
      <c r="M49" s="105">
        <f>'CHN raw data'!C56</f>
        <v>12.992489814758301</v>
      </c>
      <c r="N49" s="105">
        <f>'CHN raw data'!D56</f>
        <v>0.46491441130638123</v>
      </c>
      <c r="O49" s="105">
        <f>'CHN raw data'!E56</f>
        <v>0.49330392479896545</v>
      </c>
      <c r="R49">
        <f>pH_Sal!D42</f>
        <v>39.83</v>
      </c>
      <c r="S49" s="105">
        <f>pH_Sal!I42</f>
        <v>8.6869999999999994</v>
      </c>
      <c r="T49" s="67">
        <f>'Traps and Logs'!J135</f>
        <v>43892</v>
      </c>
      <c r="U49" s="67">
        <f>'Traps and Logs'!J136</f>
        <v>43911</v>
      </c>
      <c r="V49" s="170">
        <f t="shared" si="20"/>
        <v>43901.5</v>
      </c>
      <c r="W49" s="112">
        <f t="shared" si="14"/>
        <v>361</v>
      </c>
      <c r="X49">
        <f t="shared" si="21"/>
        <v>342</v>
      </c>
      <c r="AB49">
        <f>'BSi raw data_and calculations'!R53</f>
        <v>2.7632717056102476</v>
      </c>
      <c r="AC49">
        <f>'BSi raw data_and calculations'!S53</f>
        <v>5.9111782410152998</v>
      </c>
      <c r="AF49" s="105">
        <f>'PIC data'!AF47</f>
        <v>78.368074419808238</v>
      </c>
      <c r="AG49" s="88">
        <f t="shared" si="15"/>
        <v>9.4038338062413445</v>
      </c>
      <c r="AH49" s="514">
        <f t="shared" si="16"/>
        <v>3.5886560085169563</v>
      </c>
      <c r="AI49" s="88">
        <f t="shared" si="17"/>
        <v>96.52452548607252</v>
      </c>
      <c r="AK49" s="88">
        <f t="shared" si="18"/>
        <v>8.486182905473612</v>
      </c>
    </row>
    <row r="50" spans="1:44">
      <c r="A50">
        <v>2019</v>
      </c>
      <c r="B50" t="s">
        <v>101</v>
      </c>
      <c r="C50">
        <v>20</v>
      </c>
      <c r="D50">
        <v>2</v>
      </c>
      <c r="E50" s="105">
        <f>'mass filt'!V59</f>
        <v>234.75714285714281</v>
      </c>
      <c r="F50">
        <v>0.5</v>
      </c>
      <c r="G50" t="str">
        <f>'sample processing comments'!H49</f>
        <v>FSW carboy 5, IN2019_V02</v>
      </c>
      <c r="H50" s="112">
        <f t="shared" si="19"/>
        <v>19</v>
      </c>
      <c r="I50" s="105">
        <f t="shared" si="22"/>
        <v>24.711278195488717</v>
      </c>
      <c r="J50" s="105">
        <f t="shared" si="23"/>
        <v>9.0257943609022533</v>
      </c>
      <c r="L50">
        <v>1</v>
      </c>
      <c r="M50" s="105">
        <f>'CHN raw data'!C57</f>
        <v>13.173738479614258</v>
      </c>
      <c r="N50" s="105">
        <f>'CHN raw data'!D57</f>
        <v>0.58282721042633057</v>
      </c>
      <c r="O50" s="105">
        <f>'CHN raw data'!E57</f>
        <v>0.68599343299865723</v>
      </c>
      <c r="R50">
        <f>pH_Sal!D43</f>
        <v>39.26</v>
      </c>
      <c r="S50" s="105">
        <f>pH_Sal!I43</f>
        <v>8.6300000000000008</v>
      </c>
      <c r="T50" s="67">
        <f>'Traps and Logs'!J136</f>
        <v>43911</v>
      </c>
      <c r="U50" s="67">
        <f>'Traps and Logs'!J137</f>
        <v>43930</v>
      </c>
      <c r="V50" s="170">
        <f t="shared" si="20"/>
        <v>43920.5</v>
      </c>
      <c r="W50" s="112">
        <f t="shared" si="14"/>
        <v>380</v>
      </c>
      <c r="X50">
        <f t="shared" si="21"/>
        <v>361</v>
      </c>
      <c r="AB50">
        <f>'BSi raw data_and calculations'!R56</f>
        <v>3.6548186050461693</v>
      </c>
      <c r="AC50">
        <f>'BSi raw data_and calculations'!S56</f>
        <v>7.8183713057039643</v>
      </c>
      <c r="AF50" s="105">
        <f>'PIC data'!AF48</f>
        <v>75.270877521923367</v>
      </c>
      <c r="AG50" s="88">
        <f t="shared" si="15"/>
        <v>9.0321834229884193</v>
      </c>
      <c r="AH50" s="514">
        <f t="shared" si="16"/>
        <v>4.1415550566258386</v>
      </c>
      <c r="AI50" s="88">
        <f t="shared" si="17"/>
        <v>96.760690795831621</v>
      </c>
      <c r="AK50" s="88">
        <f t="shared" si="18"/>
        <v>7.0426905904608592</v>
      </c>
    </row>
    <row r="51" spans="1:44">
      <c r="A51">
        <v>2019</v>
      </c>
      <c r="B51" t="s">
        <v>101</v>
      </c>
      <c r="C51">
        <v>21</v>
      </c>
      <c r="D51">
        <v>1</v>
      </c>
      <c r="E51" s="105">
        <f>'mass filt'!V60</f>
        <v>127.17142857142859</v>
      </c>
      <c r="F51">
        <v>0.5</v>
      </c>
      <c r="G51" t="str">
        <f>'sample processing comments'!H50</f>
        <v>FSW carboy 5, IN2019_V02</v>
      </c>
      <c r="H51" s="112">
        <f t="shared" si="19"/>
        <v>19</v>
      </c>
      <c r="I51" s="105">
        <f>E51/F51/H51</f>
        <v>13.386466165413536</v>
      </c>
      <c r="J51" s="105">
        <f>0.001*365.25*E51/F51/H51</f>
        <v>4.8894067669172943</v>
      </c>
      <c r="L51">
        <v>1</v>
      </c>
      <c r="M51" s="105">
        <f>'CHN raw data'!C58</f>
        <v>13.033105850219727</v>
      </c>
      <c r="N51" s="105">
        <f>'CHN raw data'!D58</f>
        <v>0.56946021318435669</v>
      </c>
      <c r="O51" s="105">
        <f>'CHN raw data'!E58</f>
        <v>0.64265018701553345</v>
      </c>
      <c r="R51">
        <f>pH_Sal!D44</f>
        <v>39.520000000000003</v>
      </c>
      <c r="S51" s="105">
        <f>pH_Sal!I44</f>
        <v>8.6950000000000003</v>
      </c>
      <c r="T51" s="67">
        <f>'Traps and Logs'!J137</f>
        <v>43930</v>
      </c>
      <c r="U51" s="67">
        <f>'Traps and Logs'!J138</f>
        <v>43949</v>
      </c>
      <c r="V51" s="170">
        <f t="shared" si="20"/>
        <v>43939.5</v>
      </c>
      <c r="W51" s="112">
        <f t="shared" si="14"/>
        <v>399</v>
      </c>
      <c r="X51">
        <f t="shared" si="21"/>
        <v>380</v>
      </c>
      <c r="AB51">
        <f>'BSi raw data_and calculations'!R57</f>
        <v>2.5850371754915278</v>
      </c>
      <c r="AC51">
        <f>'BSi raw data_and calculations'!S57</f>
        <v>5.5298997463611945</v>
      </c>
      <c r="AF51" s="105">
        <f>'PIC data'!AF49</f>
        <v>78.604697514320065</v>
      </c>
      <c r="AG51" s="88">
        <f t="shared" si="15"/>
        <v>9.4322275657152339</v>
      </c>
      <c r="AH51" s="514">
        <f t="shared" si="16"/>
        <v>3.6008782845044927</v>
      </c>
      <c r="AI51" s="88">
        <f t="shared" si="17"/>
        <v>96.364818458690877</v>
      </c>
      <c r="AK51" s="88">
        <f t="shared" si="18"/>
        <v>6.5362541621590688</v>
      </c>
    </row>
    <row r="52" spans="1:44">
      <c r="A52" s="76" t="s">
        <v>221</v>
      </c>
      <c r="T52" s="67"/>
      <c r="U52" s="67"/>
    </row>
    <row r="54" spans="1:44" s="151" customFormat="1">
      <c r="A54" s="154" t="s">
        <v>1950</v>
      </c>
      <c r="B54" s="149" t="s">
        <v>807</v>
      </c>
      <c r="C54" s="150"/>
      <c r="E54" s="152"/>
      <c r="F54" s="153"/>
      <c r="G54" s="148"/>
      <c r="H54" s="185" t="s">
        <v>218</v>
      </c>
      <c r="I54" s="154" t="s">
        <v>220</v>
      </c>
      <c r="J54" s="155"/>
      <c r="K54" s="155"/>
      <c r="L54" s="155"/>
      <c r="M54" s="156"/>
      <c r="N54" s="156"/>
      <c r="O54" s="156"/>
      <c r="P54" s="156"/>
      <c r="Q54" s="157"/>
      <c r="R54" s="155"/>
      <c r="S54" s="155"/>
      <c r="T54" s="158"/>
      <c r="U54" s="158"/>
      <c r="V54" s="159"/>
      <c r="W54" s="145">
        <v>0</v>
      </c>
      <c r="X54" s="146"/>
      <c r="Y54" s="160"/>
      <c r="Z54" s="155"/>
      <c r="AA54" s="155"/>
      <c r="AB54" s="161"/>
      <c r="AC54" s="161"/>
      <c r="AD54" s="162"/>
      <c r="AE54" s="162"/>
      <c r="AG54" s="162"/>
      <c r="AH54" s="148"/>
      <c r="AI54" s="151" t="s">
        <v>214</v>
      </c>
      <c r="AJ54" s="154"/>
      <c r="AL54" s="155"/>
      <c r="AM54" s="163"/>
      <c r="AN54" s="164"/>
      <c r="AO54" s="155"/>
      <c r="AP54" s="155"/>
      <c r="AQ54" s="155"/>
      <c r="AR54" s="155"/>
    </row>
    <row r="55" spans="1:44">
      <c r="A55">
        <v>2019</v>
      </c>
      <c r="B55" t="s">
        <v>102</v>
      </c>
      <c r="C55" t="s">
        <v>806</v>
      </c>
      <c r="D55">
        <v>5</v>
      </c>
      <c r="E55" s="105">
        <f>'mass filt'!V63</f>
        <v>614.01428571428573</v>
      </c>
      <c r="F55">
        <v>0.5</v>
      </c>
      <c r="G55" t="str">
        <f>'sample processing comments'!H54</f>
        <v>FSW carboy 5, IN2019_V02</v>
      </c>
      <c r="H55" s="112">
        <f>U55-T55</f>
        <v>19</v>
      </c>
      <c r="I55" s="105">
        <f>E55/F55/H55</f>
        <v>64.633082706766913</v>
      </c>
      <c r="J55" s="105">
        <f>0.001*365.25*E55/F55/H55</f>
        <v>23.607233458646618</v>
      </c>
      <c r="L55">
        <v>1</v>
      </c>
      <c r="M55" s="105">
        <f>'CHN raw data'!C59</f>
        <v>13.055289268493652</v>
      </c>
      <c r="N55" s="105">
        <f>'CHN raw data'!D59</f>
        <v>0.62377876043319702</v>
      </c>
      <c r="O55" s="105">
        <f>'CHN raw data'!E59</f>
        <v>0.60141974687576294</v>
      </c>
      <c r="R55">
        <f>pH_Sal!D45</f>
        <v>39.840000000000003</v>
      </c>
      <c r="S55" s="105">
        <f>pH_Sal!I45</f>
        <v>8.5830000000000002</v>
      </c>
      <c r="T55" s="67">
        <f>'Traps and Logs'!Q105</f>
        <v>43550</v>
      </c>
      <c r="U55" s="67">
        <f>'Traps and Logs'!Q106</f>
        <v>43569</v>
      </c>
      <c r="V55" s="170">
        <f>AVERAGE(T55:U55)</f>
        <v>43559.5</v>
      </c>
      <c r="W55" s="112">
        <f t="shared" ref="W55:W75" si="24">H55+W54</f>
        <v>19</v>
      </c>
      <c r="X55">
        <v>0</v>
      </c>
      <c r="AB55">
        <f>'BSi raw data_and calculations'!R58</f>
        <v>5.1667728038568033</v>
      </c>
      <c r="AC55">
        <f>'BSi raw data_and calculations'!S58</f>
        <v>11.052736838154336</v>
      </c>
      <c r="AF55" s="105">
        <f>'PIC data'!AF50</f>
        <v>72.64944166251523</v>
      </c>
      <c r="AG55" s="88">
        <f t="shared" ref="AG55:AG75" si="25">AF55*12.01/100.0869</f>
        <v>8.7176223298634277</v>
      </c>
      <c r="AH55" s="514">
        <f t="shared" ref="AH55:AH75" si="26">M55-AG55</f>
        <v>4.3376669386302247</v>
      </c>
      <c r="AI55" s="88">
        <f t="shared" ref="AI55:AI75" si="27">AF55+(AC55*1.11)+(AH55*2.2)+3.7</f>
        <v>98.160846817853042</v>
      </c>
      <c r="AK55" s="88">
        <f t="shared" ref="AK55:AK75" si="28">(AH55/12.01)/(O55/14.01)</f>
        <v>8.413440866504299</v>
      </c>
    </row>
    <row r="56" spans="1:44">
      <c r="A56">
        <v>2019</v>
      </c>
      <c r="B56" t="s">
        <v>102</v>
      </c>
      <c r="C56">
        <v>2</v>
      </c>
      <c r="D56">
        <v>5</v>
      </c>
      <c r="E56" s="105">
        <f>'mass filt'!V65</f>
        <v>574.61428571428576</v>
      </c>
      <c r="F56">
        <v>0.5</v>
      </c>
      <c r="G56" t="str">
        <f>'sample processing comments'!H55</f>
        <v>FSW carboy 5, IN2019_V02</v>
      </c>
      <c r="H56" s="112">
        <f t="shared" ref="H56:H75" si="29">U56-T56</f>
        <v>19</v>
      </c>
      <c r="I56" s="105">
        <f t="shared" ref="I56:I59" si="30">E56/F56/H56</f>
        <v>60.485714285714288</v>
      </c>
      <c r="J56" s="105">
        <f t="shared" ref="J56:J59" si="31">0.001*365.25*E56/F56/H56</f>
        <v>22.092407142857144</v>
      </c>
      <c r="L56">
        <v>1</v>
      </c>
      <c r="M56" s="105">
        <f>'CHN raw data'!C60</f>
        <v>12.797491073608398</v>
      </c>
      <c r="N56" s="105">
        <f>'CHN raw data'!D60</f>
        <v>0.59031808376312256</v>
      </c>
      <c r="O56" s="105">
        <f>'CHN raw data'!E60</f>
        <v>0.58137589693069458</v>
      </c>
      <c r="R56">
        <f>pH_Sal!D46</f>
        <v>39.57</v>
      </c>
      <c r="S56" s="105">
        <f>pH_Sal!I46</f>
        <v>8.5850000000000009</v>
      </c>
      <c r="T56" s="67">
        <f>'Traps and Logs'!Q106</f>
        <v>43569</v>
      </c>
      <c r="U56" s="67">
        <f>'Traps and Logs'!Q107</f>
        <v>43588</v>
      </c>
      <c r="V56" s="170">
        <f t="shared" ref="V56:V75" si="32">AVERAGE(T56:U56)</f>
        <v>43578.5</v>
      </c>
      <c r="W56" s="112">
        <f t="shared" si="24"/>
        <v>38</v>
      </c>
      <c r="X56">
        <f t="shared" ref="X56:X75" si="33">X55+H56</f>
        <v>19</v>
      </c>
      <c r="AB56">
        <f>'BSi raw data_and calculations'!R59</f>
        <v>5.6638638636652274</v>
      </c>
      <c r="AC56">
        <f>'BSi raw data_and calculations'!S59</f>
        <v>12.116111768161037</v>
      </c>
      <c r="AF56" s="105">
        <f>'PIC data'!AF51</f>
        <v>72.032431590724656</v>
      </c>
      <c r="AG56" s="88">
        <f t="shared" si="25"/>
        <v>8.6435837597587994</v>
      </c>
      <c r="AH56" s="514">
        <f t="shared" si="26"/>
        <v>4.153907313849599</v>
      </c>
      <c r="AI56" s="88">
        <f t="shared" si="27"/>
        <v>98.319911743852529</v>
      </c>
      <c r="AK56" s="88">
        <f t="shared" si="28"/>
        <v>8.3347947066224428</v>
      </c>
    </row>
    <row r="57" spans="1:44">
      <c r="A57">
        <v>2019</v>
      </c>
      <c r="B57" t="s">
        <v>102</v>
      </c>
      <c r="C57" s="66">
        <v>3</v>
      </c>
      <c r="D57">
        <v>3</v>
      </c>
      <c r="E57" s="105">
        <f>'mass filt'!V66</f>
        <v>463.2</v>
      </c>
      <c r="F57">
        <v>0.5</v>
      </c>
      <c r="G57" t="str">
        <f>'sample processing comments'!H56</f>
        <v>FSW carboy 5, IN2019_V02</v>
      </c>
      <c r="H57" s="112">
        <f t="shared" si="29"/>
        <v>19</v>
      </c>
      <c r="I57" s="105">
        <f t="shared" si="30"/>
        <v>48.757894736842104</v>
      </c>
      <c r="J57" s="105">
        <f t="shared" si="31"/>
        <v>17.808821052631579</v>
      </c>
      <c r="L57">
        <v>1</v>
      </c>
      <c r="M57" s="105">
        <f>'CHN raw data'!C61</f>
        <v>12.487421035766602</v>
      </c>
      <c r="N57" s="105">
        <f>'CHN raw data'!D61</f>
        <v>0.4736359715461731</v>
      </c>
      <c r="O57" s="105">
        <f>'CHN raw data'!E61</f>
        <v>0.46230989694595337</v>
      </c>
      <c r="Q57" s="285" t="s">
        <v>1573</v>
      </c>
      <c r="R57" s="285">
        <f>AVERAGE(pH_Sal!D47,pH_Sal!G47)</f>
        <v>38.290000000000006</v>
      </c>
      <c r="S57" s="286">
        <f>AVERAGE(pH_Sal!I47,pH_Sal!L47)</f>
        <v>8.5940000000000012</v>
      </c>
      <c r="T57" s="67">
        <f>'Traps and Logs'!Q107</f>
        <v>43588</v>
      </c>
      <c r="U57" s="67">
        <f>'Traps and Logs'!Q108</f>
        <v>43607</v>
      </c>
      <c r="V57" s="170">
        <f t="shared" si="32"/>
        <v>43597.5</v>
      </c>
      <c r="W57" s="112">
        <f t="shared" si="24"/>
        <v>57</v>
      </c>
      <c r="X57">
        <f t="shared" si="33"/>
        <v>38</v>
      </c>
      <c r="AB57">
        <f>'BSi raw data_and calculations'!R60</f>
        <v>4.5255555414250361</v>
      </c>
      <c r="AC57">
        <f>'BSi raw data_and calculations'!S60</f>
        <v>9.6810477922474334</v>
      </c>
      <c r="AF57" s="105">
        <f>'PIC data'!AF52</f>
        <v>76.124759707270599</v>
      </c>
      <c r="AG57" s="88">
        <f t="shared" si="25"/>
        <v>9.1346456337874375</v>
      </c>
      <c r="AH57" s="514">
        <f t="shared" si="26"/>
        <v>3.352775401979164</v>
      </c>
      <c r="AI57" s="88">
        <f t="shared" si="27"/>
        <v>97.946828641019408</v>
      </c>
      <c r="AK57" s="88">
        <f t="shared" si="28"/>
        <v>8.459922776097482</v>
      </c>
    </row>
    <row r="58" spans="1:44">
      <c r="A58">
        <v>2019</v>
      </c>
      <c r="B58" t="s">
        <v>102</v>
      </c>
      <c r="C58">
        <v>4</v>
      </c>
      <c r="D58">
        <v>4</v>
      </c>
      <c r="E58" s="105">
        <f>'mass filt'!V67</f>
        <v>496.91428571428571</v>
      </c>
      <c r="F58">
        <v>0.5</v>
      </c>
      <c r="G58" t="str">
        <f>'sample processing comments'!H57</f>
        <v>FSW carboy 5, IN2019_V02</v>
      </c>
      <c r="H58" s="112">
        <f t="shared" si="29"/>
        <v>19</v>
      </c>
      <c r="I58" s="105">
        <f t="shared" si="30"/>
        <v>52.306766917293231</v>
      </c>
      <c r="J58" s="105">
        <f t="shared" si="31"/>
        <v>19.105046616541355</v>
      </c>
      <c r="L58">
        <v>1</v>
      </c>
      <c r="M58" s="105">
        <f>'CHN raw data'!C62</f>
        <v>13.564257621765137</v>
      </c>
      <c r="N58" s="105">
        <f>'CHN raw data'!D62</f>
        <v>0.64775747060775757</v>
      </c>
      <c r="O58" s="105">
        <f>'CHN raw data'!E62</f>
        <v>0.70981037616729736</v>
      </c>
      <c r="R58">
        <f>pH_Sal!D48</f>
        <v>38.229999999999997</v>
      </c>
      <c r="S58" s="105">
        <f>pH_Sal!I48</f>
        <v>8.5359999999999996</v>
      </c>
      <c r="T58" s="67">
        <f>'Traps and Logs'!Q108</f>
        <v>43607</v>
      </c>
      <c r="U58" s="67">
        <f>'Traps and Logs'!Q109</f>
        <v>43626</v>
      </c>
      <c r="V58" s="170">
        <f t="shared" si="32"/>
        <v>43616.5</v>
      </c>
      <c r="W58" s="112">
        <f t="shared" si="24"/>
        <v>76</v>
      </c>
      <c r="X58">
        <f t="shared" si="33"/>
        <v>57</v>
      </c>
      <c r="AB58">
        <f>'BSi raw data_and calculations'!R61</f>
        <v>3.7846157726085918</v>
      </c>
      <c r="AC58">
        <f>'BSi raw data_and calculations'!S61</f>
        <v>8.0960328150961303</v>
      </c>
      <c r="AF58" s="105">
        <f>'PIC data'!AF53</f>
        <v>73.099948629324942</v>
      </c>
      <c r="AG58" s="88">
        <f t="shared" si="25"/>
        <v>8.7716812393849004</v>
      </c>
      <c r="AH58" s="514">
        <f t="shared" si="26"/>
        <v>4.7925763823802363</v>
      </c>
      <c r="AI58" s="88">
        <f t="shared" si="27"/>
        <v>96.330213095318172</v>
      </c>
      <c r="AK58" s="88">
        <f t="shared" si="28"/>
        <v>7.8762923438654751</v>
      </c>
    </row>
    <row r="59" spans="1:44">
      <c r="A59">
        <v>2019</v>
      </c>
      <c r="B59" t="s">
        <v>102</v>
      </c>
      <c r="C59">
        <v>5</v>
      </c>
      <c r="D59">
        <v>10</v>
      </c>
      <c r="E59" s="105">
        <f>'mass filt'!V68</f>
        <v>526.18571428571431</v>
      </c>
      <c r="F59">
        <v>0.5</v>
      </c>
      <c r="G59" t="str">
        <f>'sample processing comments'!H58</f>
        <v>FSW carboy 5, IN2019_V02 + FSW carboy 6, IN2019_V02</v>
      </c>
      <c r="H59" s="112">
        <f t="shared" si="29"/>
        <v>19</v>
      </c>
      <c r="I59" s="105">
        <f t="shared" si="30"/>
        <v>55.387969924812033</v>
      </c>
      <c r="J59" s="105">
        <f t="shared" si="31"/>
        <v>20.230456015037596</v>
      </c>
      <c r="L59">
        <v>1</v>
      </c>
      <c r="M59" s="105">
        <f>'CHN raw data'!C63</f>
        <v>11.722740173339844</v>
      </c>
      <c r="N59" s="105">
        <f>'CHN raw data'!D63</f>
        <v>0.68234008550643921</v>
      </c>
      <c r="O59" s="105">
        <f>'CHN raw data'!E63</f>
        <v>0.57995182275772095</v>
      </c>
      <c r="R59">
        <f>pH_Sal!D49</f>
        <v>39.08</v>
      </c>
      <c r="S59" s="105">
        <f>pH_Sal!I49</f>
        <v>8.5649999999999995</v>
      </c>
      <c r="T59" s="67">
        <f>'Traps and Logs'!Q109</f>
        <v>43626</v>
      </c>
      <c r="U59" s="67">
        <f>'Traps and Logs'!Q110</f>
        <v>43645</v>
      </c>
      <c r="V59" s="170">
        <f t="shared" si="32"/>
        <v>43635.5</v>
      </c>
      <c r="W59" s="112">
        <f t="shared" si="24"/>
        <v>95</v>
      </c>
      <c r="X59">
        <f t="shared" si="33"/>
        <v>76</v>
      </c>
      <c r="AB59">
        <f>'BSi raw data_and calculations'!R62</f>
        <v>8.6192449095022639</v>
      </c>
      <c r="AC59">
        <f>'BSi raw data_and calculations'!S62</f>
        <v>18.438249434389146</v>
      </c>
      <c r="AF59" s="105">
        <f>'PIC data'!AF54</f>
        <v>63.195452270354082</v>
      </c>
      <c r="AG59" s="88">
        <f t="shared" si="25"/>
        <v>7.5831840307468061</v>
      </c>
      <c r="AH59" s="514">
        <f t="shared" si="26"/>
        <v>4.1395561425930376</v>
      </c>
      <c r="AI59" s="88">
        <f t="shared" si="27"/>
        <v>96.468932656230734</v>
      </c>
      <c r="AK59" s="88">
        <f t="shared" si="28"/>
        <v>8.3263945680175588</v>
      </c>
    </row>
    <row r="60" spans="1:44">
      <c r="A60">
        <v>2019</v>
      </c>
      <c r="B60" t="s">
        <v>102</v>
      </c>
      <c r="C60">
        <v>6</v>
      </c>
      <c r="D60">
        <v>9</v>
      </c>
      <c r="E60" s="105">
        <f>'mass filt'!V69</f>
        <v>505.47142857142853</v>
      </c>
      <c r="F60">
        <v>0.5</v>
      </c>
      <c r="G60" t="str">
        <f>'sample processing comments'!H59</f>
        <v>FSW carboy 6, IN2019_V02</v>
      </c>
      <c r="H60" s="112">
        <f t="shared" si="29"/>
        <v>19</v>
      </c>
      <c r="I60" s="105">
        <f t="shared" ref="I60:I75" si="34">E60/F60/H60</f>
        <v>53.207518796992474</v>
      </c>
      <c r="J60" s="105">
        <f t="shared" ref="J60:J75" si="35">0.001*365.25*E60/F60/H60</f>
        <v>19.434046240601504</v>
      </c>
      <c r="L60">
        <v>1</v>
      </c>
      <c r="M60" s="105">
        <f>AVERAGE('CHN raw data'!C64,'CHN raw data'!C74)</f>
        <v>11.624580860137939</v>
      </c>
      <c r="N60" s="105">
        <f>AVERAGE('CHN raw data'!D64,'CHN raw data'!D74)</f>
        <v>0.64769348502159119</v>
      </c>
      <c r="O60" s="105">
        <f>AVERAGE('CHN raw data'!E64,'CHN raw data'!E74)</f>
        <v>0.55042147636413574</v>
      </c>
      <c r="R60">
        <f>pH_Sal!D50</f>
        <v>39.630000000000003</v>
      </c>
      <c r="S60" s="105">
        <f>pH_Sal!I50</f>
        <v>8.5969999999999995</v>
      </c>
      <c r="T60" s="67">
        <f>'Traps and Logs'!Q110</f>
        <v>43645</v>
      </c>
      <c r="U60" s="67">
        <f>'Traps and Logs'!Q111</f>
        <v>43664</v>
      </c>
      <c r="V60" s="170">
        <f t="shared" si="32"/>
        <v>43654.5</v>
      </c>
      <c r="W60" s="112">
        <f t="shared" si="24"/>
        <v>114</v>
      </c>
      <c r="X60">
        <f t="shared" si="33"/>
        <v>95</v>
      </c>
      <c r="AB60">
        <f>AVERAGE('BSi raw data_and calculations'!R63:R64)</f>
        <v>8.4156802240685327</v>
      </c>
      <c r="AC60">
        <f>AVERAGE('BSi raw data_and calculations'!S63:S64)</f>
        <v>18.002784786909157</v>
      </c>
      <c r="AF60" s="105">
        <f>'PIC data'!AF55</f>
        <v>65.227069552653404</v>
      </c>
      <c r="AG60" s="88">
        <f t="shared" si="25"/>
        <v>7.8269694168504316</v>
      </c>
      <c r="AH60" s="514">
        <f t="shared" si="26"/>
        <v>3.7976114432875079</v>
      </c>
      <c r="AI60" s="88">
        <f t="shared" si="27"/>
        <v>97.264905841355088</v>
      </c>
      <c r="AK60" s="88">
        <f t="shared" si="28"/>
        <v>8.0484135652499607</v>
      </c>
    </row>
    <row r="61" spans="1:44">
      <c r="A61">
        <v>2019</v>
      </c>
      <c r="B61" t="s">
        <v>102</v>
      </c>
      <c r="C61">
        <v>7</v>
      </c>
      <c r="D61">
        <v>5</v>
      </c>
      <c r="E61" s="105">
        <f>'mass filt'!V70</f>
        <v>365.55714285714282</v>
      </c>
      <c r="F61">
        <v>0.5</v>
      </c>
      <c r="G61" t="str">
        <f>'sample processing comments'!H60</f>
        <v>FSW carboy 6, IN2019_V02</v>
      </c>
      <c r="H61" s="112">
        <f t="shared" si="29"/>
        <v>19</v>
      </c>
      <c r="I61" s="105">
        <f t="shared" si="34"/>
        <v>38.479699248120298</v>
      </c>
      <c r="J61" s="105">
        <f t="shared" si="35"/>
        <v>14.054710150375938</v>
      </c>
      <c r="L61">
        <v>1</v>
      </c>
      <c r="M61" s="105">
        <f>'CHN raw data'!C65</f>
        <v>12.970779418945313</v>
      </c>
      <c r="N61" s="105">
        <f>'CHN raw data'!D65</f>
        <v>0.8531450629234314</v>
      </c>
      <c r="O61" s="105">
        <f>'CHN raw data'!E65</f>
        <v>0.8281787633895874</v>
      </c>
      <c r="R61">
        <f>pH_Sal!D51</f>
        <v>39.67</v>
      </c>
      <c r="S61" s="105">
        <f>pH_Sal!I51</f>
        <v>8.5809999999999995</v>
      </c>
      <c r="T61" s="67">
        <f>'Traps and Logs'!Q111</f>
        <v>43664</v>
      </c>
      <c r="U61" s="67">
        <f>'Traps and Logs'!Q112</f>
        <v>43683</v>
      </c>
      <c r="V61" s="170">
        <f t="shared" si="32"/>
        <v>43673.5</v>
      </c>
      <c r="W61" s="112">
        <f t="shared" si="24"/>
        <v>133</v>
      </c>
      <c r="X61">
        <f t="shared" si="33"/>
        <v>114</v>
      </c>
      <c r="AB61">
        <f>'BSi raw data_and calculations'!R65</f>
        <v>7.1214219775711172</v>
      </c>
      <c r="AC61">
        <f>'BSi raw data_and calculations'!S65</f>
        <v>15.234113443654271</v>
      </c>
      <c r="AF61" s="105">
        <f>'PIC data'!AF56</f>
        <v>61.959547833500636</v>
      </c>
      <c r="AG61" s="88">
        <f t="shared" si="25"/>
        <v>7.4348807834026491</v>
      </c>
      <c r="AH61" s="514">
        <f t="shared" si="26"/>
        <v>5.5358986355426634</v>
      </c>
      <c r="AI61" s="88">
        <f t="shared" si="27"/>
        <v>94.748390754150748</v>
      </c>
      <c r="AK61" s="88">
        <f t="shared" si="28"/>
        <v>7.7975679394235966</v>
      </c>
    </row>
    <row r="62" spans="1:44">
      <c r="A62">
        <v>2019</v>
      </c>
      <c r="B62" t="s">
        <v>102</v>
      </c>
      <c r="C62">
        <v>8</v>
      </c>
      <c r="D62">
        <v>6</v>
      </c>
      <c r="E62" s="105">
        <f>'mass filt'!V71</f>
        <v>386.72857142857146</v>
      </c>
      <c r="F62">
        <v>0.5</v>
      </c>
      <c r="G62" t="str">
        <f>'sample processing comments'!H61</f>
        <v>FSW carboy 6, IN2019_V02</v>
      </c>
      <c r="H62" s="112">
        <f t="shared" si="29"/>
        <v>19</v>
      </c>
      <c r="I62" s="105">
        <f t="shared" si="34"/>
        <v>40.708270676691733</v>
      </c>
      <c r="J62" s="105">
        <f t="shared" si="35"/>
        <v>14.868695864661657</v>
      </c>
      <c r="L62">
        <v>1</v>
      </c>
      <c r="M62" s="105">
        <f>'CHN raw data'!C66</f>
        <v>14.143871307373047</v>
      </c>
      <c r="N62" s="105">
        <f>'CHN raw data'!D66</f>
        <v>1.0094902515411377</v>
      </c>
      <c r="O62" s="105">
        <f>'CHN raw data'!E66</f>
        <v>1.0158618688583374</v>
      </c>
      <c r="R62">
        <f>pH_Sal!D52</f>
        <v>39.89</v>
      </c>
      <c r="S62" s="105">
        <f>pH_Sal!I52</f>
        <v>8.5589999999999993</v>
      </c>
      <c r="T62" s="67">
        <f>'Traps and Logs'!Q112</f>
        <v>43683</v>
      </c>
      <c r="U62" s="67">
        <f>'Traps and Logs'!Q113</f>
        <v>43702</v>
      </c>
      <c r="V62" s="170">
        <f t="shared" si="32"/>
        <v>43692.5</v>
      </c>
      <c r="W62" s="112">
        <f t="shared" si="24"/>
        <v>152</v>
      </c>
      <c r="X62">
        <f t="shared" si="33"/>
        <v>133</v>
      </c>
      <c r="AB62">
        <f>'BSi raw data_and calculations'!R68</f>
        <v>5.3266660496948237</v>
      </c>
      <c r="AC62">
        <f>'BSi raw data_and calculations'!S68</f>
        <v>11.394779741052401</v>
      </c>
      <c r="AF62" s="105">
        <f>'PIC data'!AF57</f>
        <v>62.925737029535647</v>
      </c>
      <c r="AG62" s="88">
        <f t="shared" si="25"/>
        <v>7.5508193552275387</v>
      </c>
      <c r="AH62" s="514">
        <f t="shared" si="26"/>
        <v>6.5930519521455082</v>
      </c>
      <c r="AI62" s="88">
        <f t="shared" si="27"/>
        <v>93.778656836823927</v>
      </c>
      <c r="AK62" s="88">
        <f t="shared" si="28"/>
        <v>7.5708905321965521</v>
      </c>
    </row>
    <row r="63" spans="1:44">
      <c r="A63">
        <v>2019</v>
      </c>
      <c r="B63" t="s">
        <v>102</v>
      </c>
      <c r="C63">
        <v>9</v>
      </c>
      <c r="D63">
        <v>2</v>
      </c>
      <c r="E63" s="105">
        <f>'mass filt'!V72</f>
        <v>323.44285714285712</v>
      </c>
      <c r="F63">
        <v>0.5</v>
      </c>
      <c r="G63" t="str">
        <f>'sample processing comments'!H62</f>
        <v>FSW carboy 6, IN2019_V02</v>
      </c>
      <c r="H63" s="112">
        <f t="shared" si="29"/>
        <v>19</v>
      </c>
      <c r="I63" s="105">
        <f t="shared" si="34"/>
        <v>34.04661654135338</v>
      </c>
      <c r="J63" s="105">
        <f t="shared" si="35"/>
        <v>12.435526691729322</v>
      </c>
      <c r="L63">
        <v>1</v>
      </c>
      <c r="M63" s="105">
        <f>'CHN raw data'!C67</f>
        <v>13.044124603271484</v>
      </c>
      <c r="N63" s="105">
        <f>'CHN raw data'!D67</f>
        <v>0.80579203367233276</v>
      </c>
      <c r="O63" s="105">
        <f>'CHN raw data'!E67</f>
        <v>0.76806157827377319</v>
      </c>
      <c r="R63">
        <f>pH_Sal!D53</f>
        <v>39.979999999999997</v>
      </c>
      <c r="S63" s="105">
        <f>pH_Sal!I53</f>
        <v>8.6219999999999999</v>
      </c>
      <c r="T63" s="67">
        <f>'Traps and Logs'!Q113</f>
        <v>43702</v>
      </c>
      <c r="U63" s="67">
        <f>'Traps and Logs'!Q114</f>
        <v>43721</v>
      </c>
      <c r="V63" s="170">
        <f t="shared" si="32"/>
        <v>43711.5</v>
      </c>
      <c r="W63" s="112">
        <f t="shared" si="24"/>
        <v>171</v>
      </c>
      <c r="X63">
        <f t="shared" si="33"/>
        <v>152</v>
      </c>
      <c r="AB63">
        <f>'BSi raw data_and calculations'!R69</f>
        <v>5.7845349384794211</v>
      </c>
      <c r="AC63">
        <f>'BSi raw data_and calculations'!S69</f>
        <v>12.374250781531803</v>
      </c>
      <c r="AF63" s="105">
        <f>'PIC data'!AF58</f>
        <v>65.862724914152167</v>
      </c>
      <c r="AG63" s="88">
        <f t="shared" si="25"/>
        <v>7.9032453419874882</v>
      </c>
      <c r="AH63" s="514">
        <f t="shared" si="26"/>
        <v>5.1408792612839962</v>
      </c>
      <c r="AI63" s="88">
        <f t="shared" si="27"/>
        <v>94.608077656477263</v>
      </c>
      <c r="AK63" s="88">
        <f t="shared" si="28"/>
        <v>7.8079404368612035</v>
      </c>
    </row>
    <row r="64" spans="1:44">
      <c r="A64">
        <v>2019</v>
      </c>
      <c r="B64" t="s">
        <v>102</v>
      </c>
      <c r="C64">
        <v>10</v>
      </c>
      <c r="D64">
        <v>2</v>
      </c>
      <c r="E64" s="105">
        <f>'mass filt'!V73</f>
        <v>255.07142857142856</v>
      </c>
      <c r="F64">
        <v>0.5</v>
      </c>
      <c r="G64" t="str">
        <f>'sample processing comments'!H63</f>
        <v>FSW carboy 6, IN2019_V02</v>
      </c>
      <c r="H64" s="112">
        <f t="shared" si="29"/>
        <v>19</v>
      </c>
      <c r="I64" s="105">
        <f t="shared" si="34"/>
        <v>26.849624060150376</v>
      </c>
      <c r="J64" s="105">
        <f t="shared" si="35"/>
        <v>9.806825187969924</v>
      </c>
      <c r="L64">
        <v>1</v>
      </c>
      <c r="M64" s="105">
        <f>'CHN raw data'!C70</f>
        <v>12.409296989440918</v>
      </c>
      <c r="N64" s="105">
        <f>'CHN raw data'!D70</f>
        <v>0.54695183038711548</v>
      </c>
      <c r="O64" s="105">
        <f>'CHN raw data'!E70</f>
        <v>0.56358444690704346</v>
      </c>
      <c r="R64">
        <f>pH_Sal!D54</f>
        <v>40</v>
      </c>
      <c r="S64" s="105">
        <f>pH_Sal!I54</f>
        <v>8.64</v>
      </c>
      <c r="T64" s="67">
        <f>'Traps and Logs'!Q114</f>
        <v>43721</v>
      </c>
      <c r="U64" s="67">
        <f>'Traps and Logs'!Q115</f>
        <v>43740</v>
      </c>
      <c r="V64" s="170">
        <f t="shared" si="32"/>
        <v>43730.5</v>
      </c>
      <c r="W64" s="112">
        <f t="shared" si="24"/>
        <v>190</v>
      </c>
      <c r="X64">
        <f t="shared" si="33"/>
        <v>171</v>
      </c>
      <c r="AB64">
        <f>'BSi raw data_and calculations'!R70</f>
        <v>5.4663861001862966</v>
      </c>
      <c r="AC64">
        <f>'BSi raw data_and calculations'!S70</f>
        <v>11.69366823638998</v>
      </c>
      <c r="AF64" s="105">
        <f>'PIC data'!AF59</f>
        <v>69.471168452753815</v>
      </c>
      <c r="AG64" s="88">
        <f t="shared" si="25"/>
        <v>8.3362431358906441</v>
      </c>
      <c r="AH64" s="514">
        <f t="shared" si="26"/>
        <v>4.0730538535502738</v>
      </c>
      <c r="AI64" s="88">
        <f t="shared" si="27"/>
        <v>95.111858672957297</v>
      </c>
      <c r="AK64" s="88">
        <f t="shared" si="28"/>
        <v>8.4305572264321906</v>
      </c>
    </row>
    <row r="65" spans="1:37">
      <c r="A65">
        <v>2019</v>
      </c>
      <c r="B65" t="s">
        <v>102</v>
      </c>
      <c r="C65">
        <v>11</v>
      </c>
      <c r="D65">
        <v>4</v>
      </c>
      <c r="E65" s="105">
        <f>'mass filt'!V74</f>
        <v>271.5</v>
      </c>
      <c r="F65">
        <v>0.5</v>
      </c>
      <c r="G65" t="str">
        <f>'sample processing comments'!H64</f>
        <v>FSW carboy 6, IN2019_V02</v>
      </c>
      <c r="H65" s="112">
        <f t="shared" si="29"/>
        <v>19</v>
      </c>
      <c r="I65" s="105">
        <f t="shared" si="34"/>
        <v>28.578947368421051</v>
      </c>
      <c r="J65" s="105">
        <f t="shared" si="35"/>
        <v>10.43846052631579</v>
      </c>
      <c r="L65">
        <v>1</v>
      </c>
      <c r="M65" s="105">
        <f>'CHN raw data'!C71</f>
        <v>12.423382759094238</v>
      </c>
      <c r="N65" s="105">
        <f>'CHN raw data'!D71</f>
        <v>0.56550925970077515</v>
      </c>
      <c r="O65" s="105">
        <f>'CHN raw data'!E71</f>
        <v>0.6108284592628479</v>
      </c>
      <c r="R65">
        <f>pH_Sal!D55</f>
        <v>40.15</v>
      </c>
      <c r="S65" s="105">
        <f>pH_Sal!I55</f>
        <v>8.6449999999999996</v>
      </c>
      <c r="T65" s="67">
        <f>'Traps and Logs'!Q115</f>
        <v>43740</v>
      </c>
      <c r="U65" s="67">
        <f>'Traps and Logs'!Q116</f>
        <v>43759</v>
      </c>
      <c r="V65" s="170">
        <f t="shared" si="32"/>
        <v>43749.5</v>
      </c>
      <c r="W65" s="112">
        <f t="shared" si="24"/>
        <v>209</v>
      </c>
      <c r="X65">
        <f t="shared" si="33"/>
        <v>190</v>
      </c>
      <c r="AB65">
        <f>'BSi raw data_and calculations'!R71</f>
        <v>5.4356102358007838</v>
      </c>
      <c r="AC65">
        <f>'BSi raw data_and calculations'!S71</f>
        <v>11.62783264753539</v>
      </c>
      <c r="AF65" s="105">
        <f>'PIC data'!AF60</f>
        <v>69.787473625653973</v>
      </c>
      <c r="AG65" s="88">
        <f t="shared" si="25"/>
        <v>8.3741984040279416</v>
      </c>
      <c r="AH65" s="514">
        <f t="shared" si="26"/>
        <v>4.0491843550662967</v>
      </c>
      <c r="AI65" s="88">
        <f t="shared" si="27"/>
        <v>95.302573445564107</v>
      </c>
      <c r="AK65" s="88">
        <f t="shared" si="28"/>
        <v>7.7329181772141791</v>
      </c>
    </row>
    <row r="66" spans="1:37">
      <c r="A66">
        <v>2019</v>
      </c>
      <c r="B66" t="s">
        <v>102</v>
      </c>
      <c r="C66">
        <v>12</v>
      </c>
      <c r="D66">
        <v>5</v>
      </c>
      <c r="E66" s="105">
        <f>'mass filt'!V75</f>
        <v>487.01428571428562</v>
      </c>
      <c r="F66">
        <v>0.5</v>
      </c>
      <c r="G66" t="str">
        <f>'sample processing comments'!H65</f>
        <v>FSW carboy 6, IN2019_V02</v>
      </c>
      <c r="H66" s="112">
        <f t="shared" si="29"/>
        <v>19</v>
      </c>
      <c r="I66" s="105">
        <f t="shared" si="34"/>
        <v>51.264661654135331</v>
      </c>
      <c r="J66" s="105">
        <f t="shared" si="35"/>
        <v>18.724417669172929</v>
      </c>
      <c r="L66">
        <v>1</v>
      </c>
      <c r="M66" s="105">
        <f>'CHN raw data'!C72</f>
        <v>12.684090614318848</v>
      </c>
      <c r="N66" s="105">
        <f>'CHN raw data'!D72</f>
        <v>0.58013284206390381</v>
      </c>
      <c r="O66" s="105">
        <f>'CHN raw data'!E72</f>
        <v>0.51281875371932983</v>
      </c>
      <c r="Q66" s="285" t="s">
        <v>1573</v>
      </c>
      <c r="R66" s="285">
        <f>AVERAGE(pH_Sal!D56,pH_Sal!G56)</f>
        <v>39.935000000000002</v>
      </c>
      <c r="S66" s="286">
        <f>AVERAGE(pH_Sal!I56,pH_Sal!L56)</f>
        <v>8.6240000000000006</v>
      </c>
      <c r="T66" s="67">
        <f>'Traps and Logs'!Q116</f>
        <v>43759</v>
      </c>
      <c r="U66" s="67">
        <f>'Traps and Logs'!Q117</f>
        <v>43778</v>
      </c>
      <c r="V66" s="170">
        <f t="shared" si="32"/>
        <v>43768.5</v>
      </c>
      <c r="W66" s="112">
        <f t="shared" si="24"/>
        <v>228</v>
      </c>
      <c r="X66">
        <f t="shared" si="33"/>
        <v>209</v>
      </c>
      <c r="AB66">
        <f>'BSi raw data_and calculations'!R72</f>
        <v>4.4600336487826038</v>
      </c>
      <c r="AC66">
        <f>'BSi raw data_and calculations'!S72</f>
        <v>9.5408836580757086</v>
      </c>
      <c r="AF66" s="105">
        <f>'PIC data'!AF61</f>
        <v>74.148657870026213</v>
      </c>
      <c r="AG66" s="88">
        <f t="shared" si="25"/>
        <v>8.8975218636906011</v>
      </c>
      <c r="AH66" s="514">
        <f t="shared" si="26"/>
        <v>3.7865687506282466</v>
      </c>
      <c r="AI66" s="88">
        <f t="shared" si="27"/>
        <v>96.769489981872397</v>
      </c>
      <c r="AK66" s="88">
        <f t="shared" si="28"/>
        <v>8.6134487787980589</v>
      </c>
    </row>
    <row r="67" spans="1:37">
      <c r="A67">
        <v>2019</v>
      </c>
      <c r="B67" t="s">
        <v>102</v>
      </c>
      <c r="C67" s="66">
        <v>13</v>
      </c>
      <c r="D67">
        <v>5</v>
      </c>
      <c r="E67" s="105">
        <f>'mass filt'!V76</f>
        <v>820.12857142857138</v>
      </c>
      <c r="F67">
        <v>0.5</v>
      </c>
      <c r="G67" t="str">
        <f>'sample processing comments'!H66</f>
        <v>FSW carboy 6, IN2019_V02</v>
      </c>
      <c r="H67" s="112">
        <f t="shared" si="29"/>
        <v>19</v>
      </c>
      <c r="I67" s="105">
        <f t="shared" si="34"/>
        <v>86.329323308270673</v>
      </c>
      <c r="J67" s="105">
        <f t="shared" si="35"/>
        <v>31.531785338345866</v>
      </c>
      <c r="L67">
        <v>1</v>
      </c>
      <c r="M67" s="105">
        <f>'CHN raw data'!C73</f>
        <v>12.727865219116211</v>
      </c>
      <c r="N67" s="105">
        <f>'CHN raw data'!D73</f>
        <v>0.51121759414672852</v>
      </c>
      <c r="O67" s="105">
        <f>'CHN raw data'!E73</f>
        <v>0.46044337749481201</v>
      </c>
      <c r="R67">
        <f>pH_Sal!D57</f>
        <v>39.78</v>
      </c>
      <c r="S67" s="105">
        <f>pH_Sal!I57</f>
        <v>8.5790000000000006</v>
      </c>
      <c r="T67" s="67">
        <f>'Traps and Logs'!Q117</f>
        <v>43778</v>
      </c>
      <c r="U67" s="67">
        <f>'Traps and Logs'!Q118</f>
        <v>43797</v>
      </c>
      <c r="V67" s="170">
        <f t="shared" si="32"/>
        <v>43787.5</v>
      </c>
      <c r="W67" s="112">
        <f t="shared" si="24"/>
        <v>247</v>
      </c>
      <c r="X67">
        <f t="shared" si="33"/>
        <v>228</v>
      </c>
      <c r="AB67">
        <f>'BSi raw data_and calculations'!R73</f>
        <v>4.1708679035596736</v>
      </c>
      <c r="AC67">
        <f>'BSi raw data_and calculations'!S73</f>
        <v>8.9223016135600126</v>
      </c>
      <c r="AF67" s="105">
        <f>'PIC data'!AF62</f>
        <v>76.352800719828323</v>
      </c>
      <c r="AG67" s="88">
        <f t="shared" si="25"/>
        <v>9.1620095801262522</v>
      </c>
      <c r="AH67" s="514">
        <f t="shared" si="26"/>
        <v>3.5658556389899587</v>
      </c>
      <c r="AI67" s="88">
        <f t="shared" si="27"/>
        <v>97.801437916657846</v>
      </c>
      <c r="AK67" s="88">
        <f t="shared" si="28"/>
        <v>9.0340534148421181</v>
      </c>
    </row>
    <row r="68" spans="1:37">
      <c r="A68">
        <v>2019</v>
      </c>
      <c r="B68" t="s">
        <v>102</v>
      </c>
      <c r="C68">
        <v>14</v>
      </c>
      <c r="D68">
        <v>5</v>
      </c>
      <c r="E68" s="105">
        <f>'mass filt'!V78</f>
        <v>692.14285714285711</v>
      </c>
      <c r="F68">
        <v>0.5</v>
      </c>
      <c r="G68" t="str">
        <f>'sample processing comments'!H67</f>
        <v>FSW carboy 6, IN2019_V02</v>
      </c>
      <c r="H68" s="112">
        <f t="shared" si="29"/>
        <v>19</v>
      </c>
      <c r="I68" s="105">
        <f t="shared" si="34"/>
        <v>72.857142857142847</v>
      </c>
      <c r="J68" s="105">
        <f t="shared" si="35"/>
        <v>26.611071428571428</v>
      </c>
      <c r="L68">
        <v>1</v>
      </c>
      <c r="M68" s="105">
        <f>'CHN raw data'!C75</f>
        <v>12.496432304382324</v>
      </c>
      <c r="N68" s="105">
        <f>'CHN raw data'!D75</f>
        <v>0.52426040172576904</v>
      </c>
      <c r="O68" s="105">
        <f>'CHN raw data'!E75</f>
        <v>0.4789680540561676</v>
      </c>
      <c r="R68">
        <f>pH_Sal!D58</f>
        <v>39.82</v>
      </c>
      <c r="S68" s="105">
        <f>pH_Sal!I58</f>
        <v>8.5860000000000003</v>
      </c>
      <c r="T68" s="67">
        <f>'Traps and Logs'!Q118</f>
        <v>43797</v>
      </c>
      <c r="U68" s="67">
        <f>'Traps and Logs'!Q119</f>
        <v>43816</v>
      </c>
      <c r="V68" s="170">
        <f t="shared" si="32"/>
        <v>43806.5</v>
      </c>
      <c r="W68" s="112">
        <f t="shared" si="24"/>
        <v>266</v>
      </c>
      <c r="X68">
        <f t="shared" si="33"/>
        <v>247</v>
      </c>
      <c r="AB68">
        <f>'BSi raw data_and calculations'!R74</f>
        <v>4.5698320920170428</v>
      </c>
      <c r="AC68">
        <f>'BSi raw data_and calculations'!S74</f>
        <v>9.7757639875152762</v>
      </c>
      <c r="AF68" s="105">
        <f>'PIC data'!AF63</f>
        <v>73.351611540718139</v>
      </c>
      <c r="AG68" s="88">
        <f t="shared" si="25"/>
        <v>8.8018797125700257</v>
      </c>
      <c r="AH68" s="514">
        <f t="shared" si="26"/>
        <v>3.6945525918122986</v>
      </c>
      <c r="AI68" s="88">
        <f t="shared" si="27"/>
        <v>96.030725268847149</v>
      </c>
      <c r="AK68" s="88">
        <f t="shared" si="28"/>
        <v>8.9980920764263281</v>
      </c>
    </row>
    <row r="69" spans="1:37">
      <c r="A69">
        <v>2019</v>
      </c>
      <c r="B69" t="s">
        <v>102</v>
      </c>
      <c r="C69">
        <v>15</v>
      </c>
      <c r="D69">
        <v>5</v>
      </c>
      <c r="E69" s="105">
        <f>'mass filt'!V79</f>
        <v>639.51428571428573</v>
      </c>
      <c r="F69">
        <v>0.5</v>
      </c>
      <c r="G69" t="str">
        <f>'sample processing comments'!H68</f>
        <v>FSW carboy 6, IN2019_V02</v>
      </c>
      <c r="H69" s="112">
        <f t="shared" si="29"/>
        <v>19</v>
      </c>
      <c r="I69" s="105">
        <f t="shared" si="34"/>
        <v>67.317293233082708</v>
      </c>
      <c r="J69" s="105">
        <f t="shared" si="35"/>
        <v>24.587641353383461</v>
      </c>
      <c r="L69">
        <v>1</v>
      </c>
      <c r="M69" s="105">
        <f>'CHN raw data'!C78</f>
        <v>11.975069046020508</v>
      </c>
      <c r="N69" s="105">
        <f>'CHN raw data'!D78</f>
        <v>0.44354945421218872</v>
      </c>
      <c r="O69" s="105">
        <f>'CHN raw data'!E78</f>
        <v>0.40796807408332825</v>
      </c>
      <c r="R69">
        <f>pH_Sal!D59</f>
        <v>39.78</v>
      </c>
      <c r="S69" s="105">
        <f>pH_Sal!I59</f>
        <v>8.6010000000000009</v>
      </c>
      <c r="T69" s="67">
        <f>'Traps and Logs'!Q119</f>
        <v>43816</v>
      </c>
      <c r="U69" s="67">
        <f>'Traps and Logs'!Q120</f>
        <v>43835</v>
      </c>
      <c r="V69" s="170">
        <f t="shared" si="32"/>
        <v>43825.5</v>
      </c>
      <c r="W69" s="112">
        <f t="shared" si="24"/>
        <v>285</v>
      </c>
      <c r="X69">
        <f t="shared" si="33"/>
        <v>266</v>
      </c>
      <c r="AB69">
        <f>'BSi raw data_and calculations'!R75</f>
        <v>5.0643975583864114</v>
      </c>
      <c r="AC69">
        <f>'BSi raw data_and calculations'!S75</f>
        <v>10.833736179545729</v>
      </c>
      <c r="AF69" s="105">
        <f>'PIC data'!AF64</f>
        <v>73.973918949949208</v>
      </c>
      <c r="AG69" s="88">
        <f t="shared" si="25"/>
        <v>8.8765539405145937</v>
      </c>
      <c r="AH69" s="514">
        <f t="shared" si="26"/>
        <v>3.0985151055059141</v>
      </c>
      <c r="AI69" s="88">
        <f t="shared" si="27"/>
        <v>96.516099341357986</v>
      </c>
      <c r="AK69" s="88">
        <f t="shared" si="28"/>
        <v>8.8597724390174957</v>
      </c>
    </row>
    <row r="70" spans="1:37">
      <c r="A70">
        <v>2019</v>
      </c>
      <c r="B70" t="s">
        <v>102</v>
      </c>
      <c r="C70">
        <v>16</v>
      </c>
      <c r="D70">
        <v>50</v>
      </c>
      <c r="E70" s="105">
        <f>'mass filt'!V80</f>
        <v>1350.5285714285715</v>
      </c>
      <c r="F70">
        <v>0.5</v>
      </c>
      <c r="G70" t="str">
        <f>'sample processing comments'!H69</f>
        <v>FSW carboy 6, IN2019_V02</v>
      </c>
      <c r="H70" s="112">
        <f t="shared" si="29"/>
        <v>19</v>
      </c>
      <c r="I70" s="105">
        <f t="shared" si="34"/>
        <v>142.16090225563912</v>
      </c>
      <c r="J70" s="105">
        <f t="shared" si="35"/>
        <v>51.924269548872182</v>
      </c>
      <c r="L70">
        <v>1</v>
      </c>
      <c r="M70" s="105">
        <f>AVERAGE('CHN raw data'!C79:C80)</f>
        <v>10.928240299224854</v>
      </c>
      <c r="N70" s="105">
        <f>AVERAGE('CHN raw data'!D79:D80)</f>
        <v>0.67738410830497742</v>
      </c>
      <c r="O70" s="105">
        <f>AVERAGE('CHN raw data'!E79:E80)</f>
        <v>0.49730692803859711</v>
      </c>
      <c r="R70">
        <f>pH_Sal!D60</f>
        <v>39.19</v>
      </c>
      <c r="S70" s="105">
        <f>pH_Sal!I60</f>
        <v>8.532</v>
      </c>
      <c r="T70" s="67">
        <f>'Traps and Logs'!Q120</f>
        <v>43835</v>
      </c>
      <c r="U70" s="67">
        <f>'Traps and Logs'!Q121</f>
        <v>43854</v>
      </c>
      <c r="V70" s="170">
        <f t="shared" si="32"/>
        <v>43844.5</v>
      </c>
      <c r="W70" s="112">
        <f t="shared" si="24"/>
        <v>304</v>
      </c>
      <c r="X70">
        <f t="shared" si="33"/>
        <v>285</v>
      </c>
      <c r="AB70">
        <f>AVERAGE('BSi raw data_and calculations'!R76:R77)</f>
        <v>10.387694920487846</v>
      </c>
      <c r="AC70">
        <f>AVERAGE('BSi raw data_and calculations'!S76:S77)</f>
        <v>22.221309639448723</v>
      </c>
      <c r="AF70" s="105">
        <f>'PIC data'!AF65</f>
        <v>59.6972176372512</v>
      </c>
      <c r="AG70" s="88">
        <f t="shared" si="25"/>
        <v>7.1634108342189329</v>
      </c>
      <c r="AH70" s="514">
        <f t="shared" si="26"/>
        <v>3.7648294650059206</v>
      </c>
      <c r="AI70" s="88">
        <f t="shared" si="27"/>
        <v>96.345496160052306</v>
      </c>
      <c r="AK70" s="88">
        <f t="shared" si="28"/>
        <v>8.8311228685841563</v>
      </c>
    </row>
    <row r="71" spans="1:37">
      <c r="A71">
        <v>2019</v>
      </c>
      <c r="B71" t="s">
        <v>102</v>
      </c>
      <c r="C71">
        <v>17</v>
      </c>
      <c r="D71">
        <v>30</v>
      </c>
      <c r="E71" s="105">
        <f>'mass filt'!V82</f>
        <v>801.0428571428572</v>
      </c>
      <c r="F71">
        <v>0.5</v>
      </c>
      <c r="G71" t="str">
        <f>'sample processing comments'!H70</f>
        <v>FSW carboy 6, IN2019_V02</v>
      </c>
      <c r="H71" s="112">
        <f t="shared" si="29"/>
        <v>19</v>
      </c>
      <c r="I71" s="105">
        <f t="shared" si="34"/>
        <v>84.320300751879699</v>
      </c>
      <c r="J71" s="105">
        <f t="shared" si="35"/>
        <v>30.797989849624066</v>
      </c>
      <c r="L71">
        <v>1</v>
      </c>
      <c r="M71" s="105">
        <f>'CHN raw data'!C82</f>
        <v>12.625073432922363</v>
      </c>
      <c r="N71" s="105">
        <f>'CHN raw data'!D82</f>
        <v>0.93483561277389526</v>
      </c>
      <c r="O71" s="105">
        <f>'CHN raw data'!E82</f>
        <v>0.73102074861526489</v>
      </c>
      <c r="R71">
        <f>pH_Sal!D61</f>
        <v>39.54</v>
      </c>
      <c r="S71" s="105">
        <f>pH_Sal!I61</f>
        <v>8.5739999999999998</v>
      </c>
      <c r="T71" s="67">
        <f>'Traps and Logs'!Q121</f>
        <v>43854</v>
      </c>
      <c r="U71" s="67">
        <f>'Traps and Logs'!Q122</f>
        <v>43873</v>
      </c>
      <c r="V71" s="170">
        <f t="shared" si="32"/>
        <v>43863.5</v>
      </c>
      <c r="W71" s="112">
        <f t="shared" si="24"/>
        <v>323</v>
      </c>
      <c r="X71">
        <f t="shared" si="33"/>
        <v>304</v>
      </c>
      <c r="AB71">
        <f>'BSi raw data_and calculations'!R78</f>
        <v>8.3547865833080248</v>
      </c>
      <c r="AC71">
        <f>'BSi raw data_and calculations'!S78</f>
        <v>17.872521388073306</v>
      </c>
      <c r="AF71" s="105">
        <f>'PIC data'!AF66</f>
        <v>60.463457194895284</v>
      </c>
      <c r="AG71" s="88">
        <f t="shared" si="25"/>
        <v>7.2553563044783322</v>
      </c>
      <c r="AH71" s="514">
        <f t="shared" si="26"/>
        <v>5.369717128444031</v>
      </c>
      <c r="AI71" s="88">
        <f t="shared" si="27"/>
        <v>95.815333618233524</v>
      </c>
      <c r="AK71" s="88">
        <f t="shared" si="28"/>
        <v>8.5687373743933719</v>
      </c>
    </row>
    <row r="72" spans="1:37">
      <c r="A72">
        <v>2019</v>
      </c>
      <c r="B72" t="s">
        <v>102</v>
      </c>
      <c r="C72">
        <v>18</v>
      </c>
      <c r="D72">
        <v>25</v>
      </c>
      <c r="E72" s="105">
        <f>'mass filt'!V84</f>
        <v>649.40000000000009</v>
      </c>
      <c r="F72">
        <v>0.5</v>
      </c>
      <c r="G72" t="str">
        <f>'sample processing comments'!H71</f>
        <v>FSW carboy 6, IN2019_V02</v>
      </c>
      <c r="H72" s="112">
        <f t="shared" si="29"/>
        <v>19</v>
      </c>
      <c r="I72" s="105">
        <f t="shared" si="34"/>
        <v>68.357894736842113</v>
      </c>
      <c r="J72" s="105">
        <f t="shared" si="35"/>
        <v>24.967721052631582</v>
      </c>
      <c r="L72">
        <v>1</v>
      </c>
      <c r="M72" s="105">
        <f>'CHN raw data'!C83</f>
        <v>12.991854667663574</v>
      </c>
      <c r="N72" s="105">
        <f>'CHN raw data'!D83</f>
        <v>0.86977273225784302</v>
      </c>
      <c r="O72" s="105">
        <f>'CHN raw data'!E83</f>
        <v>0.78967905044555664</v>
      </c>
      <c r="R72">
        <f>pH_Sal!D62</f>
        <v>39.32</v>
      </c>
      <c r="S72" s="105">
        <f>pH_Sal!I62</f>
        <v>8.5380000000000003</v>
      </c>
      <c r="T72" s="67">
        <f>'Traps and Logs'!Q122</f>
        <v>43873</v>
      </c>
      <c r="U72" s="67">
        <f>'Traps and Logs'!Q123</f>
        <v>43892</v>
      </c>
      <c r="V72" s="170">
        <f t="shared" si="32"/>
        <v>43882.5</v>
      </c>
      <c r="W72" s="112">
        <f t="shared" si="24"/>
        <v>342</v>
      </c>
      <c r="X72">
        <f t="shared" si="33"/>
        <v>323</v>
      </c>
      <c r="AB72">
        <f>'BSi raw data_and calculations'!R79</f>
        <v>6.8789247337390655</v>
      </c>
      <c r="AC72">
        <f>'BSi raw data_and calculations'!S79</f>
        <v>14.715364444655767</v>
      </c>
      <c r="AF72" s="105">
        <f>'PIC data'!AF67</f>
        <v>63.798144809911996</v>
      </c>
      <c r="AG72" s="88">
        <f t="shared" si="25"/>
        <v>7.6555045582093468</v>
      </c>
      <c r="AH72" s="514">
        <f t="shared" si="26"/>
        <v>5.3363501094542274</v>
      </c>
      <c r="AI72" s="88">
        <f t="shared" si="27"/>
        <v>95.572169584279195</v>
      </c>
      <c r="AK72" s="88">
        <f t="shared" si="28"/>
        <v>7.8829509890535761</v>
      </c>
    </row>
    <row r="73" spans="1:37">
      <c r="A73">
        <v>2019</v>
      </c>
      <c r="B73" t="s">
        <v>102</v>
      </c>
      <c r="C73">
        <v>19</v>
      </c>
      <c r="D73">
        <v>20</v>
      </c>
      <c r="E73" s="105">
        <f>'mass filt'!V86</f>
        <v>869.64285714285711</v>
      </c>
      <c r="F73">
        <v>0.5</v>
      </c>
      <c r="G73" t="str">
        <f>'sample processing comments'!H72</f>
        <v>FSW carboy 6, IN2019_V02</v>
      </c>
      <c r="H73" s="112">
        <f t="shared" si="29"/>
        <v>19</v>
      </c>
      <c r="I73" s="105">
        <f t="shared" si="34"/>
        <v>91.541353383458642</v>
      </c>
      <c r="J73" s="105">
        <f t="shared" si="35"/>
        <v>33.435479323308272</v>
      </c>
      <c r="L73">
        <v>1</v>
      </c>
      <c r="M73" s="105">
        <f>'CHN raw data'!C84</f>
        <v>13.750542640686035</v>
      </c>
      <c r="N73" s="105">
        <f>'CHN raw data'!D84</f>
        <v>0.91507226228713989</v>
      </c>
      <c r="O73" s="105">
        <f>'CHN raw data'!E84</f>
        <v>0.86416906118392944</v>
      </c>
      <c r="R73">
        <f>pH_Sal!D63</f>
        <v>38.68</v>
      </c>
      <c r="S73" s="105">
        <f>pH_Sal!I63</f>
        <v>8.49</v>
      </c>
      <c r="T73" s="67">
        <f>'Traps and Logs'!Q123</f>
        <v>43892</v>
      </c>
      <c r="U73" s="67">
        <f>'Traps and Logs'!Q124</f>
        <v>43911</v>
      </c>
      <c r="V73" s="170">
        <f t="shared" si="32"/>
        <v>43901.5</v>
      </c>
      <c r="W73" s="112">
        <f t="shared" si="24"/>
        <v>361</v>
      </c>
      <c r="X73">
        <f t="shared" si="33"/>
        <v>342</v>
      </c>
      <c r="AB73">
        <f>'BSi raw data_and calculations'!R80</f>
        <v>6.0026564819396357</v>
      </c>
      <c r="AC73">
        <f>'BSi raw data_and calculations'!S80</f>
        <v>12.840855393369621</v>
      </c>
      <c r="AF73" s="105">
        <f>'PIC data'!AF68</f>
        <v>64.333736948139091</v>
      </c>
      <c r="AG73" s="88">
        <f t="shared" si="25"/>
        <v>7.7197733244525555</v>
      </c>
      <c r="AH73" s="514">
        <f t="shared" si="26"/>
        <v>6.0307693162334797</v>
      </c>
      <c r="AI73" s="88">
        <f t="shared" si="27"/>
        <v>95.554778930493029</v>
      </c>
      <c r="AK73" s="88">
        <f t="shared" si="28"/>
        <v>8.1408383407554439</v>
      </c>
    </row>
    <row r="74" spans="1:37">
      <c r="A74">
        <v>2019</v>
      </c>
      <c r="B74" t="s">
        <v>102</v>
      </c>
      <c r="C74">
        <v>20</v>
      </c>
      <c r="D74">
        <v>10</v>
      </c>
      <c r="E74" s="105">
        <f>'mass filt'!V88</f>
        <v>712.12857142857149</v>
      </c>
      <c r="F74">
        <v>0.5</v>
      </c>
      <c r="G74" t="str">
        <f>'sample processing comments'!H73</f>
        <v>FSW carboy 6, IN2019_V02</v>
      </c>
      <c r="H74" s="112">
        <f t="shared" si="29"/>
        <v>19</v>
      </c>
      <c r="I74" s="105">
        <f t="shared" si="34"/>
        <v>74.960902255639098</v>
      </c>
      <c r="J74" s="105">
        <f t="shared" si="35"/>
        <v>27.379469548872187</v>
      </c>
      <c r="L74">
        <v>1</v>
      </c>
      <c r="M74" s="105">
        <f>'CHN raw data'!C85</f>
        <v>14.902951240539551</v>
      </c>
      <c r="N74" s="105">
        <f>'CHN raw data'!D85</f>
        <v>1.0873950719833374</v>
      </c>
      <c r="O74" s="105">
        <f>'CHN raw data'!E85</f>
        <v>1.0282250642776489</v>
      </c>
      <c r="R74">
        <f>pH_Sal!D64</f>
        <v>39.31</v>
      </c>
      <c r="S74" s="105">
        <f>pH_Sal!I64</f>
        <v>8.5730000000000004</v>
      </c>
      <c r="T74" s="67">
        <f>'Traps and Logs'!Q124</f>
        <v>43911</v>
      </c>
      <c r="U74" s="67">
        <f>'Traps and Logs'!Q125</f>
        <v>43930</v>
      </c>
      <c r="V74" s="170">
        <f t="shared" si="32"/>
        <v>43920.5</v>
      </c>
      <c r="W74" s="112">
        <f t="shared" si="24"/>
        <v>380</v>
      </c>
      <c r="X74">
        <f t="shared" si="33"/>
        <v>361</v>
      </c>
      <c r="AB74">
        <f>'BSi raw data_and calculations'!R81</f>
        <v>5.2626009753707041</v>
      </c>
      <c r="AC74">
        <f>'BSi raw data_and calculations'!S81</f>
        <v>11.257732025988808</v>
      </c>
      <c r="AF74" s="105">
        <f>'PIC data'!AF69</f>
        <v>64.11796304682818</v>
      </c>
      <c r="AG74" s="88">
        <f t="shared" si="25"/>
        <v>7.6938813790057088</v>
      </c>
      <c r="AH74" s="514">
        <f t="shared" si="26"/>
        <v>7.209069861533842</v>
      </c>
      <c r="AI74" s="88">
        <f t="shared" si="27"/>
        <v>96.173999291050222</v>
      </c>
      <c r="AK74" s="88">
        <f t="shared" si="28"/>
        <v>8.1787357372153622</v>
      </c>
    </row>
    <row r="75" spans="1:37">
      <c r="A75">
        <v>2019</v>
      </c>
      <c r="B75" t="s">
        <v>102</v>
      </c>
      <c r="C75">
        <v>21</v>
      </c>
      <c r="D75">
        <v>8</v>
      </c>
      <c r="E75" s="105">
        <f>'mass filt'!V90</f>
        <v>424.35714285714289</v>
      </c>
      <c r="F75">
        <v>0.5</v>
      </c>
      <c r="G75" t="str">
        <f>'sample processing comments'!H74</f>
        <v>FSW carboy 6, IN2019_V02 + FSW carboy 4, IN2019_V02</v>
      </c>
      <c r="H75" s="112">
        <f t="shared" si="29"/>
        <v>19</v>
      </c>
      <c r="I75" s="105">
        <f t="shared" si="34"/>
        <v>44.669172932330831</v>
      </c>
      <c r="J75" s="105">
        <f t="shared" si="35"/>
        <v>16.315415413533838</v>
      </c>
      <c r="L75">
        <v>1</v>
      </c>
      <c r="M75" s="105">
        <f>'CHN raw data'!C86</f>
        <v>16.612541198730469</v>
      </c>
      <c r="N75" s="105">
        <f>'CHN raw data'!D86</f>
        <v>1.3354026079177856</v>
      </c>
      <c r="O75" s="105">
        <f>'CHN raw data'!E86</f>
        <v>1.3026413917541504</v>
      </c>
      <c r="R75">
        <f>pH_Sal!D65</f>
        <v>39.729999999999997</v>
      </c>
      <c r="S75" s="105">
        <f>pH_Sal!I65</f>
        <v>8.57</v>
      </c>
      <c r="T75" s="67">
        <f>'Traps and Logs'!Q125</f>
        <v>43930</v>
      </c>
      <c r="U75" s="67">
        <f>'Traps and Logs'!Q126</f>
        <v>43949</v>
      </c>
      <c r="V75" s="170">
        <f t="shared" si="32"/>
        <v>43939.5</v>
      </c>
      <c r="W75" s="112">
        <f t="shared" si="24"/>
        <v>399</v>
      </c>
      <c r="X75">
        <f t="shared" si="33"/>
        <v>380</v>
      </c>
      <c r="AB75">
        <f>'BSi raw data_and calculations'!R82</f>
        <v>4.3070993226785186</v>
      </c>
      <c r="AC75">
        <f>'BSi raw data_and calculations'!S82</f>
        <v>9.2137272445622003</v>
      </c>
      <c r="AF75" s="105">
        <f>'PIC data'!AF70</f>
        <v>63.58933902390369</v>
      </c>
      <c r="AG75" s="88">
        <f t="shared" si="25"/>
        <v>7.6304487568011723</v>
      </c>
      <c r="AH75" s="514">
        <f t="shared" si="26"/>
        <v>8.9820924419292965</v>
      </c>
      <c r="AI75" s="88">
        <f t="shared" si="27"/>
        <v>97.277179637612178</v>
      </c>
      <c r="AK75" s="88">
        <f t="shared" si="28"/>
        <v>8.0435501598004535</v>
      </c>
    </row>
    <row r="76" spans="1:37">
      <c r="A76" s="76" t="s">
        <v>221</v>
      </c>
      <c r="T76" s="67"/>
      <c r="U76" s="67"/>
    </row>
    <row r="77" spans="1:37">
      <c r="T77" s="67"/>
      <c r="U77" s="67"/>
    </row>
    <row r="79" spans="1:37">
      <c r="A79" s="172"/>
      <c r="B79" s="172" t="s">
        <v>1324</v>
      </c>
      <c r="C79" s="37"/>
      <c r="D79" s="173" t="s">
        <v>1325</v>
      </c>
      <c r="E79" s="174"/>
      <c r="F79" s="175"/>
      <c r="G79" s="113"/>
      <c r="H79" s="175"/>
      <c r="I79" s="175"/>
      <c r="J79" s="175"/>
    </row>
    <row r="80" spans="1:37">
      <c r="A80" s="176" t="s">
        <v>98</v>
      </c>
      <c r="B80" s="37"/>
      <c r="C80" s="37"/>
      <c r="D80" s="173">
        <f>COUNT(F7:F27)</f>
        <v>21</v>
      </c>
      <c r="E80" s="174"/>
      <c r="F80" s="147"/>
      <c r="G80" s="113"/>
      <c r="H80" s="147"/>
      <c r="I80" s="175"/>
      <c r="J80" s="175"/>
    </row>
    <row r="81" spans="1:10">
      <c r="A81" s="176" t="s">
        <v>101</v>
      </c>
      <c r="B81" s="37"/>
      <c r="C81" s="37"/>
      <c r="D81" s="173">
        <f>COUNT(F31:F51)</f>
        <v>21</v>
      </c>
      <c r="E81" s="174"/>
      <c r="F81" s="147"/>
      <c r="G81" s="113"/>
      <c r="H81" s="147"/>
      <c r="I81" s="175"/>
      <c r="J81" s="175"/>
    </row>
    <row r="82" spans="1:10">
      <c r="A82" s="176" t="s">
        <v>102</v>
      </c>
      <c r="B82" s="37"/>
      <c r="C82" s="37"/>
      <c r="D82" s="173">
        <f>COUNT(F55:F75)</f>
        <v>21</v>
      </c>
      <c r="E82" s="174"/>
      <c r="F82" s="147"/>
      <c r="G82" s="113"/>
      <c r="H82" s="147"/>
      <c r="I82" s="175"/>
      <c r="J82" s="175"/>
    </row>
    <row r="83" spans="1:10">
      <c r="A83" s="172" t="s">
        <v>1326</v>
      </c>
      <c r="B83" s="37"/>
      <c r="C83" s="37"/>
      <c r="D83" s="144">
        <f>SUM(D80:D82)</f>
        <v>63</v>
      </c>
      <c r="E83" s="174"/>
      <c r="F83" s="175"/>
      <c r="G83" s="113"/>
      <c r="H83" s="175"/>
      <c r="I83" s="175"/>
      <c r="J83" s="147"/>
    </row>
    <row r="84" spans="1:10">
      <c r="A84" s="172" t="s">
        <v>1327</v>
      </c>
      <c r="B84" s="37"/>
      <c r="C84" s="37"/>
      <c r="D84" s="144">
        <f>SUM(D80:D82)</f>
        <v>63</v>
      </c>
      <c r="E84" s="174"/>
      <c r="F84" s="175"/>
      <c r="G84" s="113"/>
      <c r="H84" s="175"/>
      <c r="I84" s="175"/>
      <c r="J84" s="147"/>
    </row>
    <row r="85" spans="1:10">
      <c r="A85" s="37"/>
      <c r="B85" s="37"/>
      <c r="C85" s="37"/>
      <c r="D85" s="144" t="s">
        <v>190</v>
      </c>
      <c r="E85" s="108" t="s">
        <v>1328</v>
      </c>
      <c r="F85" s="176" t="s">
        <v>45</v>
      </c>
      <c r="G85" s="113"/>
      <c r="H85" s="176"/>
      <c r="I85" s="175"/>
      <c r="J85" s="175"/>
    </row>
    <row r="86" spans="1:10">
      <c r="A86" s="37" t="s">
        <v>1329</v>
      </c>
      <c r="B86" s="37"/>
      <c r="C86" s="176"/>
      <c r="D86" s="144">
        <f>F86-E86</f>
        <v>63</v>
      </c>
      <c r="E86" s="176">
        <v>0</v>
      </c>
      <c r="F86" s="177">
        <f>COUNT(F7:F75)</f>
        <v>63</v>
      </c>
      <c r="G86" s="113"/>
      <c r="H86" s="144"/>
      <c r="I86" s="175"/>
      <c r="J86" s="175"/>
    </row>
    <row r="87" spans="1:10">
      <c r="A87" s="147"/>
      <c r="B87" s="147"/>
      <c r="C87" s="175"/>
      <c r="D87" s="178"/>
      <c r="E87" s="174"/>
      <c r="F87" s="178"/>
      <c r="G87" s="113"/>
      <c r="H87" s="178"/>
      <c r="I87" s="175"/>
      <c r="J87" s="175"/>
    </row>
    <row r="88" spans="1:10">
      <c r="A88" s="147"/>
      <c r="B88" s="147"/>
      <c r="C88" s="147"/>
      <c r="D88" s="178"/>
      <c r="E88" s="108" t="s">
        <v>1330</v>
      </c>
      <c r="F88" s="176" t="s">
        <v>150</v>
      </c>
      <c r="G88" s="113"/>
      <c r="H88" s="37" t="s">
        <v>1331</v>
      </c>
      <c r="I88" s="176" t="s">
        <v>1332</v>
      </c>
      <c r="J88" s="37" t="s">
        <v>1331</v>
      </c>
    </row>
    <row r="89" spans="1:10">
      <c r="A89" s="147"/>
      <c r="B89" s="147"/>
      <c r="C89" s="147"/>
      <c r="D89" s="178"/>
      <c r="E89" s="108" t="s">
        <v>1333</v>
      </c>
      <c r="F89" s="176" t="s">
        <v>202</v>
      </c>
      <c r="G89" s="113"/>
      <c r="H89" s="37" t="s">
        <v>203</v>
      </c>
      <c r="I89" s="176" t="s">
        <v>205</v>
      </c>
      <c r="J89" s="176" t="s">
        <v>1334</v>
      </c>
    </row>
    <row r="90" spans="1:10">
      <c r="A90" s="176" t="s">
        <v>98</v>
      </c>
      <c r="B90" s="147"/>
      <c r="C90" s="147"/>
      <c r="D90" s="178"/>
      <c r="E90" s="108">
        <f>SUM(E7:E27)</f>
        <v>11394.657142857146</v>
      </c>
      <c r="F90" s="172">
        <v>0.5</v>
      </c>
      <c r="G90" s="113"/>
      <c r="H90" s="176">
        <f>SUM(H7:H27)</f>
        <v>399</v>
      </c>
      <c r="I90" s="176">
        <f>0.001*365.25*E90/F90/H90</f>
        <v>20.861646723952749</v>
      </c>
      <c r="J90" s="176">
        <f>100*H90/365</f>
        <v>109.31506849315069</v>
      </c>
    </row>
    <row r="91" spans="1:10">
      <c r="A91" s="37" t="s">
        <v>101</v>
      </c>
      <c r="B91" s="147"/>
      <c r="C91" s="147"/>
      <c r="D91" s="178"/>
      <c r="E91" s="108">
        <f>SUM(E31:E51)</f>
        <v>8843.1428571428551</v>
      </c>
      <c r="F91" s="172">
        <v>0.5</v>
      </c>
      <c r="G91" s="113"/>
      <c r="H91" s="176">
        <f>SUM(H31:H51)</f>
        <v>399</v>
      </c>
      <c r="I91" s="176">
        <f>0.001*365.25*E91/F91/H91</f>
        <v>16.190265306122445</v>
      </c>
      <c r="J91" s="176">
        <f>100*H91/365</f>
        <v>109.31506849315069</v>
      </c>
    </row>
    <row r="92" spans="1:10">
      <c r="A92" s="176" t="s">
        <v>102</v>
      </c>
      <c r="B92" s="147"/>
      <c r="C92" s="147"/>
      <c r="D92" s="178"/>
      <c r="E92" s="108">
        <f>SUM(E55:E75)</f>
        <v>12228.599999999999</v>
      </c>
      <c r="F92" s="172">
        <v>0.5</v>
      </c>
      <c r="G92" s="113"/>
      <c r="H92" s="176">
        <f>SUM(H55:H75)</f>
        <v>399</v>
      </c>
      <c r="I92" s="176">
        <f>0.001*365.25*E92/F92/H92</f>
        <v>22.388451879699247</v>
      </c>
      <c r="J92" s="176">
        <f>100*H92/365</f>
        <v>109.31506849315069</v>
      </c>
    </row>
    <row r="93" spans="1:10">
      <c r="A93" s="147"/>
      <c r="B93" s="147"/>
      <c r="C93" s="147"/>
      <c r="D93" s="178"/>
      <c r="E93" s="174"/>
      <c r="F93" s="175"/>
      <c r="G93" s="113"/>
      <c r="H93" s="175"/>
      <c r="I93" s="175"/>
      <c r="J93" s="175"/>
    </row>
    <row r="94" spans="1:10">
      <c r="A94" s="147"/>
      <c r="B94" s="147"/>
      <c r="C94" s="147"/>
      <c r="D94" s="178"/>
      <c r="E94" s="174"/>
      <c r="F94" s="176"/>
      <c r="G94" s="172"/>
      <c r="H94" s="176"/>
      <c r="I94" s="176"/>
      <c r="J94" s="179"/>
    </row>
    <row r="95" spans="1:10">
      <c r="A95" s="37"/>
      <c r="B95" s="37"/>
      <c r="C95" s="37"/>
      <c r="D95" s="144"/>
      <c r="E95" s="108" t="s">
        <v>183</v>
      </c>
      <c r="F95" s="176" t="s">
        <v>183</v>
      </c>
      <c r="G95" s="172"/>
      <c r="H95" s="176"/>
      <c r="I95" s="176"/>
      <c r="J95" s="179"/>
    </row>
    <row r="96" spans="1:10">
      <c r="A96" s="37" t="s">
        <v>1336</v>
      </c>
      <c r="B96" s="123"/>
      <c r="C96" s="123"/>
      <c r="D96" s="180"/>
      <c r="E96" s="181" t="s">
        <v>1335</v>
      </c>
      <c r="F96" s="170">
        <v>44078</v>
      </c>
      <c r="G96" s="182"/>
      <c r="H96" s="183"/>
      <c r="I96" s="184"/>
      <c r="J96" s="179"/>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82E26-F858-4CB6-A685-9323E7BD56EE}">
  <dimension ref="A1:BD69"/>
  <sheetViews>
    <sheetView zoomScale="80" zoomScaleNormal="80" workbookViewId="0">
      <pane xSplit="6710" ySplit="1400" activePane="bottomRight"/>
      <selection pane="topRight" activeCell="G1" sqref="G1"/>
      <selection pane="bottomLeft" activeCell="A7" sqref="A7:XFD7"/>
      <selection pane="bottomRight" activeCell="Q68" sqref="Q68"/>
    </sheetView>
  </sheetViews>
  <sheetFormatPr defaultRowHeight="14.5"/>
  <cols>
    <col min="4" max="4" width="28.1796875" customWidth="1"/>
    <col min="6" max="6" width="9.1796875" style="66"/>
    <col min="8" max="8" width="11.1796875" bestFit="1" customWidth="1"/>
    <col min="9" max="9" width="9.1796875" bestFit="1" customWidth="1"/>
    <col min="10" max="10" width="9.54296875" style="66" customWidth="1"/>
    <col min="13" max="13" width="3.7265625" style="66" customWidth="1"/>
    <col min="15" max="15" width="3.7265625" style="66" customWidth="1"/>
    <col min="17" max="17" width="6.453125" style="66" customWidth="1"/>
    <col min="19" max="19" width="3.7265625" style="66" customWidth="1"/>
    <col min="21" max="21" width="3.7265625" style="66" customWidth="1"/>
    <col min="29" max="30" width="10.81640625" bestFit="1" customWidth="1"/>
    <col min="31" max="31" width="25.81640625" bestFit="1" customWidth="1"/>
    <col min="39" max="39" width="9.1796875" style="235"/>
    <col min="42" max="42" width="3.7265625" style="66" customWidth="1"/>
    <col min="44" max="44" width="3.7265625" style="66" customWidth="1"/>
    <col min="46" max="46" width="3.7265625" style="66" customWidth="1"/>
    <col min="48" max="48" width="3.7265625" style="66" customWidth="1"/>
    <col min="50" max="50" width="3.7265625" style="66" customWidth="1"/>
    <col min="54" max="54" width="9.1796875" style="66"/>
    <col min="56" max="56" width="9.1796875" style="66"/>
  </cols>
  <sheetData>
    <row r="1" spans="1:56" s="76" customFormat="1">
      <c r="A1" s="76" t="s">
        <v>1449</v>
      </c>
      <c r="B1" s="76" t="s">
        <v>146</v>
      </c>
      <c r="C1" s="76" t="s">
        <v>147</v>
      </c>
      <c r="D1" s="76" t="s">
        <v>30</v>
      </c>
      <c r="E1" s="76" t="s">
        <v>1346</v>
      </c>
      <c r="F1" s="223" t="s">
        <v>1450</v>
      </c>
      <c r="G1" s="76" t="s">
        <v>1451</v>
      </c>
      <c r="H1" s="76" t="s">
        <v>1452</v>
      </c>
      <c r="I1" s="76" t="s">
        <v>1452</v>
      </c>
      <c r="J1" s="223" t="s">
        <v>154</v>
      </c>
      <c r="K1" s="76" t="s">
        <v>168</v>
      </c>
      <c r="L1" s="76" t="s">
        <v>169</v>
      </c>
      <c r="M1" s="223" t="s">
        <v>1453</v>
      </c>
      <c r="N1" s="76" t="s">
        <v>180</v>
      </c>
      <c r="O1" s="223" t="s">
        <v>1454</v>
      </c>
      <c r="P1" s="76" t="s">
        <v>181</v>
      </c>
      <c r="Q1" s="223" t="s">
        <v>1455</v>
      </c>
      <c r="R1" s="76" t="s">
        <v>170</v>
      </c>
      <c r="S1" s="223" t="s">
        <v>1456</v>
      </c>
      <c r="T1" s="76" t="s">
        <v>185</v>
      </c>
      <c r="U1" s="223" t="s">
        <v>1457</v>
      </c>
      <c r="V1" s="76" t="s">
        <v>186</v>
      </c>
      <c r="W1" s="76" t="s">
        <v>168</v>
      </c>
      <c r="X1" s="76" t="s">
        <v>169</v>
      </c>
      <c r="Y1" s="76" t="s">
        <v>180</v>
      </c>
      <c r="Z1" s="76" t="s">
        <v>181</v>
      </c>
      <c r="AA1" s="76" t="s">
        <v>170</v>
      </c>
      <c r="AB1" s="76" t="s">
        <v>186</v>
      </c>
      <c r="AC1" s="267" t="s">
        <v>152</v>
      </c>
      <c r="AD1" s="267" t="s">
        <v>152</v>
      </c>
      <c r="AE1" s="267" t="s">
        <v>152</v>
      </c>
      <c r="AF1" s="76" t="s">
        <v>152</v>
      </c>
      <c r="AG1" s="76" t="s">
        <v>185</v>
      </c>
      <c r="AH1" s="76" t="s">
        <v>1458</v>
      </c>
      <c r="AI1" s="76" t="s">
        <v>1459</v>
      </c>
      <c r="AJ1" s="76" t="s">
        <v>1460</v>
      </c>
      <c r="AK1" s="76" t="s">
        <v>1461</v>
      </c>
      <c r="AL1" s="76" t="s">
        <v>1462</v>
      </c>
      <c r="AM1" s="268" t="s">
        <v>29</v>
      </c>
      <c r="AO1" s="76" t="s">
        <v>1458</v>
      </c>
      <c r="AP1" s="223" t="s">
        <v>1463</v>
      </c>
      <c r="AQ1" s="76" t="s">
        <v>1459</v>
      </c>
      <c r="AR1" s="223" t="s">
        <v>1464</v>
      </c>
      <c r="AS1" s="76" t="s">
        <v>1460</v>
      </c>
      <c r="AT1" s="223" t="s">
        <v>1465</v>
      </c>
      <c r="AU1" s="76" t="s">
        <v>1461</v>
      </c>
      <c r="AV1" s="223" t="s">
        <v>1466</v>
      </c>
      <c r="AW1" s="76" t="s">
        <v>1462</v>
      </c>
      <c r="AX1" s="223" t="s">
        <v>1467</v>
      </c>
      <c r="AY1" s="76" t="s">
        <v>173</v>
      </c>
      <c r="AZ1" s="76" t="s">
        <v>1468</v>
      </c>
      <c r="BA1" s="76" t="s">
        <v>1469</v>
      </c>
      <c r="BB1" s="223" t="s">
        <v>1470</v>
      </c>
      <c r="BC1" s="76" t="s">
        <v>162</v>
      </c>
      <c r="BD1" s="223" t="s">
        <v>1471</v>
      </c>
    </row>
    <row r="2" spans="1:56">
      <c r="A2" t="s">
        <v>1472</v>
      </c>
      <c r="E2" t="s">
        <v>1473</v>
      </c>
      <c r="H2" t="s">
        <v>1332</v>
      </c>
      <c r="I2" t="s">
        <v>1332</v>
      </c>
      <c r="K2" t="s">
        <v>165</v>
      </c>
      <c r="L2" t="s">
        <v>165</v>
      </c>
      <c r="N2" t="s">
        <v>165</v>
      </c>
      <c r="P2" t="s">
        <v>165</v>
      </c>
      <c r="R2" t="s">
        <v>165</v>
      </c>
      <c r="T2" t="s">
        <v>165</v>
      </c>
      <c r="V2" t="s">
        <v>165</v>
      </c>
      <c r="W2" t="s">
        <v>1332</v>
      </c>
      <c r="X2" t="s">
        <v>1332</v>
      </c>
      <c r="Y2" t="s">
        <v>1332</v>
      </c>
      <c r="Z2" t="s">
        <v>1332</v>
      </c>
      <c r="AA2" t="s">
        <v>1332</v>
      </c>
      <c r="AB2" t="s">
        <v>1332</v>
      </c>
      <c r="AC2" t="s">
        <v>1474</v>
      </c>
      <c r="AD2" t="s">
        <v>1475</v>
      </c>
      <c r="AE2" t="s">
        <v>1476</v>
      </c>
      <c r="AF2" t="s">
        <v>1477</v>
      </c>
      <c r="AG2" t="s">
        <v>1332</v>
      </c>
      <c r="AH2" t="s">
        <v>1478</v>
      </c>
      <c r="AI2" t="s">
        <v>1479</v>
      </c>
      <c r="AJ2" t="s">
        <v>1480</v>
      </c>
      <c r="AK2" t="s">
        <v>1481</v>
      </c>
      <c r="AL2" t="s">
        <v>1482</v>
      </c>
      <c r="AM2" s="235" t="s">
        <v>1483</v>
      </c>
      <c r="AO2" t="s">
        <v>1478</v>
      </c>
      <c r="AQ2" t="s">
        <v>1479</v>
      </c>
      <c r="AS2" t="s">
        <v>1480</v>
      </c>
      <c r="AU2" t="s">
        <v>1481</v>
      </c>
      <c r="AW2" t="s">
        <v>1482</v>
      </c>
    </row>
    <row r="3" spans="1:56">
      <c r="G3" t="s">
        <v>192</v>
      </c>
      <c r="H3" t="s">
        <v>192</v>
      </c>
      <c r="I3" t="s">
        <v>192</v>
      </c>
      <c r="K3" t="s">
        <v>192</v>
      </c>
      <c r="L3" t="s">
        <v>192</v>
      </c>
      <c r="N3" t="s">
        <v>192</v>
      </c>
      <c r="P3" t="s">
        <v>192</v>
      </c>
      <c r="R3" t="s">
        <v>192</v>
      </c>
      <c r="T3" t="s">
        <v>192</v>
      </c>
      <c r="V3" t="s">
        <v>192</v>
      </c>
      <c r="W3" t="s">
        <v>192</v>
      </c>
      <c r="X3" t="s">
        <v>192</v>
      </c>
      <c r="Y3" t="s">
        <v>192</v>
      </c>
      <c r="Z3" t="s">
        <v>192</v>
      </c>
      <c r="AA3" t="s">
        <v>192</v>
      </c>
      <c r="AB3" t="s">
        <v>192</v>
      </c>
      <c r="AE3">
        <v>1</v>
      </c>
      <c r="AG3" t="s">
        <v>192</v>
      </c>
      <c r="AH3" t="s">
        <v>1484</v>
      </c>
      <c r="AI3" t="s">
        <v>1484</v>
      </c>
      <c r="AJ3" t="s">
        <v>1484</v>
      </c>
      <c r="AK3" t="s">
        <v>1484</v>
      </c>
      <c r="AL3" t="s">
        <v>1484</v>
      </c>
      <c r="AM3" s="235" t="s">
        <v>1485</v>
      </c>
      <c r="AO3" t="s">
        <v>1486</v>
      </c>
      <c r="AQ3" t="s">
        <v>1486</v>
      </c>
      <c r="AS3" t="s">
        <v>1486</v>
      </c>
      <c r="AU3" t="s">
        <v>1486</v>
      </c>
      <c r="AW3" t="s">
        <v>1486</v>
      </c>
      <c r="AY3" t="s">
        <v>1487</v>
      </c>
    </row>
    <row r="4" spans="1:56">
      <c r="E4" t="s">
        <v>1488</v>
      </c>
      <c r="G4" t="s">
        <v>201</v>
      </c>
      <c r="H4" t="s">
        <v>204</v>
      </c>
      <c r="I4" t="s">
        <v>205</v>
      </c>
      <c r="K4" t="s">
        <v>210</v>
      </c>
      <c r="L4" t="s">
        <v>210</v>
      </c>
      <c r="N4" t="s">
        <v>210</v>
      </c>
      <c r="P4" t="s">
        <v>210</v>
      </c>
      <c r="R4" t="s">
        <v>210</v>
      </c>
      <c r="T4" t="s">
        <v>210</v>
      </c>
      <c r="V4" t="s">
        <v>210</v>
      </c>
      <c r="W4" t="s">
        <v>205</v>
      </c>
      <c r="X4" t="s">
        <v>205</v>
      </c>
      <c r="Y4" t="s">
        <v>205</v>
      </c>
      <c r="Z4" t="s">
        <v>205</v>
      </c>
      <c r="AA4" t="s">
        <v>205</v>
      </c>
      <c r="AB4" t="s">
        <v>205</v>
      </c>
      <c r="AC4" t="s">
        <v>1349</v>
      </c>
      <c r="AD4" t="s">
        <v>1349</v>
      </c>
      <c r="AE4" t="s">
        <v>1489</v>
      </c>
      <c r="AF4" t="s">
        <v>203</v>
      </c>
      <c r="AG4" t="s">
        <v>205</v>
      </c>
      <c r="AH4" t="s">
        <v>192</v>
      </c>
      <c r="AI4" t="s">
        <v>192</v>
      </c>
      <c r="AJ4" t="s">
        <v>192</v>
      </c>
      <c r="AK4" t="s">
        <v>192</v>
      </c>
      <c r="AL4" t="s">
        <v>192</v>
      </c>
      <c r="AO4" t="s">
        <v>192</v>
      </c>
      <c r="AQ4" t="s">
        <v>192</v>
      </c>
      <c r="AS4" t="s">
        <v>192</v>
      </c>
      <c r="AU4" t="s">
        <v>192</v>
      </c>
      <c r="AW4" t="s">
        <v>192</v>
      </c>
    </row>
    <row r="6" spans="1:56">
      <c r="A6">
        <f>main!A7</f>
        <v>2019</v>
      </c>
      <c r="B6" t="str">
        <f>main!B7</f>
        <v>47_1000</v>
      </c>
      <c r="C6">
        <v>1</v>
      </c>
      <c r="D6" t="str">
        <f>main!$B$6</f>
        <v>McLane-PARFLUX-Mark78H-21 ; controller sn ML11640-01, frame sn 2241, motor sn 11649-01, cup set D250x21</v>
      </c>
      <c r="E6">
        <v>1000</v>
      </c>
      <c r="F6" s="66">
        <v>1</v>
      </c>
      <c r="G6" s="112">
        <f>main!E7</f>
        <v>877.15714285714284</v>
      </c>
      <c r="H6" s="105">
        <f>main!I7</f>
        <v>92.332330827067665</v>
      </c>
      <c r="I6" s="116">
        <f>main!J7</f>
        <v>33.724383834586469</v>
      </c>
      <c r="J6" s="234">
        <v>1</v>
      </c>
      <c r="K6" s="116">
        <f>main!AF7</f>
        <v>59.129763840253617</v>
      </c>
      <c r="L6" s="116">
        <f>main!AG7</f>
        <v>7.0953188051727647</v>
      </c>
      <c r="M6" s="234">
        <v>1</v>
      </c>
      <c r="N6" s="116">
        <f>main!M7</f>
        <v>16.493982315063477</v>
      </c>
      <c r="O6" s="234">
        <v>1</v>
      </c>
      <c r="P6" s="116">
        <f>main!O7</f>
        <v>1.6053479909896851</v>
      </c>
      <c r="Q6" s="234">
        <v>1</v>
      </c>
      <c r="R6" s="116">
        <f>main!AH7</f>
        <v>9.3986635098907119</v>
      </c>
      <c r="S6" s="234">
        <v>1</v>
      </c>
      <c r="T6" s="116">
        <f>main!AB7</f>
        <v>5.664912004871427</v>
      </c>
      <c r="U6" s="234">
        <v>1</v>
      </c>
      <c r="V6" s="116">
        <f>main!AC7</f>
        <v>12.118353947053187</v>
      </c>
      <c r="W6" s="116">
        <f>(K6/100)*$I6</f>
        <v>19.941148517971644</v>
      </c>
      <c r="X6" s="116">
        <f t="shared" ref="X6" si="0">(L6/100)*$I6</f>
        <v>2.3928525481440577</v>
      </c>
      <c r="Y6" s="116">
        <f>(N6/100)*$I6</f>
        <v>5.5624939055408182</v>
      </c>
      <c r="Z6" s="116">
        <f>(P6/100)*$I6</f>
        <v>0.54139371836218397</v>
      </c>
      <c r="AA6" s="116">
        <f>(R6/100)*$I6</f>
        <v>3.1696413573967606</v>
      </c>
      <c r="AB6" s="116">
        <f>(V6/100)*$I6</f>
        <v>4.0868401995379759</v>
      </c>
      <c r="AC6" s="67">
        <f>main!T7</f>
        <v>43550</v>
      </c>
      <c r="AD6" s="67">
        <f>main!U7</f>
        <v>43569</v>
      </c>
      <c r="AE6" s="67">
        <f>main!V7</f>
        <v>43559.5</v>
      </c>
      <c r="AF6" s="112">
        <f>main!H7</f>
        <v>19</v>
      </c>
      <c r="AG6" s="105">
        <f>(T6/100)*$I6</f>
        <v>1.9104566684144078</v>
      </c>
      <c r="AH6" s="105">
        <f>Y6/12.01</f>
        <v>0.46315519613162515</v>
      </c>
      <c r="AI6" s="105">
        <f>Z6/14.01</f>
        <v>3.8643377470534188E-2</v>
      </c>
      <c r="AJ6" s="105">
        <f>AA6/12.01</f>
        <v>0.26391684907550045</v>
      </c>
      <c r="AK6" s="105">
        <f>X6/12.01</f>
        <v>0.1992383470561247</v>
      </c>
      <c r="AL6" s="105">
        <f>AG6/28.09</f>
        <v>6.801198534761152E-2</v>
      </c>
      <c r="AM6" s="236">
        <f>depths!$B$2</f>
        <v>858.95</v>
      </c>
      <c r="AO6" s="116">
        <f>AH6*1000</f>
        <v>463.15519613162513</v>
      </c>
      <c r="AP6" s="234">
        <v>1</v>
      </c>
      <c r="AQ6" s="116">
        <f>AI6*1000</f>
        <v>38.64337747053419</v>
      </c>
      <c r="AR6" s="234">
        <v>1</v>
      </c>
      <c r="AS6" s="116">
        <f>AJ6*1000</f>
        <v>263.91684907550047</v>
      </c>
      <c r="AT6" s="234">
        <v>1</v>
      </c>
      <c r="AU6" s="116">
        <f>AK6*1000</f>
        <v>199.2383470561247</v>
      </c>
      <c r="AV6" s="234">
        <v>1</v>
      </c>
      <c r="AW6" s="116">
        <f>AL6*1000</f>
        <v>68.011985347611514</v>
      </c>
      <c r="AX6" s="234">
        <v>1</v>
      </c>
      <c r="AY6" s="116">
        <f>AS6/AQ6</f>
        <v>6.8295492358745991</v>
      </c>
      <c r="AZ6" s="116">
        <f>AU6/AQ6</f>
        <v>5.1558212583267373</v>
      </c>
      <c r="BA6" s="116">
        <f>main!R7</f>
        <v>39.15</v>
      </c>
      <c r="BB6" s="234">
        <v>1</v>
      </c>
      <c r="BC6" s="116">
        <f>main!S7</f>
        <v>8.2010000000000005</v>
      </c>
      <c r="BD6" s="234">
        <v>1</v>
      </c>
    </row>
    <row r="7" spans="1:56" s="367" customFormat="1">
      <c r="A7" s="367">
        <f>main!A8</f>
        <v>2019</v>
      </c>
      <c r="B7" s="367" t="str">
        <f>main!B8</f>
        <v>47_1000</v>
      </c>
      <c r="C7" s="367">
        <v>2</v>
      </c>
      <c r="D7" s="367" t="str">
        <f>main!$B$6</f>
        <v>McLane-PARFLUX-Mark78H-21 ; controller sn ML11640-01, frame sn 2241, motor sn 11649-01, cup set D250x21</v>
      </c>
      <c r="E7" s="367">
        <v>1000</v>
      </c>
      <c r="F7" s="367">
        <v>1</v>
      </c>
      <c r="G7" s="526">
        <f>main!E8</f>
        <v>537.64285714285722</v>
      </c>
      <c r="H7" s="527">
        <f>main!I8</f>
        <v>56.593984962406026</v>
      </c>
      <c r="I7" s="528">
        <f>main!J8</f>
        <v>20.670953007518801</v>
      </c>
      <c r="J7" s="528">
        <v>1</v>
      </c>
      <c r="K7" s="528">
        <f>main!AF8</f>
        <v>57.583515638982547</v>
      </c>
      <c r="L7" s="528">
        <f>main!AG8</f>
        <v>6.9097756332165385</v>
      </c>
      <c r="M7" s="528">
        <v>1</v>
      </c>
      <c r="N7" s="528">
        <f>main!M8</f>
        <v>15.446144580841064</v>
      </c>
      <c r="O7" s="528">
        <v>1</v>
      </c>
      <c r="P7" s="528">
        <f>main!O8</f>
        <v>1.3850204944610596</v>
      </c>
      <c r="Q7" s="528">
        <v>1</v>
      </c>
      <c r="R7" s="528">
        <f>main!AH8</f>
        <v>8.5363689476245259</v>
      </c>
      <c r="S7" s="528">
        <v>1</v>
      </c>
      <c r="T7" s="528">
        <f>main!AB8</f>
        <v>6.7708039015226298</v>
      </c>
      <c r="U7" s="528">
        <v>3</v>
      </c>
      <c r="V7" s="528">
        <f>main!AC8</f>
        <v>14.484072853061402</v>
      </c>
      <c r="W7" s="528">
        <f t="shared" ref="W7:W26" si="1">(K7/100)*$I7</f>
        <v>11.903061457811322</v>
      </c>
      <c r="X7" s="528">
        <f t="shared" ref="X7:X26" si="2">(L7/100)*$I7</f>
        <v>1.4283164740671754</v>
      </c>
      <c r="Y7" s="528">
        <f t="shared" ref="Y7:Y26" si="3">(N7/100)*$I7</f>
        <v>3.1928652877790684</v>
      </c>
      <c r="Z7" s="528">
        <f t="shared" ref="Z7:Z26" si="4">(P7/100)*$I7</f>
        <v>0.28629693555455016</v>
      </c>
      <c r="AA7" s="528">
        <f t="shared" ref="AA7:AA26" si="5">(R7/100)*$I7</f>
        <v>1.764548813711893</v>
      </c>
      <c r="AB7" s="528">
        <f t="shared" ref="AB7:AB26" si="6">(V7/100)*$I7</f>
        <v>2.9939958930311104</v>
      </c>
      <c r="AC7" s="529">
        <f>main!T8</f>
        <v>43569</v>
      </c>
      <c r="AD7" s="529">
        <f>main!U8</f>
        <v>43588</v>
      </c>
      <c r="AE7" s="529">
        <f>main!V8</f>
        <v>43578.5</v>
      </c>
      <c r="AF7" s="526">
        <f>main!H8</f>
        <v>19</v>
      </c>
      <c r="AG7" s="527">
        <f t="shared" ref="AG7:AG26" si="7">(T7/100)*$I7</f>
        <v>1.3995896927149925</v>
      </c>
      <c r="AH7" s="527">
        <f t="shared" ref="AH7:AH26" si="8">Y7/12.01</f>
        <v>0.26585056517727462</v>
      </c>
      <c r="AI7" s="527">
        <f t="shared" ref="AI7:AI26" si="9">Z7/14.01</f>
        <v>2.0435184550645979E-2</v>
      </c>
      <c r="AJ7" s="527">
        <f t="shared" ref="AJ7:AJ26" si="10">AA7/12.01</f>
        <v>0.14692329839399609</v>
      </c>
      <c r="AK7" s="527">
        <f t="shared" ref="AK7:AK26" si="11">X7/12.01</f>
        <v>0.11892726678327856</v>
      </c>
      <c r="AL7" s="527">
        <f t="shared" ref="AL7:AL26" si="12">AG7/28.09</f>
        <v>4.9825193759878691E-2</v>
      </c>
      <c r="AM7" s="528">
        <f>depths!$B$2</f>
        <v>858.95</v>
      </c>
      <c r="AO7" s="528">
        <f t="shared" ref="AO7:AO26" si="13">AH7*1000</f>
        <v>265.85056517727463</v>
      </c>
      <c r="AP7" s="528">
        <v>1</v>
      </c>
      <c r="AQ7" s="528">
        <f t="shared" ref="AQ7:AQ26" si="14">AI7*1000</f>
        <v>20.435184550645978</v>
      </c>
      <c r="AR7" s="528">
        <v>1</v>
      </c>
      <c r="AS7" s="528">
        <f t="shared" ref="AS7:AS26" si="15">AJ7*1000</f>
        <v>146.92329839399611</v>
      </c>
      <c r="AT7" s="528">
        <v>1</v>
      </c>
      <c r="AU7" s="528">
        <f t="shared" ref="AU7:AU26" si="16">AK7*1000</f>
        <v>118.92726678327855</v>
      </c>
      <c r="AV7" s="528">
        <v>1</v>
      </c>
      <c r="AW7" s="528">
        <f t="shared" ref="AW7:AW26" si="17">AL7*1000</f>
        <v>49.825193759878694</v>
      </c>
      <c r="AX7" s="528">
        <v>3</v>
      </c>
      <c r="AY7" s="528">
        <f t="shared" ref="AY7:AY26" si="18">AS7/AQ7</f>
        <v>7.1897221201925339</v>
      </c>
      <c r="AZ7" s="528">
        <f t="shared" ref="AZ7:AZ26" si="19">AU7/AQ7</f>
        <v>5.8197304990582595</v>
      </c>
      <c r="BA7" s="528">
        <f>main!R8</f>
        <v>39.03</v>
      </c>
      <c r="BB7" s="528">
        <v>1</v>
      </c>
      <c r="BC7" s="528">
        <f>main!S8</f>
        <v>8.3559999999999999</v>
      </c>
      <c r="BD7" s="528">
        <v>1</v>
      </c>
    </row>
    <row r="8" spans="1:56">
      <c r="A8">
        <f>main!A9</f>
        <v>2019</v>
      </c>
      <c r="B8" t="str">
        <f>main!B9</f>
        <v>47_1000</v>
      </c>
      <c r="C8">
        <v>3</v>
      </c>
      <c r="D8" t="str">
        <f>main!$B$6</f>
        <v>McLane-PARFLUX-Mark78H-21 ; controller sn ML11640-01, frame sn 2241, motor sn 11649-01, cup set D250x21</v>
      </c>
      <c r="E8">
        <v>1000</v>
      </c>
      <c r="F8" s="66">
        <v>1</v>
      </c>
      <c r="G8" s="112">
        <f>main!E9</f>
        <v>232.68571428571425</v>
      </c>
      <c r="H8" s="105">
        <f>main!I9</f>
        <v>24.493233082706762</v>
      </c>
      <c r="I8" s="116">
        <f>main!J9</f>
        <v>8.9461533834586451</v>
      </c>
      <c r="J8" s="234">
        <v>1</v>
      </c>
      <c r="K8" s="116">
        <f>main!AF9</f>
        <v>71.776054170038094</v>
      </c>
      <c r="L8" s="116">
        <f>main!AG9</f>
        <v>8.612819565619052</v>
      </c>
      <c r="M8" s="234">
        <v>1</v>
      </c>
      <c r="N8" s="116">
        <f>main!M9</f>
        <v>14.961239814758301</v>
      </c>
      <c r="O8" s="234">
        <v>1</v>
      </c>
      <c r="P8" s="116">
        <f>main!O9</f>
        <v>1.1001783609390259</v>
      </c>
      <c r="Q8" s="234">
        <v>1</v>
      </c>
      <c r="R8" s="116">
        <f>main!AH9</f>
        <v>6.3484202491392487</v>
      </c>
      <c r="S8" s="234">
        <v>1</v>
      </c>
      <c r="T8" s="116">
        <f>main!AB9</f>
        <v>2.4583744291810152</v>
      </c>
      <c r="U8" s="234">
        <v>1</v>
      </c>
      <c r="V8" s="116">
        <f>main!AC9</f>
        <v>5.2589433766282374</v>
      </c>
      <c r="W8" s="116">
        <f t="shared" si="1"/>
        <v>6.4211958986459727</v>
      </c>
      <c r="X8" s="116">
        <f t="shared" si="2"/>
        <v>0.77051604898081705</v>
      </c>
      <c r="Y8" s="116">
        <f t="shared" si="3"/>
        <v>1.3384554618953617</v>
      </c>
      <c r="Z8" s="116">
        <f t="shared" si="4"/>
        <v>9.8423643661226523E-2</v>
      </c>
      <c r="AA8" s="116">
        <f t="shared" si="5"/>
        <v>0.56793941291454464</v>
      </c>
      <c r="AB8" s="116">
        <f t="shared" si="6"/>
        <v>0.47047314082240138</v>
      </c>
      <c r="AC8" s="67">
        <f>main!T9</f>
        <v>43588</v>
      </c>
      <c r="AD8" s="67">
        <f>main!U9</f>
        <v>43607</v>
      </c>
      <c r="AE8" s="67">
        <f>main!V9</f>
        <v>43597.5</v>
      </c>
      <c r="AF8" s="112">
        <f>main!H9</f>
        <v>19</v>
      </c>
      <c r="AG8" s="105">
        <f t="shared" si="7"/>
        <v>0.21992994717425957</v>
      </c>
      <c r="AH8" s="105">
        <f t="shared" si="8"/>
        <v>0.11144508425440147</v>
      </c>
      <c r="AI8" s="105">
        <f t="shared" si="9"/>
        <v>7.0252422313509299E-3</v>
      </c>
      <c r="AJ8" s="105">
        <f t="shared" si="10"/>
        <v>4.7288877012035359E-2</v>
      </c>
      <c r="AK8" s="105">
        <f t="shared" si="11"/>
        <v>6.415620724236612E-2</v>
      </c>
      <c r="AL8" s="105">
        <f t="shared" si="12"/>
        <v>7.8294748015044352E-3</v>
      </c>
      <c r="AM8" s="236">
        <f>depths!$B$2</f>
        <v>858.95</v>
      </c>
      <c r="AO8" s="116">
        <f t="shared" si="13"/>
        <v>111.44508425440148</v>
      </c>
      <c r="AP8" s="234">
        <v>1</v>
      </c>
      <c r="AQ8" s="116">
        <f t="shared" si="14"/>
        <v>7.02524223135093</v>
      </c>
      <c r="AR8" s="234">
        <v>1</v>
      </c>
      <c r="AS8" s="116">
        <f t="shared" si="15"/>
        <v>47.288877012035357</v>
      </c>
      <c r="AT8" s="234">
        <v>1</v>
      </c>
      <c r="AU8" s="116">
        <f t="shared" si="16"/>
        <v>64.156207242366122</v>
      </c>
      <c r="AV8" s="234">
        <v>1</v>
      </c>
      <c r="AW8" s="116">
        <f t="shared" si="17"/>
        <v>7.8294748015044355</v>
      </c>
      <c r="AX8" s="234">
        <v>1</v>
      </c>
      <c r="AY8" s="116">
        <f t="shared" si="18"/>
        <v>6.7312806384103663</v>
      </c>
      <c r="AZ8" s="116">
        <f t="shared" si="19"/>
        <v>9.1322412992482835</v>
      </c>
      <c r="BA8" s="116">
        <f>main!R9</f>
        <v>37.659999999999997</v>
      </c>
      <c r="BB8" s="234">
        <v>1</v>
      </c>
      <c r="BC8" s="116">
        <f>main!S9</f>
        <v>8.3520000000000003</v>
      </c>
      <c r="BD8" s="234">
        <v>1</v>
      </c>
    </row>
    <row r="9" spans="1:56">
      <c r="A9">
        <f>main!A10</f>
        <v>2019</v>
      </c>
      <c r="B9" t="str">
        <f>main!B10</f>
        <v>47_1000</v>
      </c>
      <c r="C9">
        <v>4</v>
      </c>
      <c r="D9" t="str">
        <f>main!$B$6</f>
        <v>McLane-PARFLUX-Mark78H-21 ; controller sn ML11640-01, frame sn 2241, motor sn 11649-01, cup set D250x21</v>
      </c>
      <c r="E9">
        <v>1000</v>
      </c>
      <c r="F9" s="66">
        <v>1</v>
      </c>
      <c r="G9" s="112">
        <f>main!E10</f>
        <v>398.94285714285718</v>
      </c>
      <c r="H9" s="105">
        <f>main!I10</f>
        <v>41.993984962406017</v>
      </c>
      <c r="I9" s="116">
        <f>main!J10</f>
        <v>15.338303007518798</v>
      </c>
      <c r="J9" s="234">
        <v>1</v>
      </c>
      <c r="K9" s="116">
        <f>main!AF10</f>
        <v>54.752876891954458</v>
      </c>
      <c r="L9" s="116">
        <f>main!AG10</f>
        <v>6.5701110881880949</v>
      </c>
      <c r="M9" s="234">
        <v>1</v>
      </c>
      <c r="N9" s="116">
        <f>main!M10</f>
        <v>15.094412803649902</v>
      </c>
      <c r="O9" s="234">
        <v>1</v>
      </c>
      <c r="P9" s="116">
        <f>main!O10</f>
        <v>1.3729462623596191</v>
      </c>
      <c r="Q9" s="234">
        <v>1</v>
      </c>
      <c r="R9" s="116">
        <f>main!AH10</f>
        <v>8.5243017154618066</v>
      </c>
      <c r="S9" s="234">
        <v>1</v>
      </c>
      <c r="T9" s="116">
        <f>main!AB10</f>
        <v>7.6747303186504228</v>
      </c>
      <c r="U9" s="234">
        <v>1</v>
      </c>
      <c r="V9" s="116">
        <f>main!AC10</f>
        <v>16.417748125585756</v>
      </c>
      <c r="W9" s="116">
        <f t="shared" si="1"/>
        <v>8.3981621630217163</v>
      </c>
      <c r="X9" s="116">
        <f t="shared" si="2"/>
        <v>1.0077435466368807</v>
      </c>
      <c r="Y9" s="116">
        <f t="shared" si="3"/>
        <v>2.3152267730295355</v>
      </c>
      <c r="Z9" s="116">
        <f t="shared" si="4"/>
        <v>0.21058665785112238</v>
      </c>
      <c r="AA9" s="116">
        <f t="shared" si="5"/>
        <v>1.3074832263926548</v>
      </c>
      <c r="AB9" s="116">
        <f t="shared" si="6"/>
        <v>2.5182039545135813</v>
      </c>
      <c r="AC9" s="67">
        <f>main!T10</f>
        <v>43607</v>
      </c>
      <c r="AD9" s="67">
        <f>main!U10</f>
        <v>43626</v>
      </c>
      <c r="AE9" s="67">
        <f>main!V10</f>
        <v>43616.5</v>
      </c>
      <c r="AF9" s="112">
        <f>main!H10</f>
        <v>19</v>
      </c>
      <c r="AG9" s="105">
        <f t="shared" si="7"/>
        <v>1.1771733912845148</v>
      </c>
      <c r="AH9" s="105">
        <f t="shared" si="8"/>
        <v>0.19277491865358332</v>
      </c>
      <c r="AI9" s="105">
        <f t="shared" si="9"/>
        <v>1.5031167583948778E-2</v>
      </c>
      <c r="AJ9" s="105">
        <f t="shared" si="10"/>
        <v>0.10886621368798124</v>
      </c>
      <c r="AK9" s="105">
        <f t="shared" si="11"/>
        <v>8.3908704965602057E-2</v>
      </c>
      <c r="AL9" s="105">
        <f t="shared" si="12"/>
        <v>4.1907205100908326E-2</v>
      </c>
      <c r="AM9" s="236">
        <f>depths!$B$2</f>
        <v>858.95</v>
      </c>
      <c r="AO9" s="116">
        <f t="shared" si="13"/>
        <v>192.77491865358331</v>
      </c>
      <c r="AP9" s="234">
        <v>1</v>
      </c>
      <c r="AQ9" s="116">
        <f t="shared" si="14"/>
        <v>15.031167583948777</v>
      </c>
      <c r="AR9" s="234">
        <v>1</v>
      </c>
      <c r="AS9" s="116">
        <f t="shared" si="15"/>
        <v>108.86621368798124</v>
      </c>
      <c r="AT9" s="234">
        <v>1</v>
      </c>
      <c r="AU9" s="116">
        <f t="shared" si="16"/>
        <v>83.908704965602055</v>
      </c>
      <c r="AV9" s="234">
        <v>1</v>
      </c>
      <c r="AW9" s="116">
        <f t="shared" si="17"/>
        <v>41.907205100908328</v>
      </c>
      <c r="AX9" s="234">
        <v>1</v>
      </c>
      <c r="AY9" s="116">
        <f t="shared" si="18"/>
        <v>7.2426984184671994</v>
      </c>
      <c r="AZ9" s="116">
        <f t="shared" si="19"/>
        <v>5.5823145139573205</v>
      </c>
      <c r="BA9" s="116">
        <f>main!R10</f>
        <v>38.39</v>
      </c>
      <c r="BB9" s="234">
        <v>1</v>
      </c>
      <c r="BC9" s="116">
        <f>main!S10</f>
        <v>8.3249999999999993</v>
      </c>
      <c r="BD9" s="234">
        <v>1</v>
      </c>
    </row>
    <row r="10" spans="1:56">
      <c r="A10">
        <f>main!A11</f>
        <v>2019</v>
      </c>
      <c r="B10" t="str">
        <f>main!B11</f>
        <v>47_1000</v>
      </c>
      <c r="C10">
        <v>5</v>
      </c>
      <c r="D10" t="str">
        <f>main!$B$6</f>
        <v>McLane-PARFLUX-Mark78H-21 ; controller sn ML11640-01, frame sn 2241, motor sn 11649-01, cup set D250x21</v>
      </c>
      <c r="E10">
        <v>1000</v>
      </c>
      <c r="F10" s="66">
        <v>1</v>
      </c>
      <c r="G10" s="112">
        <f>main!E11</f>
        <v>286.78571428571428</v>
      </c>
      <c r="H10" s="105">
        <f>main!I11</f>
        <v>30.18796992481203</v>
      </c>
      <c r="I10" s="116">
        <f>main!J11</f>
        <v>11.026156015037595</v>
      </c>
      <c r="J10" s="234">
        <v>1</v>
      </c>
      <c r="K10" s="116">
        <f>main!AF11</f>
        <v>59.05862393790845</v>
      </c>
      <c r="L10" s="116">
        <f>main!AG11</f>
        <v>7.0867823211057637</v>
      </c>
      <c r="M10" s="234">
        <v>1</v>
      </c>
      <c r="N10" s="116">
        <f>main!M11</f>
        <v>15.571017265319824</v>
      </c>
      <c r="O10" s="234">
        <v>1</v>
      </c>
      <c r="P10" s="116">
        <f>main!O11</f>
        <v>1.3772218227386475</v>
      </c>
      <c r="Q10" s="234">
        <v>1</v>
      </c>
      <c r="R10" s="116">
        <f>main!AH11</f>
        <v>8.4842349442140605</v>
      </c>
      <c r="S10" s="234">
        <v>1</v>
      </c>
      <c r="T10" s="116">
        <f>main!AB11</f>
        <v>5.9290617535420971</v>
      </c>
      <c r="U10" s="234">
        <v>1</v>
      </c>
      <c r="V10" s="116">
        <f>main!AC11</f>
        <v>12.683421885736726</v>
      </c>
      <c r="W10" s="116">
        <f t="shared" si="1"/>
        <v>6.5118960157281256</v>
      </c>
      <c r="X10" s="116">
        <f t="shared" si="2"/>
        <v>0.78139967517122411</v>
      </c>
      <c r="Y10" s="116">
        <f t="shared" si="3"/>
        <v>1.7168846568026044</v>
      </c>
      <c r="Z10" s="116">
        <f t="shared" si="4"/>
        <v>0.15185462684830778</v>
      </c>
      <c r="AA10" s="116">
        <f t="shared" si="5"/>
        <v>0.93548498163138005</v>
      </c>
      <c r="AB10" s="116">
        <f t="shared" si="6"/>
        <v>1.3984938851667548</v>
      </c>
      <c r="AC10" s="67">
        <f>main!T11</f>
        <v>43626</v>
      </c>
      <c r="AD10" s="67">
        <f>main!U11</f>
        <v>43645</v>
      </c>
      <c r="AE10" s="67">
        <f>main!V11</f>
        <v>43635.5</v>
      </c>
      <c r="AF10" s="112">
        <f>main!H11</f>
        <v>19</v>
      </c>
      <c r="AG10" s="105">
        <f t="shared" si="7"/>
        <v>0.65374759917347536</v>
      </c>
      <c r="AH10" s="105">
        <f t="shared" si="8"/>
        <v>0.1429545925730728</v>
      </c>
      <c r="AI10" s="105">
        <f t="shared" si="9"/>
        <v>1.0839016905660798E-2</v>
      </c>
      <c r="AJ10" s="105">
        <f t="shared" si="10"/>
        <v>7.7892171659565371E-2</v>
      </c>
      <c r="AK10" s="105">
        <f t="shared" si="11"/>
        <v>6.5062420913507418E-2</v>
      </c>
      <c r="AL10" s="105">
        <f t="shared" si="12"/>
        <v>2.3273321437289975E-2</v>
      </c>
      <c r="AM10" s="236">
        <f>depths!$B$2</f>
        <v>858.95</v>
      </c>
      <c r="AO10" s="116">
        <f t="shared" si="13"/>
        <v>142.9545925730728</v>
      </c>
      <c r="AP10" s="234">
        <v>1</v>
      </c>
      <c r="AQ10" s="116">
        <f t="shared" si="14"/>
        <v>10.839016905660799</v>
      </c>
      <c r="AR10" s="234">
        <v>1</v>
      </c>
      <c r="AS10" s="116">
        <f t="shared" si="15"/>
        <v>77.892171659565378</v>
      </c>
      <c r="AT10" s="234">
        <v>1</v>
      </c>
      <c r="AU10" s="116">
        <f t="shared" si="16"/>
        <v>65.062420913507424</v>
      </c>
      <c r="AV10" s="234">
        <v>1</v>
      </c>
      <c r="AW10" s="116">
        <f t="shared" si="17"/>
        <v>23.273321437289976</v>
      </c>
      <c r="AX10" s="234">
        <v>1</v>
      </c>
      <c r="AY10" s="116">
        <f t="shared" si="18"/>
        <v>7.186276425022025</v>
      </c>
      <c r="AZ10" s="116">
        <f t="shared" si="19"/>
        <v>6.0026127350652843</v>
      </c>
      <c r="BA10" s="116">
        <f>main!R11</f>
        <v>39.22</v>
      </c>
      <c r="BB10" s="234">
        <v>1</v>
      </c>
      <c r="BC10" s="116">
        <f>main!S11</f>
        <v>8.343</v>
      </c>
      <c r="BD10" s="234">
        <v>1</v>
      </c>
    </row>
    <row r="11" spans="1:56">
      <c r="A11">
        <f>main!A12</f>
        <v>2019</v>
      </c>
      <c r="B11" t="str">
        <f>main!B12</f>
        <v>47_1000</v>
      </c>
      <c r="C11">
        <v>6</v>
      </c>
      <c r="D11" t="str">
        <f>main!$B$6</f>
        <v>McLane-PARFLUX-Mark78H-21 ; controller sn ML11640-01, frame sn 2241, motor sn 11649-01, cup set D250x21</v>
      </c>
      <c r="E11">
        <v>1000</v>
      </c>
      <c r="F11" s="66">
        <v>1</v>
      </c>
      <c r="G11" s="112">
        <f>main!E12</f>
        <v>328.2285714285714</v>
      </c>
      <c r="H11" s="105">
        <f>main!I12</f>
        <v>34.550375939849623</v>
      </c>
      <c r="I11" s="116">
        <f>main!J12</f>
        <v>12.619524812030074</v>
      </c>
      <c r="J11" s="234">
        <v>1</v>
      </c>
      <c r="K11" s="116">
        <f>main!AF12</f>
        <v>53.560029468903714</v>
      </c>
      <c r="L11" s="116">
        <f>main!AG12</f>
        <v>6.4269744983762465</v>
      </c>
      <c r="M11" s="234">
        <v>1</v>
      </c>
      <c r="N11" s="116">
        <f>main!M12</f>
        <v>15.029834747314453</v>
      </c>
      <c r="O11" s="234">
        <v>1</v>
      </c>
      <c r="P11" s="116">
        <f>main!O12</f>
        <v>1.3040809631347656</v>
      </c>
      <c r="Q11" s="234">
        <v>1</v>
      </c>
      <c r="R11" s="116">
        <f>main!AH12</f>
        <v>8.6028602489382067</v>
      </c>
      <c r="S11" s="234">
        <v>1</v>
      </c>
      <c r="T11" s="116">
        <f>main!AB12</f>
        <v>7.242673023264584</v>
      </c>
      <c r="U11" s="234">
        <v>1</v>
      </c>
      <c r="V11" s="116">
        <f>main!AC12</f>
        <v>15.493493128087179</v>
      </c>
      <c r="W11" s="116">
        <f t="shared" si="1"/>
        <v>6.7590212081589236</v>
      </c>
      <c r="X11" s="116">
        <f t="shared" si="2"/>
        <v>0.81105364148543579</v>
      </c>
      <c r="Y11" s="116">
        <f t="shared" si="3"/>
        <v>1.8966937251444649</v>
      </c>
      <c r="Z11" s="116">
        <f t="shared" si="4"/>
        <v>0.16456882071175252</v>
      </c>
      <c r="AA11" s="116">
        <f t="shared" si="5"/>
        <v>1.0856400836590292</v>
      </c>
      <c r="AB11" s="116">
        <f t="shared" si="6"/>
        <v>1.9552052095491361</v>
      </c>
      <c r="AC11" s="67">
        <f>main!T12</f>
        <v>43645</v>
      </c>
      <c r="AD11" s="67">
        <f>main!U12</f>
        <v>43664</v>
      </c>
      <c r="AE11" s="67">
        <f>main!V12</f>
        <v>43654.5</v>
      </c>
      <c r="AF11" s="112">
        <f>main!H12</f>
        <v>19</v>
      </c>
      <c r="AG11" s="105">
        <f t="shared" si="7"/>
        <v>0.91399091922508291</v>
      </c>
      <c r="AH11" s="105">
        <f t="shared" si="8"/>
        <v>0.15792620525765735</v>
      </c>
      <c r="AI11" s="105">
        <f t="shared" si="9"/>
        <v>1.1746525389846718E-2</v>
      </c>
      <c r="AJ11" s="105">
        <f t="shared" si="10"/>
        <v>9.0394678073191445E-2</v>
      </c>
      <c r="AK11" s="105">
        <f t="shared" si="11"/>
        <v>6.7531527184465923E-2</v>
      </c>
      <c r="AL11" s="105">
        <f t="shared" si="12"/>
        <v>3.253794657262666E-2</v>
      </c>
      <c r="AM11" s="236">
        <f>depths!$B$2</f>
        <v>858.95</v>
      </c>
      <c r="AO11" s="116">
        <f t="shared" si="13"/>
        <v>157.92620525765736</v>
      </c>
      <c r="AP11" s="234">
        <v>1</v>
      </c>
      <c r="AQ11" s="116">
        <f t="shared" si="14"/>
        <v>11.746525389846719</v>
      </c>
      <c r="AR11" s="234">
        <v>1</v>
      </c>
      <c r="AS11" s="116">
        <f t="shared" si="15"/>
        <v>90.394678073191443</v>
      </c>
      <c r="AT11" s="234">
        <v>1</v>
      </c>
      <c r="AU11" s="116">
        <f t="shared" si="16"/>
        <v>67.531527184465929</v>
      </c>
      <c r="AV11" s="234">
        <v>1</v>
      </c>
      <c r="AW11" s="116">
        <f t="shared" si="17"/>
        <v>32.537946572626659</v>
      </c>
      <c r="AX11" s="234">
        <v>1</v>
      </c>
      <c r="AY11" s="116">
        <f t="shared" si="18"/>
        <v>7.6954397213771326</v>
      </c>
      <c r="AZ11" s="116">
        <f t="shared" si="19"/>
        <v>5.7490640800757813</v>
      </c>
      <c r="BA11" s="116">
        <f>main!R12</f>
        <v>39.24</v>
      </c>
      <c r="BB11" s="234">
        <v>1</v>
      </c>
      <c r="BC11" s="116">
        <f>main!S12</f>
        <v>8.52</v>
      </c>
      <c r="BD11" s="234">
        <v>1</v>
      </c>
    </row>
    <row r="12" spans="1:56">
      <c r="A12">
        <f>main!A13</f>
        <v>2019</v>
      </c>
      <c r="B12" t="str">
        <f>main!B13</f>
        <v>47_1000</v>
      </c>
      <c r="C12">
        <v>7</v>
      </c>
      <c r="D12" t="str">
        <f>main!$B$6</f>
        <v>McLane-PARFLUX-Mark78H-21 ; controller sn ML11640-01, frame sn 2241, motor sn 11649-01, cup set D250x21</v>
      </c>
      <c r="E12">
        <v>1000</v>
      </c>
      <c r="F12" s="66">
        <v>1</v>
      </c>
      <c r="G12" s="112">
        <f>main!E13</f>
        <v>183.15714285714284</v>
      </c>
      <c r="H12" s="105">
        <f>main!I13</f>
        <v>19.279699248120298</v>
      </c>
      <c r="I12" s="116">
        <f>main!J13</f>
        <v>7.0419101503759389</v>
      </c>
      <c r="J12" s="234">
        <v>1</v>
      </c>
      <c r="K12" s="116">
        <f>main!AF13</f>
        <v>54.837901787100641</v>
      </c>
      <c r="L12" s="116">
        <f>main!AG13</f>
        <v>6.5803137120150454</v>
      </c>
      <c r="M12" s="234">
        <v>1</v>
      </c>
      <c r="N12" s="116">
        <f>main!M13</f>
        <v>17.541290283203125</v>
      </c>
      <c r="O12" s="234">
        <v>1</v>
      </c>
      <c r="P12" s="116">
        <f>main!O13</f>
        <v>1.9773457050323486</v>
      </c>
      <c r="Q12" s="234">
        <v>1</v>
      </c>
      <c r="R12" s="116">
        <f>main!AH13</f>
        <v>10.96097657118808</v>
      </c>
      <c r="S12" s="234">
        <v>1</v>
      </c>
      <c r="T12" s="116">
        <f>main!AB13</f>
        <v>4.5906897305674033</v>
      </c>
      <c r="U12" s="234">
        <v>1</v>
      </c>
      <c r="V12" s="116">
        <f>main!AC13</f>
        <v>9.8203825528585025</v>
      </c>
      <c r="W12" s="116">
        <f t="shared" si="1"/>
        <v>3.8616357721990284</v>
      </c>
      <c r="X12" s="116">
        <f t="shared" si="2"/>
        <v>0.46337977921296725</v>
      </c>
      <c r="Y12" s="116">
        <f t="shared" si="3"/>
        <v>1.2352419009597893</v>
      </c>
      <c r="Z12" s="116">
        <f t="shared" si="4"/>
        <v>0.13924290791069563</v>
      </c>
      <c r="AA12" s="116">
        <f t="shared" si="5"/>
        <v>0.77186212174682201</v>
      </c>
      <c r="AB12" s="116">
        <f t="shared" si="6"/>
        <v>0.69154251579549064</v>
      </c>
      <c r="AC12" s="67">
        <f>main!T13</f>
        <v>43664</v>
      </c>
      <c r="AD12" s="67">
        <f>main!U13</f>
        <v>43683</v>
      </c>
      <c r="AE12" s="67">
        <f>main!V13</f>
        <v>43673.5</v>
      </c>
      <c r="AF12" s="112">
        <f>main!H13</f>
        <v>19</v>
      </c>
      <c r="AG12" s="105">
        <f t="shared" si="7"/>
        <v>0.32327224610909178</v>
      </c>
      <c r="AH12" s="105">
        <f t="shared" si="8"/>
        <v>0.10285111581680177</v>
      </c>
      <c r="AI12" s="105">
        <f t="shared" si="9"/>
        <v>9.9388228344536502E-3</v>
      </c>
      <c r="AJ12" s="105">
        <f t="shared" si="10"/>
        <v>6.4268286573423983E-2</v>
      </c>
      <c r="AK12" s="105">
        <f t="shared" si="11"/>
        <v>3.8582829243377789E-2</v>
      </c>
      <c r="AL12" s="105">
        <f t="shared" si="12"/>
        <v>1.1508445927699956E-2</v>
      </c>
      <c r="AM12" s="236">
        <f>depths!$B$2</f>
        <v>858.95</v>
      </c>
      <c r="AO12" s="116">
        <f t="shared" si="13"/>
        <v>102.85111581680177</v>
      </c>
      <c r="AP12" s="234">
        <v>1</v>
      </c>
      <c r="AQ12" s="116">
        <f t="shared" si="14"/>
        <v>9.9388228344536493</v>
      </c>
      <c r="AR12" s="234">
        <v>1</v>
      </c>
      <c r="AS12" s="116">
        <f t="shared" si="15"/>
        <v>64.268286573423978</v>
      </c>
      <c r="AT12" s="234">
        <v>1</v>
      </c>
      <c r="AU12" s="116">
        <f t="shared" si="16"/>
        <v>38.582829243377788</v>
      </c>
      <c r="AV12" s="234">
        <v>1</v>
      </c>
      <c r="AW12" s="116">
        <f t="shared" si="17"/>
        <v>11.508445927699956</v>
      </c>
      <c r="AX12" s="234">
        <v>1</v>
      </c>
      <c r="AY12" s="116">
        <f t="shared" si="18"/>
        <v>6.4663881874051832</v>
      </c>
      <c r="AZ12" s="116">
        <f t="shared" si="19"/>
        <v>3.8820320963593007</v>
      </c>
      <c r="BA12" s="116">
        <f>main!R13</f>
        <v>38.200000000000003</v>
      </c>
      <c r="BB12" s="234">
        <v>1</v>
      </c>
      <c r="BC12" s="116">
        <f>main!S13</f>
        <v>8.4239999999999995</v>
      </c>
      <c r="BD12" s="234">
        <v>1</v>
      </c>
    </row>
    <row r="13" spans="1:56" s="367" customFormat="1">
      <c r="A13" s="367">
        <f>main!A14</f>
        <v>2019</v>
      </c>
      <c r="B13" s="367" t="str">
        <f>main!B14</f>
        <v>47_1000</v>
      </c>
      <c r="C13" s="367">
        <v>8</v>
      </c>
      <c r="D13" s="367" t="str">
        <f>main!$B$6</f>
        <v>McLane-PARFLUX-Mark78H-21 ; controller sn ML11640-01, frame sn 2241, motor sn 11649-01, cup set D250x21</v>
      </c>
      <c r="E13" s="367">
        <v>1000</v>
      </c>
      <c r="F13" s="367">
        <v>1</v>
      </c>
      <c r="G13" s="526">
        <f>main!E14</f>
        <v>89.5</v>
      </c>
      <c r="H13" s="527">
        <f>main!I14</f>
        <v>9.4210526315789469</v>
      </c>
      <c r="I13" s="528">
        <f>main!J14</f>
        <v>3.4410394736842105</v>
      </c>
      <c r="J13" s="528">
        <v>1</v>
      </c>
      <c r="K13" s="528">
        <f>main!AF14</f>
        <v>46.766667166115496</v>
      </c>
      <c r="L13" s="528">
        <f>main!AG14</f>
        <v>5.6118000723875667</v>
      </c>
      <c r="M13" s="528">
        <v>1</v>
      </c>
      <c r="N13" s="528">
        <f>main!M14</f>
        <v>19.53175163269043</v>
      </c>
      <c r="O13" s="528">
        <v>1</v>
      </c>
      <c r="P13" s="528">
        <f>main!O14</f>
        <v>2.8690613508224487</v>
      </c>
      <c r="Q13" s="528">
        <v>3</v>
      </c>
      <c r="R13" s="528">
        <f>main!AH14</f>
        <v>13.919951560302863</v>
      </c>
      <c r="S13" s="528">
        <v>1</v>
      </c>
      <c r="T13" s="528">
        <f>main!AB14</f>
        <v>0.79303484245507505</v>
      </c>
      <c r="U13" s="528">
        <v>1</v>
      </c>
      <c r="V13" s="528">
        <f>main!AC14</f>
        <v>1.6964565212931813</v>
      </c>
      <c r="W13" s="528">
        <f t="shared" si="1"/>
        <v>1.6092594777125471</v>
      </c>
      <c r="X13" s="528">
        <f t="shared" si="2"/>
        <v>0.19310425567509529</v>
      </c>
      <c r="Y13" s="528">
        <f t="shared" si="3"/>
        <v>0.67209528358283799</v>
      </c>
      <c r="Z13" s="528">
        <f t="shared" si="4"/>
        <v>9.8725533606017893E-2</v>
      </c>
      <c r="AA13" s="528">
        <f t="shared" si="5"/>
        <v>0.47899102790774267</v>
      </c>
      <c r="AB13" s="528">
        <f t="shared" si="6"/>
        <v>5.8375738551588348E-2</v>
      </c>
      <c r="AC13" s="529">
        <f>main!T14</f>
        <v>43683</v>
      </c>
      <c r="AD13" s="529">
        <f>main!U14</f>
        <v>43702</v>
      </c>
      <c r="AE13" s="529">
        <f>main!V14</f>
        <v>43692.5</v>
      </c>
      <c r="AF13" s="526">
        <f>main!H14</f>
        <v>19</v>
      </c>
      <c r="AG13" s="527">
        <f t="shared" si="7"/>
        <v>2.7288641968948524E-2</v>
      </c>
      <c r="AH13" s="527">
        <f t="shared" si="8"/>
        <v>5.5961305877005665E-2</v>
      </c>
      <c r="AI13" s="527">
        <f t="shared" si="9"/>
        <v>7.0467904072817915E-3</v>
      </c>
      <c r="AJ13" s="527">
        <f t="shared" si="10"/>
        <v>3.9882683422792893E-2</v>
      </c>
      <c r="AK13" s="527">
        <f t="shared" si="11"/>
        <v>1.6078622454212762E-2</v>
      </c>
      <c r="AL13" s="527">
        <f t="shared" si="12"/>
        <v>9.714717682074947E-4</v>
      </c>
      <c r="AM13" s="528">
        <f>depths!$B$2</f>
        <v>858.95</v>
      </c>
      <c r="AO13" s="528">
        <f t="shared" si="13"/>
        <v>55.961305877005664</v>
      </c>
      <c r="AP13" s="528">
        <v>1</v>
      </c>
      <c r="AQ13" s="528">
        <f t="shared" si="14"/>
        <v>7.0467904072817911</v>
      </c>
      <c r="AR13" s="528">
        <v>3</v>
      </c>
      <c r="AS13" s="528">
        <f t="shared" si="15"/>
        <v>39.882683422792894</v>
      </c>
      <c r="AT13" s="528">
        <v>1</v>
      </c>
      <c r="AU13" s="528">
        <f t="shared" si="16"/>
        <v>16.078622454212763</v>
      </c>
      <c r="AV13" s="528">
        <v>1</v>
      </c>
      <c r="AW13" s="528">
        <f t="shared" si="17"/>
        <v>0.9714717682074947</v>
      </c>
      <c r="AX13" s="528">
        <v>1</v>
      </c>
      <c r="AY13" s="528">
        <f t="shared" si="18"/>
        <v>5.6596948564810692</v>
      </c>
      <c r="AZ13" s="528">
        <f t="shared" si="19"/>
        <v>2.2816944346177714</v>
      </c>
      <c r="BA13" s="528">
        <f>main!R14</f>
        <v>37.549999999999997</v>
      </c>
      <c r="BB13" s="528">
        <v>1</v>
      </c>
      <c r="BC13" s="528">
        <f>main!S14</f>
        <v>8.1969999999999992</v>
      </c>
      <c r="BD13" s="528">
        <v>1</v>
      </c>
    </row>
    <row r="14" spans="1:56" s="367" customFormat="1">
      <c r="A14" s="367">
        <f>main!A15</f>
        <v>2019</v>
      </c>
      <c r="B14" s="367" t="str">
        <f>main!B15</f>
        <v>47_1000</v>
      </c>
      <c r="C14" s="367">
        <v>9</v>
      </c>
      <c r="D14" s="367" t="str">
        <f>main!$B$6</f>
        <v>McLane-PARFLUX-Mark78H-21 ; controller sn ML11640-01, frame sn 2241, motor sn 11649-01, cup set D250x21</v>
      </c>
      <c r="E14" s="367">
        <v>1000</v>
      </c>
      <c r="F14" s="367">
        <v>1</v>
      </c>
      <c r="G14" s="526">
        <f>main!E15</f>
        <v>88.871428571428567</v>
      </c>
      <c r="H14" s="527">
        <f>main!I15</f>
        <v>9.3548872180451124</v>
      </c>
      <c r="I14" s="528">
        <f>main!J15</f>
        <v>3.4168725563909779</v>
      </c>
      <c r="J14" s="528">
        <v>1</v>
      </c>
      <c r="K14" s="528">
        <f>main!AF15</f>
        <v>41.380263512828492</v>
      </c>
      <c r="L14" s="528">
        <f>main!AG15</f>
        <v>4.9654546677843969</v>
      </c>
      <c r="M14" s="528">
        <v>1</v>
      </c>
      <c r="N14" s="528">
        <f>main!M15</f>
        <v>22.682868957519531</v>
      </c>
      <c r="O14" s="528">
        <v>3</v>
      </c>
      <c r="P14" s="528">
        <f>main!O15</f>
        <v>3.4354841709136963</v>
      </c>
      <c r="Q14" s="528">
        <v>3</v>
      </c>
      <c r="R14" s="528">
        <f>main!AH15</f>
        <v>17.717414289735135</v>
      </c>
      <c r="S14" s="528">
        <v>3</v>
      </c>
      <c r="T14" s="528">
        <f>main!AB15</f>
        <v>3.6381105650844869</v>
      </c>
      <c r="U14" s="528">
        <v>1</v>
      </c>
      <c r="V14" s="528">
        <f>main!AC15</f>
        <v>7.782629542752824</v>
      </c>
      <c r="W14" s="528">
        <f t="shared" si="1"/>
        <v>1.4139108677321059</v>
      </c>
      <c r="X14" s="528">
        <f t="shared" si="2"/>
        <v>0.16966325784355987</v>
      </c>
      <c r="Y14" s="528">
        <f t="shared" si="3"/>
        <v>0.7750447244116131</v>
      </c>
      <c r="Z14" s="528">
        <f t="shared" si="4"/>
        <v>0.1173861158151062</v>
      </c>
      <c r="AA14" s="528">
        <f t="shared" si="5"/>
        <v>0.60538146656805325</v>
      </c>
      <c r="AB14" s="528">
        <f t="shared" si="6"/>
        <v>0.26592253301189789</v>
      </c>
      <c r="AC14" s="529">
        <f>main!T15</f>
        <v>43702</v>
      </c>
      <c r="AD14" s="529">
        <f>main!U15</f>
        <v>43721</v>
      </c>
      <c r="AE14" s="529">
        <f>main!V15</f>
        <v>43711.5</v>
      </c>
      <c r="AF14" s="526">
        <f>main!H15</f>
        <v>19</v>
      </c>
      <c r="AG14" s="527">
        <f t="shared" si="7"/>
        <v>0.12430960146953256</v>
      </c>
      <c r="AH14" s="527">
        <f t="shared" si="8"/>
        <v>6.4533282632107669E-2</v>
      </c>
      <c r="AI14" s="527">
        <f t="shared" si="9"/>
        <v>8.3787377455464811E-3</v>
      </c>
      <c r="AJ14" s="527">
        <f t="shared" si="10"/>
        <v>5.0406450172194278E-2</v>
      </c>
      <c r="AK14" s="527">
        <f t="shared" si="11"/>
        <v>1.4126832459913394E-2</v>
      </c>
      <c r="AL14" s="527">
        <f t="shared" si="12"/>
        <v>4.4254041106989161E-3</v>
      </c>
      <c r="AM14" s="528">
        <f>depths!$B$2</f>
        <v>858.95</v>
      </c>
      <c r="AO14" s="528">
        <f t="shared" si="13"/>
        <v>64.533282632107671</v>
      </c>
      <c r="AP14" s="528">
        <v>3</v>
      </c>
      <c r="AQ14" s="528">
        <f t="shared" si="14"/>
        <v>8.3787377455464807</v>
      </c>
      <c r="AR14" s="528">
        <v>3</v>
      </c>
      <c r="AS14" s="528">
        <f t="shared" si="15"/>
        <v>50.406450172194276</v>
      </c>
      <c r="AT14" s="528">
        <v>3</v>
      </c>
      <c r="AU14" s="528">
        <f t="shared" si="16"/>
        <v>14.126832459913395</v>
      </c>
      <c r="AV14" s="528">
        <v>1</v>
      </c>
      <c r="AW14" s="528">
        <f t="shared" si="17"/>
        <v>4.4254041106989161</v>
      </c>
      <c r="AX14" s="528">
        <v>1</v>
      </c>
      <c r="AY14" s="528">
        <f t="shared" si="18"/>
        <v>6.0159956908767827</v>
      </c>
      <c r="AZ14" s="528">
        <f t="shared" si="19"/>
        <v>1.6860334920283402</v>
      </c>
      <c r="BA14" s="528">
        <f>main!R15</f>
        <v>39.17</v>
      </c>
      <c r="BB14" s="528">
        <v>1</v>
      </c>
      <c r="BC14" s="528">
        <f>main!S15</f>
        <v>8.5779999999999994</v>
      </c>
      <c r="BD14" s="528">
        <v>1</v>
      </c>
    </row>
    <row r="15" spans="1:56">
      <c r="A15">
        <f>main!A16</f>
        <v>2019</v>
      </c>
      <c r="B15" t="str">
        <f>main!B16</f>
        <v>47_1000</v>
      </c>
      <c r="C15">
        <v>10</v>
      </c>
      <c r="D15" t="str">
        <f>main!$B$6</f>
        <v>McLane-PARFLUX-Mark78H-21 ; controller sn ML11640-01, frame sn 2241, motor sn 11649-01, cup set D250x21</v>
      </c>
      <c r="E15">
        <v>1000</v>
      </c>
      <c r="F15" s="66">
        <v>1</v>
      </c>
      <c r="G15" s="112">
        <f>main!E16</f>
        <v>175.98571428571429</v>
      </c>
      <c r="H15" s="105">
        <f>main!I16</f>
        <v>18.524812030075189</v>
      </c>
      <c r="I15" s="116">
        <f>main!J16</f>
        <v>6.7661875939849638</v>
      </c>
      <c r="J15" s="234">
        <v>1</v>
      </c>
      <c r="K15" s="116">
        <f>main!AF16</f>
        <v>58.07429164962403</v>
      </c>
      <c r="L15" s="116">
        <f>main!AG16</f>
        <v>6.9686666557959587</v>
      </c>
      <c r="M15" s="234">
        <v>1</v>
      </c>
      <c r="N15" s="116">
        <f>main!M16</f>
        <v>16.158702850341797</v>
      </c>
      <c r="O15" s="234">
        <v>1</v>
      </c>
      <c r="P15" s="116">
        <f>main!O16</f>
        <v>1.6685749292373657</v>
      </c>
      <c r="Q15" s="234">
        <v>1</v>
      </c>
      <c r="R15" s="116">
        <f>main!AH16</f>
        <v>9.1900361945458382</v>
      </c>
      <c r="S15" s="234">
        <v>1</v>
      </c>
      <c r="T15" s="116">
        <f>main!AB16</f>
        <v>5.7476750669045495</v>
      </c>
      <c r="U15" s="234">
        <v>1</v>
      </c>
      <c r="V15" s="116">
        <f>main!AC16</f>
        <v>12.295400312221231</v>
      </c>
      <c r="W15" s="116">
        <f t="shared" si="1"/>
        <v>3.929415516891507</v>
      </c>
      <c r="X15" s="116">
        <f t="shared" si="2"/>
        <v>0.47151305873063304</v>
      </c>
      <c r="Y15" s="116">
        <f t="shared" si="3"/>
        <v>1.0933281476087213</v>
      </c>
      <c r="Z15" s="116">
        <f t="shared" si="4"/>
        <v>0.11289890985840202</v>
      </c>
      <c r="AA15" s="116">
        <f t="shared" si="5"/>
        <v>0.62181508887808834</v>
      </c>
      <c r="AB15" s="116">
        <f t="shared" si="6"/>
        <v>0.83192985055630153</v>
      </c>
      <c r="AC15" s="67">
        <f>main!T16</f>
        <v>43721</v>
      </c>
      <c r="AD15" s="67">
        <f>main!U16</f>
        <v>43740</v>
      </c>
      <c r="AE15" s="67">
        <f>main!V16</f>
        <v>43730.5</v>
      </c>
      <c r="AF15" s="112">
        <f>main!H16</f>
        <v>19</v>
      </c>
      <c r="AG15" s="105">
        <f t="shared" si="7"/>
        <v>0.38889847731946259</v>
      </c>
      <c r="AH15" s="105">
        <f t="shared" si="8"/>
        <v>9.1034816620209943E-2</v>
      </c>
      <c r="AI15" s="105">
        <f t="shared" si="9"/>
        <v>8.058451810021558E-3</v>
      </c>
      <c r="AJ15" s="105">
        <f t="shared" si="10"/>
        <v>5.177477842448696E-2</v>
      </c>
      <c r="AK15" s="105">
        <f t="shared" si="11"/>
        <v>3.9260038195722984E-2</v>
      </c>
      <c r="AL15" s="105">
        <f t="shared" si="12"/>
        <v>1.3844730413651214E-2</v>
      </c>
      <c r="AM15" s="236">
        <f>depths!$B$2</f>
        <v>858.95</v>
      </c>
      <c r="AO15" s="116">
        <f t="shared" si="13"/>
        <v>91.034816620209938</v>
      </c>
      <c r="AP15" s="234">
        <v>1</v>
      </c>
      <c r="AQ15" s="116">
        <f t="shared" si="14"/>
        <v>8.0584518100215572</v>
      </c>
      <c r="AR15" s="234">
        <v>1</v>
      </c>
      <c r="AS15" s="116">
        <f t="shared" si="15"/>
        <v>51.774778424486961</v>
      </c>
      <c r="AT15" s="234">
        <v>1</v>
      </c>
      <c r="AU15" s="116">
        <f t="shared" si="16"/>
        <v>39.260038195722984</v>
      </c>
      <c r="AV15" s="234">
        <v>1</v>
      </c>
      <c r="AW15" s="116">
        <f t="shared" si="17"/>
        <v>13.844730413651213</v>
      </c>
      <c r="AX15" s="234">
        <v>1</v>
      </c>
      <c r="AY15" s="116">
        <f t="shared" si="18"/>
        <v>6.4249038953238413</v>
      </c>
      <c r="AZ15" s="116">
        <f t="shared" si="19"/>
        <v>4.8719082922229404</v>
      </c>
      <c r="BA15" s="116">
        <f>main!R16</f>
        <v>39.520000000000003</v>
      </c>
      <c r="BB15" s="234">
        <v>1</v>
      </c>
      <c r="BC15" s="116">
        <f>main!S16</f>
        <v>8.5760000000000005</v>
      </c>
      <c r="BD15" s="234">
        <v>1</v>
      </c>
    </row>
    <row r="16" spans="1:56">
      <c r="A16">
        <f>main!A17</f>
        <v>2019</v>
      </c>
      <c r="B16" t="str">
        <f>main!B17</f>
        <v>47_1000</v>
      </c>
      <c r="C16">
        <v>11</v>
      </c>
      <c r="D16" t="str">
        <f>main!$B$6</f>
        <v>McLane-PARFLUX-Mark78H-21 ; controller sn ML11640-01, frame sn 2241, motor sn 11649-01, cup set D250x21</v>
      </c>
      <c r="E16">
        <v>1000</v>
      </c>
      <c r="F16" s="66">
        <v>1</v>
      </c>
      <c r="G16" s="112">
        <f>main!E17</f>
        <v>554.94285714285718</v>
      </c>
      <c r="H16" s="105">
        <f>main!I17</f>
        <v>58.41503759398497</v>
      </c>
      <c r="I16" s="116">
        <f>main!J17</f>
        <v>21.336092481203011</v>
      </c>
      <c r="J16" s="234">
        <v>1</v>
      </c>
      <c r="K16" s="116">
        <f>main!AF17</f>
        <v>61.74930965606795</v>
      </c>
      <c r="L16" s="116">
        <f>main!AG17</f>
        <v>7.4096531011488622</v>
      </c>
      <c r="M16" s="234">
        <v>2</v>
      </c>
      <c r="N16" s="116">
        <f>main!M17</f>
        <v>14.976724624633789</v>
      </c>
      <c r="O16" s="234">
        <v>1</v>
      </c>
      <c r="P16" s="116">
        <f>main!O17</f>
        <v>1.2329243421554565</v>
      </c>
      <c r="Q16" s="234">
        <v>1</v>
      </c>
      <c r="R16" s="116">
        <f>main!AH17</f>
        <v>7.5670715234849268</v>
      </c>
      <c r="S16" s="234">
        <v>2</v>
      </c>
      <c r="T16" s="116">
        <f>main!AB17</f>
        <v>5.12804146556525</v>
      </c>
      <c r="U16" s="234">
        <v>1</v>
      </c>
      <c r="V16" s="116">
        <f>main!AC17</f>
        <v>10.969882935771306</v>
      </c>
      <c r="W16" s="116">
        <f t="shared" si="1"/>
        <v>13.174889814723079</v>
      </c>
      <c r="X16" s="116">
        <f t="shared" si="2"/>
        <v>1.5809304381974481</v>
      </c>
      <c r="Y16" s="116">
        <f t="shared" si="3"/>
        <v>3.1954478165669697</v>
      </c>
      <c r="Z16" s="116">
        <f t="shared" si="4"/>
        <v>0.26305787786555207</v>
      </c>
      <c r="AA16" s="116">
        <f t="shared" si="5"/>
        <v>1.6145173783695215</v>
      </c>
      <c r="AB16" s="116">
        <f t="shared" si="6"/>
        <v>2.3405443682558738</v>
      </c>
      <c r="AC16" s="67">
        <f>main!T17</f>
        <v>43740</v>
      </c>
      <c r="AD16" s="67">
        <f>main!U17</f>
        <v>43759</v>
      </c>
      <c r="AE16" s="67">
        <f>main!V17</f>
        <v>43749.5</v>
      </c>
      <c r="AF16" s="112">
        <f>main!H17</f>
        <v>19</v>
      </c>
      <c r="AG16" s="105">
        <f t="shared" si="7"/>
        <v>1.0941236695674399</v>
      </c>
      <c r="AH16" s="105">
        <f t="shared" si="8"/>
        <v>0.26606559671665025</v>
      </c>
      <c r="AI16" s="105">
        <f t="shared" si="9"/>
        <v>1.8776436678483374E-2</v>
      </c>
      <c r="AJ16" s="105">
        <f t="shared" si="10"/>
        <v>0.13443108895666292</v>
      </c>
      <c r="AK16" s="105">
        <f t="shared" si="11"/>
        <v>0.13163450775998736</v>
      </c>
      <c r="AL16" s="105">
        <f t="shared" si="12"/>
        <v>3.8950646834013523E-2</v>
      </c>
      <c r="AM16" s="236">
        <f>depths!$B$2</f>
        <v>858.95</v>
      </c>
      <c r="AO16" s="116">
        <f t="shared" si="13"/>
        <v>266.06559671665025</v>
      </c>
      <c r="AP16" s="234">
        <v>1</v>
      </c>
      <c r="AQ16" s="116">
        <f t="shared" si="14"/>
        <v>18.776436678483375</v>
      </c>
      <c r="AR16" s="234">
        <v>1</v>
      </c>
      <c r="AS16" s="116">
        <f t="shared" si="15"/>
        <v>134.43108895666293</v>
      </c>
      <c r="AT16" s="234">
        <v>2</v>
      </c>
      <c r="AU16" s="116">
        <f t="shared" si="16"/>
        <v>131.63450775998737</v>
      </c>
      <c r="AV16" s="234">
        <v>2</v>
      </c>
      <c r="AW16" s="116">
        <f t="shared" si="17"/>
        <v>38.950646834013526</v>
      </c>
      <c r="AX16" s="234">
        <v>1</v>
      </c>
      <c r="AY16" s="116">
        <f t="shared" si="18"/>
        <v>7.1595634069755407</v>
      </c>
      <c r="AZ16" s="116">
        <f t="shared" si="19"/>
        <v>7.0106224100993728</v>
      </c>
      <c r="BA16" s="116">
        <f>main!R17</f>
        <v>39.520000000000003</v>
      </c>
      <c r="BB16" s="234">
        <v>1</v>
      </c>
      <c r="BC16" s="116">
        <f>main!S17</f>
        <v>8.4469999999999992</v>
      </c>
      <c r="BD16" s="234">
        <v>1</v>
      </c>
    </row>
    <row r="17" spans="1:56">
      <c r="A17">
        <f>main!A18</f>
        <v>2019</v>
      </c>
      <c r="B17" t="str">
        <f>main!B18</f>
        <v>47_1000</v>
      </c>
      <c r="C17">
        <v>12</v>
      </c>
      <c r="D17" t="str">
        <f>main!$B$6</f>
        <v>McLane-PARFLUX-Mark78H-21 ; controller sn ML11640-01, frame sn 2241, motor sn 11649-01, cup set D250x21</v>
      </c>
      <c r="E17">
        <v>1000</v>
      </c>
      <c r="F17" s="66">
        <v>1</v>
      </c>
      <c r="G17" s="112">
        <f>main!E18</f>
        <v>863.91428571428582</v>
      </c>
      <c r="H17" s="105">
        <f>main!I18</f>
        <v>90.93834586466167</v>
      </c>
      <c r="I17" s="116">
        <f>main!J18</f>
        <v>33.215230827067678</v>
      </c>
      <c r="J17" s="234">
        <v>1</v>
      </c>
      <c r="K17" s="116">
        <f>main!AF18</f>
        <v>68.586367428182143</v>
      </c>
      <c r="L17" s="116">
        <f>main!AG18</f>
        <v>8.230070796602428</v>
      </c>
      <c r="M17" s="234">
        <v>1</v>
      </c>
      <c r="N17" s="116">
        <f>main!M18</f>
        <v>14.551158905029297</v>
      </c>
      <c r="O17" s="234">
        <v>1</v>
      </c>
      <c r="P17" s="116">
        <f>main!O18</f>
        <v>0.97431081533432007</v>
      </c>
      <c r="Q17" s="234">
        <v>1</v>
      </c>
      <c r="R17" s="116">
        <f>main!AH18</f>
        <v>6.3210881084268689</v>
      </c>
      <c r="S17" s="234">
        <v>1</v>
      </c>
      <c r="T17" s="116">
        <f>main!AB18</f>
        <v>3.8631501693818517</v>
      </c>
      <c r="U17" s="234">
        <v>1</v>
      </c>
      <c r="V17" s="116">
        <f>main!AC18</f>
        <v>8.2640332388093789</v>
      </c>
      <c r="W17" s="116">
        <f t="shared" si="1"/>
        <v>22.781120257171459</v>
      </c>
      <c r="X17" s="116">
        <f t="shared" si="2"/>
        <v>2.7336370123225842</v>
      </c>
      <c r="Y17" s="116">
        <f t="shared" si="3"/>
        <v>4.8332010183188947</v>
      </c>
      <c r="Z17" s="116">
        <f t="shared" si="4"/>
        <v>0.32361958628637955</v>
      </c>
      <c r="AA17" s="116">
        <f t="shared" si="5"/>
        <v>2.0995640059963105</v>
      </c>
      <c r="AB17" s="116">
        <f t="shared" si="6"/>
        <v>2.7449177158961322</v>
      </c>
      <c r="AC17" s="67">
        <f>main!T18</f>
        <v>43759</v>
      </c>
      <c r="AD17" s="67">
        <f>main!U18</f>
        <v>43778</v>
      </c>
      <c r="AE17" s="67">
        <f>main!V18</f>
        <v>43768.5</v>
      </c>
      <c r="AF17" s="112">
        <f>main!H18</f>
        <v>19</v>
      </c>
      <c r="AG17" s="105">
        <f t="shared" si="7"/>
        <v>1.283154245956438</v>
      </c>
      <c r="AH17" s="105">
        <f t="shared" si="8"/>
        <v>0.40243139203321354</v>
      </c>
      <c r="AI17" s="105">
        <f t="shared" si="9"/>
        <v>2.3099185316658069E-2</v>
      </c>
      <c r="AJ17" s="105">
        <f t="shared" si="10"/>
        <v>0.17481798551176608</v>
      </c>
      <c r="AK17" s="105">
        <f t="shared" si="11"/>
        <v>0.22761340652144749</v>
      </c>
      <c r="AL17" s="105">
        <f t="shared" si="12"/>
        <v>4.568010843561545E-2</v>
      </c>
      <c r="AM17" s="236">
        <f>depths!$B$2</f>
        <v>858.95</v>
      </c>
      <c r="AO17" s="116">
        <f t="shared" si="13"/>
        <v>402.43139203321357</v>
      </c>
      <c r="AP17" s="234">
        <v>1</v>
      </c>
      <c r="AQ17" s="116">
        <f t="shared" si="14"/>
        <v>23.099185316658069</v>
      </c>
      <c r="AR17" s="234">
        <v>1</v>
      </c>
      <c r="AS17" s="116">
        <f t="shared" si="15"/>
        <v>174.8179855117661</v>
      </c>
      <c r="AT17" s="234">
        <v>1</v>
      </c>
      <c r="AU17" s="116">
        <f t="shared" si="16"/>
        <v>227.61340652144747</v>
      </c>
      <c r="AV17" s="234">
        <v>1</v>
      </c>
      <c r="AW17" s="116">
        <f t="shared" si="17"/>
        <v>45.680108435615452</v>
      </c>
      <c r="AX17" s="234">
        <v>1</v>
      </c>
      <c r="AY17" s="116">
        <f t="shared" si="18"/>
        <v>7.5681450715794476</v>
      </c>
      <c r="AZ17" s="116">
        <f t="shared" si="19"/>
        <v>9.8537417402899994</v>
      </c>
      <c r="BA17" s="116">
        <f>main!R18</f>
        <v>38.729999999999997</v>
      </c>
      <c r="BB17" s="234">
        <v>1</v>
      </c>
      <c r="BC17" s="116">
        <f>main!S18</f>
        <v>8.275500000000001</v>
      </c>
      <c r="BD17" s="234">
        <v>1</v>
      </c>
    </row>
    <row r="18" spans="1:56" s="367" customFormat="1">
      <c r="A18" s="367">
        <f>main!A19</f>
        <v>2019</v>
      </c>
      <c r="B18" s="367" t="str">
        <f>main!B19</f>
        <v>47_1000</v>
      </c>
      <c r="C18" s="367">
        <v>13</v>
      </c>
      <c r="D18" s="367" t="str">
        <f>main!$B$6</f>
        <v>McLane-PARFLUX-Mark78H-21 ; controller sn ML11640-01, frame sn 2241, motor sn 11649-01, cup set D250x21</v>
      </c>
      <c r="E18" s="367">
        <v>1000</v>
      </c>
      <c r="F18" s="367">
        <v>1</v>
      </c>
      <c r="G18" s="526">
        <f>main!E19</f>
        <v>2098.2714285714287</v>
      </c>
      <c r="H18" s="527">
        <f>main!I19</f>
        <v>220.87067669172933</v>
      </c>
      <c r="I18" s="528">
        <f>main!J19</f>
        <v>80.673014661654136</v>
      </c>
      <c r="J18" s="528">
        <v>3</v>
      </c>
      <c r="K18" s="528">
        <f>main!AF19</f>
        <v>73.949080995875718</v>
      </c>
      <c r="L18" s="528">
        <f>main!AG19</f>
        <v>8.8735734922399185</v>
      </c>
      <c r="M18" s="528">
        <v>1</v>
      </c>
      <c r="N18" s="528">
        <f>main!M19</f>
        <v>13.051294803619385</v>
      </c>
      <c r="O18" s="528">
        <v>1</v>
      </c>
      <c r="P18" s="528">
        <f>main!O19</f>
        <v>0.56372952461242676</v>
      </c>
      <c r="Q18" s="528">
        <v>1</v>
      </c>
      <c r="R18" s="528">
        <f>main!AH19</f>
        <v>4.1777213113794662</v>
      </c>
      <c r="S18" s="528">
        <v>1</v>
      </c>
      <c r="T18" s="528">
        <f>main!AB19</f>
        <v>4.2807181844419544</v>
      </c>
      <c r="U18" s="528">
        <v>1</v>
      </c>
      <c r="V18" s="528">
        <f>main!AC19</f>
        <v>9.1572928338596338</v>
      </c>
      <c r="W18" s="528">
        <f t="shared" si="1"/>
        <v>59.656952953961309</v>
      </c>
      <c r="X18" s="528">
        <f t="shared" si="2"/>
        <v>7.1585792444073642</v>
      </c>
      <c r="Y18" s="528">
        <f t="shared" si="3"/>
        <v>10.52887297045957</v>
      </c>
      <c r="Z18" s="528">
        <f t="shared" si="4"/>
        <v>0.45477760204265616</v>
      </c>
      <c r="AA18" s="528">
        <f t="shared" si="5"/>
        <v>3.3702937260522061</v>
      </c>
      <c r="AB18" s="528">
        <f t="shared" si="6"/>
        <v>7.3874641904701868</v>
      </c>
      <c r="AC18" s="529">
        <f>main!T19</f>
        <v>43778</v>
      </c>
      <c r="AD18" s="529">
        <f>main!U19</f>
        <v>43797</v>
      </c>
      <c r="AE18" s="529">
        <f>main!V19</f>
        <v>43787.5</v>
      </c>
      <c r="AF18" s="526">
        <f>main!H19</f>
        <v>19</v>
      </c>
      <c r="AG18" s="527">
        <f t="shared" si="7"/>
        <v>3.4533844085589522</v>
      </c>
      <c r="AH18" s="527">
        <f t="shared" si="8"/>
        <v>0.87667551794001419</v>
      </c>
      <c r="AI18" s="527">
        <f t="shared" si="9"/>
        <v>3.2460928054436559E-2</v>
      </c>
      <c r="AJ18" s="527">
        <f t="shared" si="10"/>
        <v>0.28062395720667827</v>
      </c>
      <c r="AK18" s="527">
        <f t="shared" si="11"/>
        <v>0.59605156073333587</v>
      </c>
      <c r="AL18" s="527">
        <f t="shared" si="12"/>
        <v>0.12293999318472597</v>
      </c>
      <c r="AM18" s="528">
        <f>depths!$B$2</f>
        <v>858.95</v>
      </c>
      <c r="AO18" s="528">
        <f t="shared" si="13"/>
        <v>876.67551794001417</v>
      </c>
      <c r="AP18" s="528">
        <v>3</v>
      </c>
      <c r="AQ18" s="528">
        <f t="shared" si="14"/>
        <v>32.460928054436557</v>
      </c>
      <c r="AR18" s="528">
        <v>3</v>
      </c>
      <c r="AS18" s="528">
        <f t="shared" si="15"/>
        <v>280.62395720667826</v>
      </c>
      <c r="AT18" s="528">
        <v>3</v>
      </c>
      <c r="AU18" s="528">
        <f t="shared" si="16"/>
        <v>596.05156073333592</v>
      </c>
      <c r="AV18" s="528">
        <v>3</v>
      </c>
      <c r="AW18" s="528">
        <f t="shared" si="17"/>
        <v>122.93999318472596</v>
      </c>
      <c r="AX18" s="528">
        <v>3</v>
      </c>
      <c r="AY18" s="528">
        <f t="shared" si="18"/>
        <v>8.6449764078240623</v>
      </c>
      <c r="AZ18" s="528">
        <f t="shared" si="19"/>
        <v>18.362123218836047</v>
      </c>
      <c r="BA18" s="528">
        <f>main!R19</f>
        <v>39.090000000000003</v>
      </c>
      <c r="BB18" s="528">
        <v>1</v>
      </c>
      <c r="BC18" s="528">
        <f>main!S19</f>
        <v>8.3469999999999995</v>
      </c>
      <c r="BD18" s="528">
        <v>1</v>
      </c>
    </row>
    <row r="19" spans="1:56" s="367" customFormat="1">
      <c r="A19" s="367">
        <f>main!A20</f>
        <v>2019</v>
      </c>
      <c r="B19" s="367" t="str">
        <f>main!B20</f>
        <v>47_1000</v>
      </c>
      <c r="C19" s="367">
        <v>14</v>
      </c>
      <c r="D19" s="367" t="str">
        <f>main!$B$6</f>
        <v>McLane-PARFLUX-Mark78H-21 ; controller sn ML11640-01, frame sn 2241, motor sn 11649-01, cup set D250x21</v>
      </c>
      <c r="E19" s="367">
        <v>1000</v>
      </c>
      <c r="F19" s="367">
        <v>1</v>
      </c>
      <c r="G19" s="526">
        <f>main!E20</f>
        <v>1958.8428571428572</v>
      </c>
      <c r="H19" s="527">
        <f>main!I20</f>
        <v>206.19398496240601</v>
      </c>
      <c r="I19" s="528">
        <f>main!J20</f>
        <v>75.312353007518794</v>
      </c>
      <c r="J19" s="528">
        <v>3</v>
      </c>
      <c r="K19" s="528">
        <f>main!AF20</f>
        <v>72.135137171254925</v>
      </c>
      <c r="L19" s="528">
        <f>main!AG20</f>
        <v>8.6559079902242111</v>
      </c>
      <c r="M19" s="528">
        <v>1</v>
      </c>
      <c r="N19" s="528">
        <f>main!M20</f>
        <v>12.688194751739502</v>
      </c>
      <c r="O19" s="528">
        <v>1</v>
      </c>
      <c r="P19" s="528">
        <f>main!O20</f>
        <v>0.58674687147140503</v>
      </c>
      <c r="Q19" s="528">
        <v>1</v>
      </c>
      <c r="R19" s="528">
        <f>main!AH20</f>
        <v>4.0322867615152909</v>
      </c>
      <c r="S19" s="528">
        <v>1</v>
      </c>
      <c r="T19" s="528">
        <f>main!AB20</f>
        <v>5.288354221217431</v>
      </c>
      <c r="U19" s="528">
        <v>1</v>
      </c>
      <c r="V19" s="528">
        <f>main!AC20</f>
        <v>11.312823252152207</v>
      </c>
      <c r="W19" s="528">
        <f t="shared" si="1"/>
        <v>54.326669148873414</v>
      </c>
      <c r="X19" s="528">
        <f t="shared" si="2"/>
        <v>6.5189679816036836</v>
      </c>
      <c r="Y19" s="528">
        <f t="shared" si="3"/>
        <v>9.5557780217115251</v>
      </c>
      <c r="Z19" s="528">
        <f t="shared" si="4"/>
        <v>0.44189287510311709</v>
      </c>
      <c r="AA19" s="528">
        <f t="shared" si="5"/>
        <v>3.0368100401078433</v>
      </c>
      <c r="AB19" s="528">
        <f t="shared" si="6"/>
        <v>8.5199533827775387</v>
      </c>
      <c r="AC19" s="529">
        <f>main!T20</f>
        <v>43797</v>
      </c>
      <c r="AD19" s="529">
        <f>main!U20</f>
        <v>43816</v>
      </c>
      <c r="AE19" s="529">
        <f>main!V20</f>
        <v>43806.5</v>
      </c>
      <c r="AF19" s="526">
        <f>main!H20</f>
        <v>19</v>
      </c>
      <c r="AG19" s="527">
        <f t="shared" si="7"/>
        <v>3.9827839993712932</v>
      </c>
      <c r="AH19" s="527">
        <f t="shared" si="8"/>
        <v>0.79565179198264158</v>
      </c>
      <c r="AI19" s="527">
        <f t="shared" si="9"/>
        <v>3.1541247330700718E-2</v>
      </c>
      <c r="AJ19" s="527">
        <f t="shared" si="10"/>
        <v>0.25285678935119427</v>
      </c>
      <c r="AK19" s="527">
        <f t="shared" si="11"/>
        <v>0.54279500263144742</v>
      </c>
      <c r="AL19" s="527">
        <f t="shared" si="12"/>
        <v>0.14178654323144513</v>
      </c>
      <c r="AM19" s="528">
        <f>depths!$B$2</f>
        <v>858.95</v>
      </c>
      <c r="AO19" s="528">
        <f t="shared" si="13"/>
        <v>795.65179198264161</v>
      </c>
      <c r="AP19" s="528">
        <v>3</v>
      </c>
      <c r="AQ19" s="528">
        <f t="shared" si="14"/>
        <v>31.541247330700717</v>
      </c>
      <c r="AR19" s="528">
        <v>3</v>
      </c>
      <c r="AS19" s="528">
        <f t="shared" si="15"/>
        <v>252.85678935119427</v>
      </c>
      <c r="AT19" s="528">
        <v>3</v>
      </c>
      <c r="AU19" s="528">
        <f t="shared" si="16"/>
        <v>542.79500263144746</v>
      </c>
      <c r="AV19" s="528">
        <v>3</v>
      </c>
      <c r="AW19" s="528">
        <f t="shared" si="17"/>
        <v>141.78654323144514</v>
      </c>
      <c r="AX19" s="528">
        <v>3</v>
      </c>
      <c r="AY19" s="528">
        <f t="shared" si="18"/>
        <v>8.0167022787673883</v>
      </c>
      <c r="AZ19" s="528">
        <f t="shared" si="19"/>
        <v>17.209053178537971</v>
      </c>
      <c r="BA19" s="528">
        <f>main!R20</f>
        <v>38.979999999999997</v>
      </c>
      <c r="BB19" s="528">
        <v>1</v>
      </c>
      <c r="BC19" s="528">
        <f>main!S20</f>
        <v>8.1660000000000004</v>
      </c>
      <c r="BD19" s="528">
        <v>1</v>
      </c>
    </row>
    <row r="20" spans="1:56">
      <c r="A20">
        <f>main!A21</f>
        <v>2019</v>
      </c>
      <c r="B20" t="str">
        <f>main!B21</f>
        <v>47_1000</v>
      </c>
      <c r="C20">
        <v>15</v>
      </c>
      <c r="D20" t="str">
        <f>main!$B$6</f>
        <v>McLane-PARFLUX-Mark78H-21 ; controller sn ML11640-01, frame sn 2241, motor sn 11649-01, cup set D250x21</v>
      </c>
      <c r="E20">
        <v>1000</v>
      </c>
      <c r="F20" s="66">
        <v>1</v>
      </c>
      <c r="G20" s="112">
        <f>main!E21</f>
        <v>866.17142857142869</v>
      </c>
      <c r="H20" s="105">
        <f>main!I21</f>
        <v>91.175939849624072</v>
      </c>
      <c r="I20" s="116">
        <f>main!J21</f>
        <v>33.302012030075197</v>
      </c>
      <c r="J20" s="234">
        <v>1</v>
      </c>
      <c r="K20" s="116">
        <f>main!AF21</f>
        <v>66.051429418283774</v>
      </c>
      <c r="L20" s="116">
        <f>main!AG21</f>
        <v>7.9258890755292466</v>
      </c>
      <c r="M20" s="234">
        <v>1</v>
      </c>
      <c r="N20" s="116">
        <f>main!M21</f>
        <v>12.13929271697998</v>
      </c>
      <c r="O20" s="234">
        <v>1</v>
      </c>
      <c r="P20" s="116">
        <f>main!O21</f>
        <v>0.64991587400436401</v>
      </c>
      <c r="Q20" s="234">
        <v>1</v>
      </c>
      <c r="R20" s="116">
        <f>main!AH21</f>
        <v>4.2134036414507339</v>
      </c>
      <c r="S20" s="234">
        <v>1</v>
      </c>
      <c r="T20" s="116">
        <f>main!AB21</f>
        <v>7.6518266658560306</v>
      </c>
      <c r="U20" s="234">
        <v>1</v>
      </c>
      <c r="V20" s="116">
        <f>main!AC21</f>
        <v>16.368752735894944</v>
      </c>
      <c r="W20" s="116">
        <f t="shared" si="1"/>
        <v>21.99645497091349</v>
      </c>
      <c r="X20" s="116">
        <f t="shared" si="2"/>
        <v>2.6394805334231655</v>
      </c>
      <c r="Y20" s="116">
        <f t="shared" si="3"/>
        <v>4.0426287209747152</v>
      </c>
      <c r="Z20" s="116">
        <f t="shared" si="4"/>
        <v>0.21643506254630165</v>
      </c>
      <c r="AA20" s="116">
        <f t="shared" si="5"/>
        <v>1.4031481875515497</v>
      </c>
      <c r="AB20" s="116">
        <f t="shared" si="6"/>
        <v>5.4511240052809971</v>
      </c>
      <c r="AC20" s="67">
        <f>main!T21</f>
        <v>43816</v>
      </c>
      <c r="AD20" s="67">
        <f>main!U21</f>
        <v>43835</v>
      </c>
      <c r="AE20" s="67">
        <f>main!V21</f>
        <v>43825.5</v>
      </c>
      <c r="AF20" s="112">
        <f>main!H21</f>
        <v>19</v>
      </c>
      <c r="AG20" s="105">
        <f t="shared" si="7"/>
        <v>2.5482122367838773</v>
      </c>
      <c r="AH20" s="105">
        <f t="shared" si="8"/>
        <v>0.33660522239589635</v>
      </c>
      <c r="AI20" s="105">
        <f t="shared" si="9"/>
        <v>1.5448612601449084E-2</v>
      </c>
      <c r="AJ20" s="105">
        <f t="shared" si="10"/>
        <v>0.11683165591603245</v>
      </c>
      <c r="AK20" s="105">
        <f t="shared" si="11"/>
        <v>0.2197735664798639</v>
      </c>
      <c r="AL20" s="105">
        <f t="shared" si="12"/>
        <v>9.0715992765534964E-2</v>
      </c>
      <c r="AM20" s="236">
        <f>depths!$B$2</f>
        <v>858.95</v>
      </c>
      <c r="AO20" s="116">
        <f t="shared" si="13"/>
        <v>336.60522239589636</v>
      </c>
      <c r="AP20" s="234">
        <v>1</v>
      </c>
      <c r="AQ20" s="116">
        <f t="shared" si="14"/>
        <v>15.448612601449083</v>
      </c>
      <c r="AR20" s="234">
        <v>1</v>
      </c>
      <c r="AS20" s="116">
        <f t="shared" si="15"/>
        <v>116.83165591603245</v>
      </c>
      <c r="AT20" s="234">
        <v>1</v>
      </c>
      <c r="AU20" s="116">
        <f t="shared" si="16"/>
        <v>219.77356647986392</v>
      </c>
      <c r="AV20" s="234">
        <v>1</v>
      </c>
      <c r="AW20" s="116">
        <f t="shared" si="17"/>
        <v>90.715992765534963</v>
      </c>
      <c r="AX20" s="234">
        <v>1</v>
      </c>
      <c r="AY20" s="116">
        <f t="shared" si="18"/>
        <v>7.5625985925152666</v>
      </c>
      <c r="AZ20" s="116">
        <f t="shared" si="19"/>
        <v>14.226103802955684</v>
      </c>
      <c r="BA20" s="116">
        <f>main!R21</f>
        <v>39.25</v>
      </c>
      <c r="BB20" s="234">
        <v>1</v>
      </c>
      <c r="BC20" s="116">
        <f>main!S21</f>
        <v>8.4149999999999991</v>
      </c>
      <c r="BD20" s="234">
        <v>1</v>
      </c>
    </row>
    <row r="21" spans="1:56" s="367" customFormat="1">
      <c r="A21" s="367">
        <f>main!A22</f>
        <v>2019</v>
      </c>
      <c r="B21" s="367" t="str">
        <f>main!B22</f>
        <v>47_1000</v>
      </c>
      <c r="C21" s="367">
        <v>16</v>
      </c>
      <c r="D21" s="367" t="str">
        <f>main!$B$6</f>
        <v>McLane-PARFLUX-Mark78H-21 ; controller sn ML11640-01, frame sn 2241, motor sn 11649-01, cup set D250x21</v>
      </c>
      <c r="E21" s="367">
        <v>1000</v>
      </c>
      <c r="F21" s="367">
        <v>1</v>
      </c>
      <c r="G21" s="526">
        <f>main!E22</f>
        <v>390.62857142857138</v>
      </c>
      <c r="H21" s="527">
        <f>main!I22</f>
        <v>41.118796992481201</v>
      </c>
      <c r="I21" s="528">
        <f>main!J22</f>
        <v>15.018640601503758</v>
      </c>
      <c r="J21" s="528">
        <v>1</v>
      </c>
      <c r="K21" s="528">
        <f>main!AF22</f>
        <v>49.392042607860581</v>
      </c>
      <c r="L21" s="528">
        <f>main!AG22</f>
        <v>5.926833898546219</v>
      </c>
      <c r="M21" s="528">
        <v>1</v>
      </c>
      <c r="N21" s="528">
        <f>main!M22</f>
        <v>25.989185969034811</v>
      </c>
      <c r="O21" s="528">
        <v>3</v>
      </c>
      <c r="P21" s="528">
        <f>main!O22</f>
        <v>1.5573702653249104</v>
      </c>
      <c r="Q21" s="528">
        <v>1</v>
      </c>
      <c r="R21" s="528">
        <f>main!AH22</f>
        <v>20.062352070488593</v>
      </c>
      <c r="S21" s="528">
        <v>3</v>
      </c>
      <c r="T21" s="528">
        <f>main!AB22</f>
        <v>3.9140199454516917</v>
      </c>
      <c r="U21" s="528">
        <v>1</v>
      </c>
      <c r="V21" s="528">
        <f>main!AC22</f>
        <v>8.3728536319755147</v>
      </c>
      <c r="W21" s="528">
        <f t="shared" si="1"/>
        <v>7.4180133650161846</v>
      </c>
      <c r="X21" s="528">
        <f t="shared" si="2"/>
        <v>0.89012988227075052</v>
      </c>
      <c r="Y21" s="528">
        <f t="shared" si="3"/>
        <v>3.9032224359457803</v>
      </c>
      <c r="Z21" s="528">
        <f t="shared" si="4"/>
        <v>0.23389584298383381</v>
      </c>
      <c r="AA21" s="528">
        <f t="shared" si="5"/>
        <v>3.0130925536750297</v>
      </c>
      <c r="AB21" s="528">
        <f t="shared" si="6"/>
        <v>1.2574887950763567</v>
      </c>
      <c r="AC21" s="529">
        <f>main!T22</f>
        <v>43835</v>
      </c>
      <c r="AD21" s="529">
        <f>main!U22</f>
        <v>43854</v>
      </c>
      <c r="AE21" s="529">
        <f>main!V22</f>
        <v>43844.5</v>
      </c>
      <c r="AF21" s="526">
        <f>main!H22</f>
        <v>19</v>
      </c>
      <c r="AG21" s="527">
        <f t="shared" si="7"/>
        <v>0.58783258867856303</v>
      </c>
      <c r="AH21" s="527">
        <f t="shared" si="8"/>
        <v>0.32499770490805829</v>
      </c>
      <c r="AI21" s="527">
        <f t="shared" si="9"/>
        <v>1.6694920983856804E-2</v>
      </c>
      <c r="AJ21" s="527">
        <f t="shared" si="10"/>
        <v>0.25088197782473187</v>
      </c>
      <c r="AK21" s="527">
        <f t="shared" si="11"/>
        <v>7.4115727083326435E-2</v>
      </c>
      <c r="AL21" s="527">
        <f t="shared" si="12"/>
        <v>2.0926756449931045E-2</v>
      </c>
      <c r="AM21" s="528">
        <f>depths!$B$2</f>
        <v>858.95</v>
      </c>
      <c r="AO21" s="528">
        <f t="shared" si="13"/>
        <v>324.99770490805827</v>
      </c>
      <c r="AP21" s="528">
        <v>3</v>
      </c>
      <c r="AQ21" s="528">
        <f t="shared" si="14"/>
        <v>16.694920983856804</v>
      </c>
      <c r="AR21" s="528">
        <v>1</v>
      </c>
      <c r="AS21" s="528">
        <f t="shared" si="15"/>
        <v>250.88197782473188</v>
      </c>
      <c r="AT21" s="528">
        <v>3</v>
      </c>
      <c r="AU21" s="528">
        <f t="shared" si="16"/>
        <v>74.115727083326433</v>
      </c>
      <c r="AV21" s="528">
        <v>1</v>
      </c>
      <c r="AW21" s="528">
        <f t="shared" si="17"/>
        <v>20.926756449931045</v>
      </c>
      <c r="AX21" s="528">
        <v>1</v>
      </c>
      <c r="AY21" s="528">
        <f t="shared" si="18"/>
        <v>15.027443260577444</v>
      </c>
      <c r="AZ21" s="528">
        <f t="shared" si="19"/>
        <v>4.4394176621136943</v>
      </c>
      <c r="BA21" s="528">
        <f>main!R22</f>
        <v>38.270000000000003</v>
      </c>
      <c r="BB21" s="528">
        <v>1</v>
      </c>
      <c r="BC21" s="528">
        <f>main!S22</f>
        <v>8.2210000000000001</v>
      </c>
      <c r="BD21" s="528">
        <v>2</v>
      </c>
    </row>
    <row r="22" spans="1:56">
      <c r="A22">
        <f>main!A23</f>
        <v>2019</v>
      </c>
      <c r="B22" t="str">
        <f>main!B23</f>
        <v>47_1000</v>
      </c>
      <c r="C22">
        <v>17</v>
      </c>
      <c r="D22" t="str">
        <f>main!$B$6</f>
        <v>McLane-PARFLUX-Mark78H-21 ; controller sn ML11640-01, frame sn 2241, motor sn 11649-01, cup set D250x21</v>
      </c>
      <c r="E22">
        <v>1000</v>
      </c>
      <c r="F22" s="66">
        <v>1</v>
      </c>
      <c r="G22" s="112">
        <f>main!E23</f>
        <v>234.24285714285713</v>
      </c>
      <c r="H22" s="105">
        <f>main!I23</f>
        <v>24.657142857142855</v>
      </c>
      <c r="I22" s="116">
        <f>main!J23</f>
        <v>9.0060214285714295</v>
      </c>
      <c r="J22" s="234">
        <v>1</v>
      </c>
      <c r="K22" s="116">
        <f>main!AF23</f>
        <v>57.31474619803241</v>
      </c>
      <c r="L22" s="116">
        <f>main!AG23</f>
        <v>6.8775244496369581</v>
      </c>
      <c r="M22" s="234">
        <v>1</v>
      </c>
      <c r="N22" s="116">
        <f>main!M23</f>
        <v>19.005569458007813</v>
      </c>
      <c r="O22" s="234">
        <v>1</v>
      </c>
      <c r="P22" s="116">
        <f>main!O23</f>
        <v>1.9113456010818481</v>
      </c>
      <c r="Q22" s="234">
        <v>1</v>
      </c>
      <c r="R22" s="116">
        <f>main!AH23</f>
        <v>12.128045008370854</v>
      </c>
      <c r="S22" s="234">
        <v>1</v>
      </c>
      <c r="T22" s="116">
        <f>main!AB23</f>
        <v>2.4305946955235274</v>
      </c>
      <c r="U22" s="234">
        <v>1</v>
      </c>
      <c r="V22" s="116">
        <f>main!AC23</f>
        <v>5.1995170969743247</v>
      </c>
      <c r="W22" s="116">
        <f t="shared" si="1"/>
        <v>5.1617783243261268</v>
      </c>
      <c r="X22" s="116">
        <f t="shared" si="2"/>
        <v>0.61939132568954369</v>
      </c>
      <c r="Y22" s="116">
        <f t="shared" si="3"/>
        <v>1.7116456580102104</v>
      </c>
      <c r="Z22" s="116">
        <f t="shared" si="4"/>
        <v>0.17213619440748865</v>
      </c>
      <c r="AA22" s="116">
        <f t="shared" si="5"/>
        <v>1.0922543323206668</v>
      </c>
      <c r="AB22" s="116">
        <f t="shared" si="6"/>
        <v>0.46826962393574278</v>
      </c>
      <c r="AC22" s="67">
        <f>main!T23</f>
        <v>43854</v>
      </c>
      <c r="AD22" s="67">
        <f>main!U23</f>
        <v>43873</v>
      </c>
      <c r="AE22" s="67">
        <f>main!V23</f>
        <v>43863.5</v>
      </c>
      <c r="AF22" s="112">
        <f>main!H23</f>
        <v>19</v>
      </c>
      <c r="AG22" s="105">
        <f t="shared" si="7"/>
        <v>0.21889987912056938</v>
      </c>
      <c r="AH22" s="105">
        <f t="shared" si="8"/>
        <v>0.14251837285680352</v>
      </c>
      <c r="AI22" s="105">
        <f t="shared" si="9"/>
        <v>1.2286666267486699E-2</v>
      </c>
      <c r="AJ22" s="105">
        <f t="shared" si="10"/>
        <v>9.0945406521287825E-2</v>
      </c>
      <c r="AK22" s="105">
        <f t="shared" si="11"/>
        <v>5.157296633551571E-2</v>
      </c>
      <c r="AL22" s="105">
        <f t="shared" si="12"/>
        <v>7.792804525474168E-3</v>
      </c>
      <c r="AM22" s="236">
        <f>depths!$B$2</f>
        <v>858.95</v>
      </c>
      <c r="AO22" s="116">
        <f t="shared" si="13"/>
        <v>142.51837285680352</v>
      </c>
      <c r="AP22" s="234">
        <v>1</v>
      </c>
      <c r="AQ22" s="116">
        <f t="shared" si="14"/>
        <v>12.2866662674867</v>
      </c>
      <c r="AR22" s="234">
        <v>1</v>
      </c>
      <c r="AS22" s="116">
        <f t="shared" si="15"/>
        <v>90.945406521287822</v>
      </c>
      <c r="AT22" s="234">
        <v>1</v>
      </c>
      <c r="AU22" s="116">
        <f t="shared" si="16"/>
        <v>51.572966335515709</v>
      </c>
      <c r="AV22" s="234">
        <v>1</v>
      </c>
      <c r="AW22" s="116">
        <f t="shared" si="17"/>
        <v>7.7928045254741685</v>
      </c>
      <c r="AX22" s="234">
        <v>1</v>
      </c>
      <c r="AY22" s="116">
        <f t="shared" si="18"/>
        <v>7.4019595341292828</v>
      </c>
      <c r="AZ22" s="116">
        <f t="shared" si="19"/>
        <v>4.1974743362232809</v>
      </c>
      <c r="BA22" s="116">
        <f>main!R23</f>
        <v>38.770000000000003</v>
      </c>
      <c r="BB22" s="234">
        <v>1</v>
      </c>
      <c r="BC22" s="116">
        <f>main!S23</f>
        <v>8.4359999999999999</v>
      </c>
      <c r="BD22" s="234">
        <v>1</v>
      </c>
    </row>
    <row r="23" spans="1:56">
      <c r="A23">
        <f>main!A24</f>
        <v>2019</v>
      </c>
      <c r="B23" t="str">
        <f>main!B24</f>
        <v>47_1000</v>
      </c>
      <c r="C23">
        <v>18</v>
      </c>
      <c r="D23" t="str">
        <f>main!$B$6</f>
        <v>McLane-PARFLUX-Mark78H-21 ; controller sn ML11640-01, frame sn 2241, motor sn 11649-01, cup set D250x21</v>
      </c>
      <c r="E23">
        <v>1000</v>
      </c>
      <c r="F23" s="66">
        <v>1</v>
      </c>
      <c r="G23" s="112">
        <f>main!E24</f>
        <v>250.32857142857148</v>
      </c>
      <c r="H23" s="105">
        <f>main!I24</f>
        <v>26.350375939849631</v>
      </c>
      <c r="I23" s="116">
        <f>main!J24</f>
        <v>9.624474812030078</v>
      </c>
      <c r="J23" s="234">
        <v>1</v>
      </c>
      <c r="K23" s="116">
        <f>main!AF24</f>
        <v>51.46975723752265</v>
      </c>
      <c r="L23" s="116">
        <f>main!AG24</f>
        <v>6.1761507692080277</v>
      </c>
      <c r="M23" s="234">
        <v>1</v>
      </c>
      <c r="N23" s="116">
        <f>main!M24</f>
        <v>21.95036506652832</v>
      </c>
      <c r="O23" s="234">
        <v>1</v>
      </c>
      <c r="P23" s="116">
        <f>main!O24</f>
        <v>2.4620542526245117</v>
      </c>
      <c r="Q23" s="234">
        <v>1</v>
      </c>
      <c r="R23" s="116">
        <f>main!AH24</f>
        <v>15.774214297320292</v>
      </c>
      <c r="S23" s="234">
        <v>1</v>
      </c>
      <c r="T23" s="116">
        <f>main!AB24</f>
        <v>2.3985475407432224</v>
      </c>
      <c r="U23" s="234">
        <v>1</v>
      </c>
      <c r="V23" s="116">
        <f>main!AC24</f>
        <v>5.1309619695001878</v>
      </c>
      <c r="W23" s="116">
        <f t="shared" si="1"/>
        <v>4.9536938211383958</v>
      </c>
      <c r="X23" s="116">
        <f t="shared" si="2"/>
        <v>0.59442207513542855</v>
      </c>
      <c r="Y23" s="116">
        <f t="shared" si="3"/>
        <v>2.1126073569766675</v>
      </c>
      <c r="Z23" s="116">
        <f t="shared" si="4"/>
        <v>0.23695979140236151</v>
      </c>
      <c r="AA23" s="116">
        <f t="shared" si="5"/>
        <v>1.5181852818412387</v>
      </c>
      <c r="AB23" s="116">
        <f t="shared" si="6"/>
        <v>0.49382814236938799</v>
      </c>
      <c r="AC23" s="67">
        <f>main!T24</f>
        <v>43873</v>
      </c>
      <c r="AD23" s="67">
        <f>main!U24</f>
        <v>43892</v>
      </c>
      <c r="AE23" s="67">
        <f>main!V24</f>
        <v>43882.5</v>
      </c>
      <c r="AF23" s="112">
        <f>main!H24</f>
        <v>19</v>
      </c>
      <c r="AG23" s="105">
        <f t="shared" si="7"/>
        <v>0.23084760391339829</v>
      </c>
      <c r="AH23" s="105">
        <f t="shared" si="8"/>
        <v>0.17590402639272834</v>
      </c>
      <c r="AI23" s="105">
        <f t="shared" si="9"/>
        <v>1.6913618230004389E-2</v>
      </c>
      <c r="AJ23" s="105">
        <f t="shared" si="10"/>
        <v>0.12641009840476591</v>
      </c>
      <c r="AK23" s="105">
        <f t="shared" si="11"/>
        <v>4.9493927987962413E-2</v>
      </c>
      <c r="AL23" s="105">
        <f t="shared" si="12"/>
        <v>8.2181418267496722E-3</v>
      </c>
      <c r="AM23" s="236">
        <f>depths!$B$2</f>
        <v>858.95</v>
      </c>
      <c r="AO23" s="116">
        <f t="shared" si="13"/>
        <v>175.90402639272835</v>
      </c>
      <c r="AP23" s="234">
        <v>1</v>
      </c>
      <c r="AQ23" s="116">
        <f t="shared" si="14"/>
        <v>16.913618230004388</v>
      </c>
      <c r="AR23" s="234">
        <v>1</v>
      </c>
      <c r="AS23" s="116">
        <f t="shared" si="15"/>
        <v>126.41009840476592</v>
      </c>
      <c r="AT23" s="234">
        <v>1</v>
      </c>
      <c r="AU23" s="116">
        <f t="shared" si="16"/>
        <v>49.493927987962415</v>
      </c>
      <c r="AV23" s="234">
        <v>1</v>
      </c>
      <c r="AW23" s="116">
        <f t="shared" si="17"/>
        <v>8.2181418267496724</v>
      </c>
      <c r="AX23" s="234">
        <v>1</v>
      </c>
      <c r="AY23" s="116">
        <f t="shared" si="18"/>
        <v>7.4738649463257465</v>
      </c>
      <c r="AZ23" s="116">
        <f t="shared" si="19"/>
        <v>2.9262767620095191</v>
      </c>
      <c r="BA23" s="116">
        <f>main!R24</f>
        <v>37.840000000000003</v>
      </c>
      <c r="BB23" s="234">
        <v>1</v>
      </c>
      <c r="BC23" s="116">
        <f>main!S24</f>
        <v>8.3320000000000007</v>
      </c>
      <c r="BD23" s="234">
        <v>1</v>
      </c>
    </row>
    <row r="24" spans="1:56">
      <c r="A24">
        <f>main!A25</f>
        <v>2019</v>
      </c>
      <c r="B24" t="str">
        <f>main!B25</f>
        <v>47_1000</v>
      </c>
      <c r="C24">
        <v>19</v>
      </c>
      <c r="D24" t="str">
        <f>main!$B$6</f>
        <v>McLane-PARFLUX-Mark78H-21 ; controller sn ML11640-01, frame sn 2241, motor sn 11649-01, cup set D250x21</v>
      </c>
      <c r="E24">
        <v>1000</v>
      </c>
      <c r="F24" s="66">
        <v>1</v>
      </c>
      <c r="G24" s="112">
        <f>main!E25</f>
        <v>324.08571428571429</v>
      </c>
      <c r="H24" s="105">
        <f>main!I25</f>
        <v>34.114285714285714</v>
      </c>
      <c r="I24" s="116">
        <f>main!J25</f>
        <v>12.460242857142859</v>
      </c>
      <c r="J24" s="234">
        <v>1</v>
      </c>
      <c r="K24" s="116">
        <f>main!AF25</f>
        <v>57.699537117459684</v>
      </c>
      <c r="L24" s="116">
        <f>main!AG25</f>
        <v>6.9236977144930139</v>
      </c>
      <c r="M24" s="234">
        <v>1</v>
      </c>
      <c r="N24" s="116">
        <f>main!M25</f>
        <v>20.553665161132813</v>
      </c>
      <c r="O24" s="234">
        <v>1</v>
      </c>
      <c r="P24" s="116">
        <f>main!O25</f>
        <v>2.2835824489593506</v>
      </c>
      <c r="Q24" s="234">
        <v>1</v>
      </c>
      <c r="R24" s="116">
        <f>main!AH25</f>
        <v>13.6299674466398</v>
      </c>
      <c r="S24" s="234">
        <v>1</v>
      </c>
      <c r="T24" s="116">
        <f>main!AB25</f>
        <v>1.5691584583196199</v>
      </c>
      <c r="U24" s="234">
        <v>1</v>
      </c>
      <c r="V24" s="116">
        <f>main!AC25</f>
        <v>3.3567366237246694</v>
      </c>
      <c r="W24" s="116">
        <f t="shared" si="1"/>
        <v>7.1895024522827633</v>
      </c>
      <c r="X24" s="116">
        <f t="shared" si="2"/>
        <v>0.86270954992027915</v>
      </c>
      <c r="Y24" s="116">
        <f t="shared" si="3"/>
        <v>2.5610365951211116</v>
      </c>
      <c r="Z24" s="116">
        <f t="shared" si="4"/>
        <v>0.28453991898342545</v>
      </c>
      <c r="AA24" s="116">
        <f t="shared" si="5"/>
        <v>1.6983270452008323</v>
      </c>
      <c r="AB24" s="116">
        <f t="shared" si="6"/>
        <v>0.4182575353907515</v>
      </c>
      <c r="AC24" s="67">
        <f>main!T25</f>
        <v>43892</v>
      </c>
      <c r="AD24" s="67">
        <f>main!U25</f>
        <v>43911</v>
      </c>
      <c r="AE24" s="67">
        <f>main!V25</f>
        <v>43901.5</v>
      </c>
      <c r="AF24" s="112">
        <f>main!H25</f>
        <v>19</v>
      </c>
      <c r="AG24" s="105">
        <f t="shared" si="7"/>
        <v>0.19552095472002343</v>
      </c>
      <c r="AH24" s="105">
        <f t="shared" si="8"/>
        <v>0.2132420145812749</v>
      </c>
      <c r="AI24" s="105">
        <f t="shared" si="9"/>
        <v>2.030977294671131E-2</v>
      </c>
      <c r="AJ24" s="105">
        <f t="shared" si="10"/>
        <v>0.14140941258957804</v>
      </c>
      <c r="AK24" s="105">
        <f t="shared" si="11"/>
        <v>7.1832601991696846E-2</v>
      </c>
      <c r="AL24" s="105">
        <f t="shared" si="12"/>
        <v>6.9605181459602506E-3</v>
      </c>
      <c r="AM24" s="236">
        <f>depths!$B$2</f>
        <v>858.95</v>
      </c>
      <c r="AO24" s="116">
        <f t="shared" si="13"/>
        <v>213.2420145812749</v>
      </c>
      <c r="AP24" s="234">
        <v>1</v>
      </c>
      <c r="AQ24" s="116">
        <f t="shared" si="14"/>
        <v>20.309772946711309</v>
      </c>
      <c r="AR24" s="234">
        <v>1</v>
      </c>
      <c r="AS24" s="116">
        <f t="shared" si="15"/>
        <v>141.40941258957804</v>
      </c>
      <c r="AT24" s="234">
        <v>1</v>
      </c>
      <c r="AU24" s="116">
        <f t="shared" si="16"/>
        <v>71.832601991696848</v>
      </c>
      <c r="AV24" s="234">
        <v>1</v>
      </c>
      <c r="AW24" s="116">
        <f t="shared" si="17"/>
        <v>6.9605181459602505</v>
      </c>
      <c r="AX24" s="234">
        <v>1</v>
      </c>
      <c r="AY24" s="116">
        <f t="shared" si="18"/>
        <v>6.9626289255230684</v>
      </c>
      <c r="AZ24" s="116">
        <f t="shared" si="19"/>
        <v>3.5368490913301152</v>
      </c>
      <c r="BA24" s="116">
        <f>main!R25</f>
        <v>37.85</v>
      </c>
      <c r="BB24" s="234">
        <v>1</v>
      </c>
      <c r="BC24" s="116">
        <f>main!S25</f>
        <v>8.2759999999999998</v>
      </c>
      <c r="BD24" s="234">
        <v>1</v>
      </c>
    </row>
    <row r="25" spans="1:56">
      <c r="A25">
        <f>main!A26</f>
        <v>2019</v>
      </c>
      <c r="B25" t="str">
        <f>main!B26</f>
        <v>47_1000</v>
      </c>
      <c r="C25">
        <v>20</v>
      </c>
      <c r="D25" t="str">
        <f>main!$B$6</f>
        <v>McLane-PARFLUX-Mark78H-21 ; controller sn ML11640-01, frame sn 2241, motor sn 11649-01, cup set D250x21</v>
      </c>
      <c r="E25">
        <v>1000</v>
      </c>
      <c r="F25" s="66">
        <v>1</v>
      </c>
      <c r="G25" s="112">
        <f>main!E26</f>
        <v>238.44285714285715</v>
      </c>
      <c r="H25" s="105">
        <f>main!I26</f>
        <v>25.099248120300754</v>
      </c>
      <c r="I25" s="116">
        <f>main!J26</f>
        <v>9.1675003759398503</v>
      </c>
      <c r="J25" s="234">
        <v>2</v>
      </c>
      <c r="K25" s="116">
        <f>main!AF26</f>
        <v>52.406630128377785</v>
      </c>
      <c r="L25" s="116">
        <f>main!AG26</f>
        <v>6.2885715097761761</v>
      </c>
      <c r="M25" s="234">
        <v>2</v>
      </c>
      <c r="N25" s="116">
        <f>main!M26</f>
        <v>20.583889007568359</v>
      </c>
      <c r="O25" s="234">
        <v>2</v>
      </c>
      <c r="P25" s="116">
        <f>main!O26</f>
        <v>2.4531049728393555</v>
      </c>
      <c r="Q25" s="234">
        <v>2</v>
      </c>
      <c r="R25" s="116">
        <f>main!AH26</f>
        <v>14.295317497792183</v>
      </c>
      <c r="S25" s="234">
        <v>2</v>
      </c>
      <c r="T25" s="116">
        <f>main!AB26</f>
        <v>0.75516641537555029</v>
      </c>
      <c r="U25" s="234">
        <v>2</v>
      </c>
      <c r="V25" s="116">
        <f>main!AC26</f>
        <v>1.6154485546428201</v>
      </c>
      <c r="W25" s="116">
        <f t="shared" si="1"/>
        <v>4.8043780140364403</v>
      </c>
      <c r="X25" s="116">
        <f t="shared" si="2"/>
        <v>0.57650481679997734</v>
      </c>
      <c r="Y25" s="116">
        <f t="shared" si="3"/>
        <v>1.8870281021518709</v>
      </c>
      <c r="Z25" s="116">
        <f t="shared" si="4"/>
        <v>0.22488840760724707</v>
      </c>
      <c r="AA25" s="116">
        <f t="shared" si="5"/>
        <v>1.3105232853518938</v>
      </c>
      <c r="AB25" s="116">
        <f t="shared" si="6"/>
        <v>0.1480962523199954</v>
      </c>
      <c r="AC25" s="67">
        <f>main!T26</f>
        <v>43911</v>
      </c>
      <c r="AD25" s="67">
        <f>main!U26</f>
        <v>43930</v>
      </c>
      <c r="AE25" s="67">
        <f>main!V26</f>
        <v>43920.5</v>
      </c>
      <c r="AF25" s="112">
        <f>main!H26</f>
        <v>19</v>
      </c>
      <c r="AG25" s="105">
        <f t="shared" si="7"/>
        <v>6.9229883968525058E-2</v>
      </c>
      <c r="AH25" s="105">
        <f t="shared" si="8"/>
        <v>0.15712140733987268</v>
      </c>
      <c r="AI25" s="105">
        <f t="shared" si="9"/>
        <v>1.6051991977676452E-2</v>
      </c>
      <c r="AJ25" s="105">
        <f t="shared" si="10"/>
        <v>0.10911934099516185</v>
      </c>
      <c r="AK25" s="105">
        <f t="shared" si="11"/>
        <v>4.8002066344710853E-2</v>
      </c>
      <c r="AL25" s="105">
        <f t="shared" si="12"/>
        <v>2.4645740109834483E-3</v>
      </c>
      <c r="AM25" s="236">
        <f>depths!$B$2</f>
        <v>858.95</v>
      </c>
      <c r="AO25" s="116">
        <f t="shared" si="13"/>
        <v>157.12140733987269</v>
      </c>
      <c r="AP25" s="234">
        <v>2</v>
      </c>
      <c r="AQ25" s="116">
        <f t="shared" si="14"/>
        <v>16.051991977676451</v>
      </c>
      <c r="AR25" s="234">
        <v>2</v>
      </c>
      <c r="AS25" s="116">
        <f t="shared" si="15"/>
        <v>109.11934099516185</v>
      </c>
      <c r="AT25" s="234">
        <v>2</v>
      </c>
      <c r="AU25" s="116">
        <f t="shared" si="16"/>
        <v>48.002066344710855</v>
      </c>
      <c r="AV25" s="234">
        <v>2</v>
      </c>
      <c r="AW25" s="116">
        <f t="shared" si="17"/>
        <v>2.4645740109834482</v>
      </c>
      <c r="AX25" s="234">
        <v>2</v>
      </c>
      <c r="AY25" s="116">
        <f t="shared" si="18"/>
        <v>6.7978691458925731</v>
      </c>
      <c r="AZ25" s="116">
        <f t="shared" si="19"/>
        <v>2.9904118075480888</v>
      </c>
      <c r="BA25" s="116">
        <f>main!R26</f>
        <v>37.33</v>
      </c>
      <c r="BB25" s="234">
        <v>1</v>
      </c>
      <c r="BC25" s="116">
        <f>main!S26</f>
        <v>8.2949999999999999</v>
      </c>
      <c r="BD25" s="234">
        <v>1</v>
      </c>
    </row>
    <row r="26" spans="1:56" s="288" customFormat="1" ht="15" thickBot="1">
      <c r="A26" s="288">
        <f>main!A27</f>
        <v>2019</v>
      </c>
      <c r="B26" s="288" t="str">
        <f>main!B27</f>
        <v>47_1000</v>
      </c>
      <c r="C26" s="288">
        <v>21</v>
      </c>
      <c r="D26" s="288" t="str">
        <f>main!$B$6</f>
        <v>McLane-PARFLUX-Mark78H-21 ; controller sn ML11640-01, frame sn 2241, motor sn 11649-01, cup set D250x21</v>
      </c>
      <c r="E26" s="288">
        <v>1000</v>
      </c>
      <c r="F26" s="66">
        <v>1</v>
      </c>
      <c r="G26" s="289">
        <f>main!E27</f>
        <v>415.82857142857154</v>
      </c>
      <c r="H26" s="290">
        <f>main!I27</f>
        <v>43.771428571428579</v>
      </c>
      <c r="I26" s="291">
        <f>main!J27</f>
        <v>15.98751428571429</v>
      </c>
      <c r="J26" s="292">
        <v>1</v>
      </c>
      <c r="K26" s="291">
        <f>main!AF27</f>
        <v>65.359231399229074</v>
      </c>
      <c r="L26" s="291">
        <f>main!AG27</f>
        <v>7.8428282732779335</v>
      </c>
      <c r="M26" s="292">
        <v>1</v>
      </c>
      <c r="N26" s="291">
        <f>main!M27</f>
        <v>18.822460174560547</v>
      </c>
      <c r="O26" s="292">
        <v>1</v>
      </c>
      <c r="P26" s="291">
        <f>main!O27</f>
        <v>1.962510347366333</v>
      </c>
      <c r="Q26" s="292">
        <v>1</v>
      </c>
      <c r="R26" s="291">
        <f>main!AH27</f>
        <v>10.979631901282612</v>
      </c>
      <c r="S26" s="292">
        <v>1</v>
      </c>
      <c r="T26" s="291">
        <f>main!AB27</f>
        <v>1.020350993602831</v>
      </c>
      <c r="U26" s="292">
        <v>1</v>
      </c>
      <c r="V26" s="291">
        <f>main!AC27</f>
        <v>2.1827301959983667</v>
      </c>
      <c r="W26" s="291">
        <f t="shared" si="1"/>
        <v>10.449316456984809</v>
      </c>
      <c r="X26" s="291">
        <f t="shared" si="2"/>
        <v>1.253873290594349</v>
      </c>
      <c r="Y26" s="291">
        <f t="shared" si="3"/>
        <v>3.0092435093307501</v>
      </c>
      <c r="Z26" s="291">
        <f t="shared" si="4"/>
        <v>0.31375662214381361</v>
      </c>
      <c r="AA26" s="291">
        <f t="shared" si="5"/>
        <v>1.7553702187364011</v>
      </c>
      <c r="AB26" s="291">
        <f t="shared" si="6"/>
        <v>0.34896430190383837</v>
      </c>
      <c r="AC26" s="293">
        <f>main!T27</f>
        <v>43930</v>
      </c>
      <c r="AD26" s="293">
        <f>main!U27</f>
        <v>43949</v>
      </c>
      <c r="AE26" s="293">
        <f>main!V27</f>
        <v>43939.5</v>
      </c>
      <c r="AF26" s="289">
        <f>main!H27</f>
        <v>19</v>
      </c>
      <c r="AG26" s="290">
        <f t="shared" si="7"/>
        <v>0.16312876086668032</v>
      </c>
      <c r="AH26" s="290">
        <f t="shared" si="8"/>
        <v>0.25056149120156124</v>
      </c>
      <c r="AI26" s="290">
        <f t="shared" si="9"/>
        <v>2.2395190731178703E-2</v>
      </c>
      <c r="AJ26" s="290">
        <f t="shared" si="10"/>
        <v>0.14615905235107421</v>
      </c>
      <c r="AK26" s="290">
        <f t="shared" si="11"/>
        <v>0.10440243885048701</v>
      </c>
      <c r="AL26" s="290">
        <f t="shared" si="12"/>
        <v>5.8073606574111898E-3</v>
      </c>
      <c r="AM26" s="294">
        <f>depths!$B$2</f>
        <v>858.95</v>
      </c>
      <c r="AO26" s="291">
        <f t="shared" si="13"/>
        <v>250.56149120156124</v>
      </c>
      <c r="AP26" s="292">
        <v>1</v>
      </c>
      <c r="AQ26" s="291">
        <f t="shared" si="14"/>
        <v>22.395190731178705</v>
      </c>
      <c r="AR26" s="292">
        <v>1</v>
      </c>
      <c r="AS26" s="291">
        <f t="shared" si="15"/>
        <v>146.15905235107422</v>
      </c>
      <c r="AT26" s="292">
        <v>1</v>
      </c>
      <c r="AU26" s="291">
        <f t="shared" si="16"/>
        <v>104.40243885048702</v>
      </c>
      <c r="AV26" s="292">
        <v>1</v>
      </c>
      <c r="AW26" s="291">
        <f t="shared" si="17"/>
        <v>5.8073606574111896</v>
      </c>
      <c r="AX26" s="292">
        <v>1</v>
      </c>
      <c r="AY26" s="291">
        <f t="shared" si="18"/>
        <v>6.5263589002432925</v>
      </c>
      <c r="AZ26" s="291">
        <f t="shared" si="19"/>
        <v>4.6618240542661411</v>
      </c>
      <c r="BA26" s="291">
        <f>main!R27</f>
        <v>37.64</v>
      </c>
      <c r="BB26" s="234">
        <v>1</v>
      </c>
      <c r="BC26" s="291">
        <f>main!S27</f>
        <v>8.1739999999999995</v>
      </c>
      <c r="BD26" s="234">
        <v>1</v>
      </c>
    </row>
    <row r="27" spans="1:56" ht="15" thickTop="1">
      <c r="A27">
        <f>main!A31</f>
        <v>2019</v>
      </c>
      <c r="B27" t="str">
        <f>main!B31</f>
        <v>47_2000</v>
      </c>
      <c r="C27">
        <v>1</v>
      </c>
      <c r="D27" t="str">
        <f>main!$B$30</f>
        <v>McLane-PARFLUX-Mark78H-21 ; controller sn ML11741-01, frame sn 14182-01, motor sn 14182-01, cup set E250x21</v>
      </c>
      <c r="E27">
        <v>2000</v>
      </c>
      <c r="F27" s="66">
        <v>1</v>
      </c>
      <c r="G27" s="112">
        <f>main!E31</f>
        <v>736.7</v>
      </c>
      <c r="H27" s="105">
        <f>main!I31</f>
        <v>77.547368421052639</v>
      </c>
      <c r="I27" s="116">
        <f>main!J31</f>
        <v>28.324176315789476</v>
      </c>
      <c r="J27" s="234">
        <v>1</v>
      </c>
      <c r="K27" s="116">
        <f>main!AF31</f>
        <v>65.379281650516432</v>
      </c>
      <c r="L27" s="116">
        <f>main!AG31</f>
        <v>7.845234217691849</v>
      </c>
      <c r="M27" s="234">
        <v>1</v>
      </c>
      <c r="N27" s="116">
        <f>main!M31</f>
        <v>14.198935508728027</v>
      </c>
      <c r="O27" s="234">
        <v>1</v>
      </c>
      <c r="P27" s="116">
        <f>main!O31</f>
        <v>0.93131935596466064</v>
      </c>
      <c r="Q27" s="234">
        <v>1</v>
      </c>
      <c r="R27" s="116">
        <f>main!AH31</f>
        <v>6.3537012910361783</v>
      </c>
      <c r="S27" s="234">
        <v>1</v>
      </c>
      <c r="T27" s="116">
        <f>main!AB31</f>
        <v>6.2644264321701808</v>
      </c>
      <c r="U27" s="234">
        <v>1</v>
      </c>
      <c r="V27" s="116">
        <f>main!AC31</f>
        <v>13.400832478074268</v>
      </c>
      <c r="W27" s="116">
        <f>(K27/100)*$I27</f>
        <v>18.51814300868887</v>
      </c>
      <c r="X27" s="116">
        <f t="shared" ref="X27" si="20">(L27/100)*$I27</f>
        <v>2.2220979722056864</v>
      </c>
      <c r="Y27" s="116">
        <f t="shared" ref="Y27" si="21">(N27/100)*$I27</f>
        <v>4.0217315284573658</v>
      </c>
      <c r="Z27" s="116">
        <f t="shared" ref="Z27" si="22">(P27/100)*$I27</f>
        <v>0.26378853644650546</v>
      </c>
      <c r="AA27" s="116">
        <f t="shared" ref="AA27" si="23">(R27/100)*$I27</f>
        <v>1.7996335562516796</v>
      </c>
      <c r="AB27" s="116">
        <f t="shared" ref="AB27" si="24">(V27/100)*$I27</f>
        <v>3.7956754188733357</v>
      </c>
      <c r="AC27" s="67">
        <f>main!T31</f>
        <v>43550</v>
      </c>
      <c r="AD27" s="67">
        <f>main!U31</f>
        <v>43569</v>
      </c>
      <c r="AE27" s="67">
        <f>main!V31</f>
        <v>43559.5</v>
      </c>
      <c r="AF27" s="112">
        <f>main!H31</f>
        <v>19</v>
      </c>
      <c r="AG27" s="105">
        <f>(T27/100)*$I27</f>
        <v>1.7743471878208021</v>
      </c>
      <c r="AH27" s="105">
        <f t="shared" ref="AH27" si="25">Y27/12.01</f>
        <v>0.33486523967172072</v>
      </c>
      <c r="AI27" s="105">
        <f t="shared" ref="AI27" si="26">Z27/14.01</f>
        <v>1.8828589325232369E-2</v>
      </c>
      <c r="AJ27" s="105">
        <f t="shared" ref="AJ27" si="27">AA27/12.01</f>
        <v>0.14984459252720064</v>
      </c>
      <c r="AK27" s="105">
        <f t="shared" ref="AK27" si="28">X27/12.01</f>
        <v>0.1850206471445201</v>
      </c>
      <c r="AL27" s="105">
        <f t="shared" ref="AL27" si="29">AG27/28.09</f>
        <v>6.3166507220391674E-2</v>
      </c>
      <c r="AM27" s="236">
        <f>depths!$B$3</f>
        <v>1887.9</v>
      </c>
      <c r="AO27" s="116">
        <f t="shared" ref="AO27" si="30">AH27*1000</f>
        <v>334.8652396717207</v>
      </c>
      <c r="AP27" s="234">
        <v>1</v>
      </c>
      <c r="AQ27" s="116">
        <f t="shared" ref="AQ27" si="31">AI27*1000</f>
        <v>18.828589325232368</v>
      </c>
      <c r="AR27" s="234">
        <v>1</v>
      </c>
      <c r="AS27" s="116">
        <f t="shared" ref="AS27" si="32">AJ27*1000</f>
        <v>149.84459252720063</v>
      </c>
      <c r="AT27" s="234">
        <v>1</v>
      </c>
      <c r="AU27" s="116">
        <f t="shared" ref="AU27" si="33">AK27*1000</f>
        <v>185.0206471445201</v>
      </c>
      <c r="AV27" s="234">
        <v>1</v>
      </c>
      <c r="AW27" s="116">
        <f t="shared" ref="AW27" si="34">AL27*1000</f>
        <v>63.166507220391672</v>
      </c>
      <c r="AX27" s="234">
        <v>1</v>
      </c>
      <c r="AY27" s="116">
        <f t="shared" ref="AY27" si="35">AS27/AQ27</f>
        <v>7.9583547093670211</v>
      </c>
      <c r="AZ27" s="116">
        <f t="shared" ref="AZ27" si="36">AU27/AQ27</f>
        <v>9.8265804170773539</v>
      </c>
      <c r="BA27" s="116">
        <f>main!R31</f>
        <v>39.31</v>
      </c>
      <c r="BB27" s="234">
        <v>1</v>
      </c>
      <c r="BC27" s="116">
        <f>main!S31</f>
        <v>8.59</v>
      </c>
      <c r="BD27" s="234">
        <v>1</v>
      </c>
    </row>
    <row r="28" spans="1:56">
      <c r="A28">
        <f>main!A32</f>
        <v>2019</v>
      </c>
      <c r="B28" t="str">
        <f>main!B32</f>
        <v>47_2000</v>
      </c>
      <c r="C28">
        <v>2</v>
      </c>
      <c r="D28" t="str">
        <f>main!$B$30</f>
        <v>McLane-PARFLUX-Mark78H-21 ; controller sn ML11741-01, frame sn 14182-01, motor sn 14182-01, cup set E250x21</v>
      </c>
      <c r="E28">
        <v>2000</v>
      </c>
      <c r="F28" s="66">
        <v>1</v>
      </c>
      <c r="G28" s="112">
        <f>main!E32</f>
        <v>715.44285714285718</v>
      </c>
      <c r="H28" s="105">
        <f>main!I32</f>
        <v>75.309774436090223</v>
      </c>
      <c r="I28" s="116">
        <f>main!J32</f>
        <v>27.506895112781962</v>
      </c>
      <c r="J28" s="234">
        <v>1</v>
      </c>
      <c r="K28" s="116">
        <f>main!AF32</f>
        <v>64.482712401487859</v>
      </c>
      <c r="L28" s="116">
        <f>main!AG32</f>
        <v>7.7376497417930734</v>
      </c>
      <c r="M28" s="234">
        <v>1</v>
      </c>
      <c r="N28" s="116">
        <f>main!M32</f>
        <v>13.804064750671387</v>
      </c>
      <c r="O28" s="234">
        <v>1</v>
      </c>
      <c r="P28" s="116">
        <f>main!O32</f>
        <v>0.95144325494766235</v>
      </c>
      <c r="Q28" s="234">
        <v>1</v>
      </c>
      <c r="R28" s="116">
        <f>main!AH32</f>
        <v>6.0664150088783133</v>
      </c>
      <c r="S28" s="234">
        <v>1</v>
      </c>
      <c r="T28" s="116">
        <f>main!AB32</f>
        <v>5.9935820888151392</v>
      </c>
      <c r="U28" s="234">
        <v>1</v>
      </c>
      <c r="V28" s="116">
        <f>main!AC32</f>
        <v>12.821443492947731</v>
      </c>
      <c r="W28" s="116">
        <f t="shared" ref="W28:W48" si="37">(K28/100)*$I28</f>
        <v>17.737192066154112</v>
      </c>
      <c r="X28" s="116">
        <f t="shared" ref="X28:X48" si="38">(L28/100)*$I28</f>
        <v>2.1283871986694649</v>
      </c>
      <c r="Y28" s="116">
        <f t="shared" ref="Y28:Y48" si="39">(N28/100)*$I28</f>
        <v>3.7970696122676846</v>
      </c>
      <c r="Z28" s="116">
        <f t="shared" ref="Z28:Z48" si="40">(P28/100)*$I28</f>
        <v>0.26171249819609216</v>
      </c>
      <c r="AA28" s="116">
        <f t="shared" ref="AA28:AA48" si="41">(R28/100)*$I28</f>
        <v>1.6686824135982201</v>
      </c>
      <c r="AB28" s="116">
        <f t="shared" ref="AB28:AB48" si="42">(V28/100)*$I28</f>
        <v>3.5267810135497406</v>
      </c>
      <c r="AC28" s="67">
        <f>main!T32</f>
        <v>43569</v>
      </c>
      <c r="AD28" s="67">
        <f>main!U32</f>
        <v>43588</v>
      </c>
      <c r="AE28" s="67">
        <f>main!V32</f>
        <v>43578.5</v>
      </c>
      <c r="AF28" s="112">
        <f>main!H32</f>
        <v>19</v>
      </c>
      <c r="AG28" s="105">
        <f t="shared" ref="AG28:AG48" si="43">(T28/100)*$I28</f>
        <v>1.6486483386688666</v>
      </c>
      <c r="AH28" s="105">
        <f t="shared" ref="AH28:AH48" si="44">Y28/12.01</f>
        <v>0.31615900185409529</v>
      </c>
      <c r="AI28" s="105">
        <f t="shared" ref="AI28:AI48" si="45">Z28/14.01</f>
        <v>1.8680406723489803E-2</v>
      </c>
      <c r="AJ28" s="105">
        <f t="shared" ref="AJ28:AJ48" si="46">AA28/12.01</f>
        <v>0.13894108356354873</v>
      </c>
      <c r="AK28" s="105">
        <f t="shared" ref="AK28:AK48" si="47">X28/12.01</f>
        <v>0.17721791829054662</v>
      </c>
      <c r="AL28" s="105">
        <f t="shared" ref="AL28:AL48" si="48">AG28/28.09</f>
        <v>5.8691646090027291E-2</v>
      </c>
      <c r="AM28" s="236">
        <f>depths!$B$3</f>
        <v>1887.9</v>
      </c>
      <c r="AO28" s="116">
        <f t="shared" ref="AO28:AO48" si="49">AH28*1000</f>
        <v>316.15900185409527</v>
      </c>
      <c r="AP28" s="234">
        <v>1</v>
      </c>
      <c r="AQ28" s="116">
        <f t="shared" ref="AQ28:AQ48" si="50">AI28*1000</f>
        <v>18.680406723489803</v>
      </c>
      <c r="AR28" s="234">
        <v>1</v>
      </c>
      <c r="AS28" s="116">
        <f t="shared" ref="AS28:AS48" si="51">AJ28*1000</f>
        <v>138.94108356354872</v>
      </c>
      <c r="AT28" s="234">
        <v>1</v>
      </c>
      <c r="AU28" s="116">
        <f t="shared" ref="AU28:AU48" si="52">AK28*1000</f>
        <v>177.21791829054661</v>
      </c>
      <c r="AV28" s="234">
        <v>1</v>
      </c>
      <c r="AW28" s="116">
        <f t="shared" ref="AW28:AW48" si="53">AL28*1000</f>
        <v>58.691646090027291</v>
      </c>
      <c r="AX28" s="234">
        <v>1</v>
      </c>
      <c r="AY28" s="116">
        <f t="shared" ref="AY28:AY48" si="54">AS28/AQ28</f>
        <v>7.4377975608441282</v>
      </c>
      <c r="AZ28" s="116">
        <f t="shared" ref="AZ28:AZ48" si="55">AU28/AQ28</f>
        <v>9.48683403491974</v>
      </c>
      <c r="BA28" s="116">
        <f>main!R32</f>
        <v>38.46</v>
      </c>
      <c r="BB28" s="234">
        <v>1</v>
      </c>
      <c r="BC28" s="116">
        <f>main!S32</f>
        <v>8.4640000000000004</v>
      </c>
      <c r="BD28" s="234">
        <v>1</v>
      </c>
    </row>
    <row r="29" spans="1:56">
      <c r="A29">
        <f>main!A33</f>
        <v>2019</v>
      </c>
      <c r="B29" t="str">
        <f>main!B33</f>
        <v>47_2000</v>
      </c>
      <c r="C29">
        <v>3</v>
      </c>
      <c r="D29" t="str">
        <f>main!$B$30</f>
        <v>McLane-PARFLUX-Mark78H-21 ; controller sn ML11741-01, frame sn 14182-01, motor sn 14182-01, cup set E250x21</v>
      </c>
      <c r="E29">
        <v>2000</v>
      </c>
      <c r="F29" s="66">
        <v>1</v>
      </c>
      <c r="G29" s="112">
        <f>main!E33</f>
        <v>476.64285714285711</v>
      </c>
      <c r="H29" s="105">
        <f>main!I33</f>
        <v>50.172932330827066</v>
      </c>
      <c r="I29" s="116">
        <f>main!J33</f>
        <v>18.325663533834586</v>
      </c>
      <c r="J29" s="234">
        <v>1</v>
      </c>
      <c r="K29" s="116">
        <f>main!AF33</f>
        <v>70.547956134967279</v>
      </c>
      <c r="L29" s="116">
        <f>main!AG33</f>
        <v>8.4654530531064207</v>
      </c>
      <c r="M29" s="234">
        <v>1</v>
      </c>
      <c r="N29" s="116">
        <f>main!M33</f>
        <v>13.565476894378662</v>
      </c>
      <c r="O29" s="234">
        <v>1</v>
      </c>
      <c r="P29" s="116">
        <f>main!O33</f>
        <v>0.74777066707611084</v>
      </c>
      <c r="Q29" s="234">
        <v>1</v>
      </c>
      <c r="R29" s="116">
        <f>main!AH33</f>
        <v>5.1000238412722414</v>
      </c>
      <c r="S29" s="234">
        <v>1</v>
      </c>
      <c r="T29" s="116">
        <f>main!AB33</f>
        <v>5.099775777298702</v>
      </c>
      <c r="U29" s="234">
        <v>1</v>
      </c>
      <c r="V29" s="116">
        <f>main!AC33</f>
        <v>10.909417104232075</v>
      </c>
      <c r="W29" s="116">
        <f t="shared" si="37"/>
        <v>12.928381071291319</v>
      </c>
      <c r="X29" s="116">
        <f t="shared" si="38"/>
        <v>1.55135044312701</v>
      </c>
      <c r="Y29" s="116">
        <f t="shared" si="39"/>
        <v>2.4859636524239068</v>
      </c>
      <c r="Z29" s="116">
        <f t="shared" si="40"/>
        <v>0.13703393645307849</v>
      </c>
      <c r="AA29" s="116">
        <f t="shared" si="41"/>
        <v>0.93461320929689706</v>
      </c>
      <c r="AB29" s="116">
        <f t="shared" si="42"/>
        <v>1.9992230720241704</v>
      </c>
      <c r="AC29" s="67">
        <f>main!T33</f>
        <v>43588</v>
      </c>
      <c r="AD29" s="67">
        <f>main!U33</f>
        <v>43607</v>
      </c>
      <c r="AE29" s="67">
        <f>main!V33</f>
        <v>43597.5</v>
      </c>
      <c r="AF29" s="112">
        <f>main!H33</f>
        <v>19</v>
      </c>
      <c r="AG29" s="105">
        <f t="shared" si="43"/>
        <v>0.93456774992775749</v>
      </c>
      <c r="AH29" s="105">
        <f t="shared" si="44"/>
        <v>0.20699114508109132</v>
      </c>
      <c r="AI29" s="105">
        <f t="shared" si="45"/>
        <v>9.7811517810905413E-3</v>
      </c>
      <c r="AJ29" s="105">
        <f t="shared" si="46"/>
        <v>7.7819584454362781E-2</v>
      </c>
      <c r="AK29" s="105">
        <f t="shared" si="47"/>
        <v>0.12917156062672855</v>
      </c>
      <c r="AL29" s="105">
        <f t="shared" si="48"/>
        <v>3.3270478815512906E-2</v>
      </c>
      <c r="AM29" s="236">
        <f>depths!$B$3</f>
        <v>1887.9</v>
      </c>
      <c r="AO29" s="116">
        <f t="shared" si="49"/>
        <v>206.9911450810913</v>
      </c>
      <c r="AP29" s="234">
        <v>1</v>
      </c>
      <c r="AQ29" s="116">
        <f t="shared" si="50"/>
        <v>9.7811517810905411</v>
      </c>
      <c r="AR29" s="234">
        <v>1</v>
      </c>
      <c r="AS29" s="116">
        <f t="shared" si="51"/>
        <v>77.819584454362783</v>
      </c>
      <c r="AT29" s="234">
        <v>1</v>
      </c>
      <c r="AU29" s="116">
        <f t="shared" si="52"/>
        <v>129.17156062672854</v>
      </c>
      <c r="AV29" s="234">
        <v>1</v>
      </c>
      <c r="AW29" s="116">
        <f t="shared" si="53"/>
        <v>33.270478815512909</v>
      </c>
      <c r="AX29" s="234">
        <v>1</v>
      </c>
      <c r="AY29" s="116">
        <f t="shared" si="54"/>
        <v>7.95607574609034</v>
      </c>
      <c r="AZ29" s="116">
        <f t="shared" si="55"/>
        <v>13.20617075756355</v>
      </c>
      <c r="BA29" s="116">
        <f>main!R33</f>
        <v>36.72</v>
      </c>
      <c r="BB29" s="234">
        <v>1</v>
      </c>
      <c r="BC29" s="116">
        <f>main!S33</f>
        <v>8.5419999999999998</v>
      </c>
      <c r="BD29" s="234">
        <v>1</v>
      </c>
    </row>
    <row r="30" spans="1:56" s="367" customFormat="1">
      <c r="A30" s="367">
        <f>main!A34</f>
        <v>2019</v>
      </c>
      <c r="B30" s="367" t="str">
        <f>main!B34</f>
        <v>47_2000</v>
      </c>
      <c r="C30" s="367">
        <v>4</v>
      </c>
      <c r="D30" s="367" t="str">
        <f>main!$B$30</f>
        <v>McLane-PARFLUX-Mark78H-21 ; controller sn ML11741-01, frame sn 14182-01, motor sn 14182-01, cup set E250x21</v>
      </c>
      <c r="E30" s="367">
        <v>2000</v>
      </c>
      <c r="F30" s="367">
        <v>1</v>
      </c>
      <c r="G30" s="526">
        <f>main!E34</f>
        <v>989.07142857142856</v>
      </c>
      <c r="H30" s="527">
        <f>main!I34</f>
        <v>104.11278195488721</v>
      </c>
      <c r="I30" s="528">
        <f>main!J34</f>
        <v>38.027193609022554</v>
      </c>
      <c r="J30" s="528">
        <v>3</v>
      </c>
      <c r="K30" s="528">
        <f>main!AF34</f>
        <v>58.986623827841768</v>
      </c>
      <c r="L30" s="528">
        <f>main!AG34</f>
        <v>7.0781426157906742</v>
      </c>
      <c r="M30" s="528">
        <v>1</v>
      </c>
      <c r="N30" s="528">
        <f>main!M34</f>
        <v>13.616997718811035</v>
      </c>
      <c r="O30" s="528">
        <v>1</v>
      </c>
      <c r="P30" s="528">
        <f>main!O34</f>
        <v>0.95399433374404907</v>
      </c>
      <c r="Q30" s="528">
        <v>1</v>
      </c>
      <c r="R30" s="528">
        <f>main!AH34</f>
        <v>6.538855103020361</v>
      </c>
      <c r="S30" s="528">
        <v>1</v>
      </c>
      <c r="T30" s="528">
        <f>main!AB34</f>
        <v>7.317298668261242</v>
      </c>
      <c r="U30" s="528">
        <v>3</v>
      </c>
      <c r="V30" s="528">
        <f>main!AC34</f>
        <v>15.653131967811253</v>
      </c>
      <c r="W30" s="528">
        <f t="shared" si="37"/>
        <v>22.430957646439218</v>
      </c>
      <c r="X30" s="528">
        <f t="shared" si="38"/>
        <v>2.6916189964294528</v>
      </c>
      <c r="Y30" s="528">
        <f t="shared" si="39"/>
        <v>5.1781620862684568</v>
      </c>
      <c r="Z30" s="528">
        <f t="shared" si="40"/>
        <v>0.36277727231195434</v>
      </c>
      <c r="AA30" s="528">
        <f t="shared" si="41"/>
        <v>2.4865430898390035</v>
      </c>
      <c r="AB30" s="528">
        <f t="shared" si="42"/>
        <v>5.9524467992753873</v>
      </c>
      <c r="AC30" s="529">
        <f>main!T34</f>
        <v>43607</v>
      </c>
      <c r="AD30" s="529">
        <f>main!U34</f>
        <v>43626</v>
      </c>
      <c r="AE30" s="529">
        <f>main!V34</f>
        <v>43616.5</v>
      </c>
      <c r="AF30" s="526">
        <f>main!H34</f>
        <v>19</v>
      </c>
      <c r="AG30" s="527">
        <f t="shared" si="43"/>
        <v>2.7825633315301315</v>
      </c>
      <c r="AH30" s="527">
        <f t="shared" si="44"/>
        <v>0.43115421201236109</v>
      </c>
      <c r="AI30" s="527">
        <f t="shared" si="45"/>
        <v>2.5894166474800452E-2</v>
      </c>
      <c r="AJ30" s="527">
        <f t="shared" si="46"/>
        <v>0.20703939132714436</v>
      </c>
      <c r="AK30" s="527">
        <f t="shared" si="47"/>
        <v>0.22411482068521671</v>
      </c>
      <c r="AL30" s="527">
        <f t="shared" si="48"/>
        <v>9.9058858367039218E-2</v>
      </c>
      <c r="AM30" s="528">
        <f>depths!$B$3</f>
        <v>1887.9</v>
      </c>
      <c r="AO30" s="528">
        <f t="shared" si="49"/>
        <v>431.15421201236109</v>
      </c>
      <c r="AP30" s="528">
        <v>3</v>
      </c>
      <c r="AQ30" s="528">
        <f t="shared" si="50"/>
        <v>25.894166474800453</v>
      </c>
      <c r="AR30" s="528">
        <v>3</v>
      </c>
      <c r="AS30" s="528">
        <f t="shared" si="51"/>
        <v>207.03939132714436</v>
      </c>
      <c r="AT30" s="528">
        <v>3</v>
      </c>
      <c r="AU30" s="528">
        <f t="shared" si="52"/>
        <v>224.1148206852167</v>
      </c>
      <c r="AV30" s="528">
        <v>1</v>
      </c>
      <c r="AW30" s="528">
        <f t="shared" si="53"/>
        <v>99.058858367039221</v>
      </c>
      <c r="AX30" s="528">
        <v>3</v>
      </c>
      <c r="AY30" s="528">
        <f t="shared" si="54"/>
        <v>7.9955997629284514</v>
      </c>
      <c r="AZ30" s="528">
        <f t="shared" si="55"/>
        <v>8.655031275222532</v>
      </c>
      <c r="BA30" s="528">
        <f>main!R34</f>
        <v>37.83</v>
      </c>
      <c r="BB30" s="528">
        <v>1</v>
      </c>
      <c r="BC30" s="528">
        <f>main!S34</f>
        <v>8.4610000000000003</v>
      </c>
      <c r="BD30" s="528">
        <v>1</v>
      </c>
    </row>
    <row r="31" spans="1:56" s="367" customFormat="1">
      <c r="A31" s="367">
        <f>main!A35</f>
        <v>2019</v>
      </c>
      <c r="B31" s="367" t="str">
        <f>main!B35</f>
        <v>47_2000</v>
      </c>
      <c r="C31" s="367">
        <v>5</v>
      </c>
      <c r="D31" s="367" t="str">
        <f>main!$B$30</f>
        <v>McLane-PARFLUX-Mark78H-21 ; controller sn ML11741-01, frame sn 14182-01, motor sn 14182-01, cup set E250x21</v>
      </c>
      <c r="E31" s="367">
        <v>2000</v>
      </c>
      <c r="F31" s="367">
        <v>1</v>
      </c>
      <c r="G31" s="526">
        <f>main!E35</f>
        <v>407.71428571428567</v>
      </c>
      <c r="H31" s="527">
        <f>main!I35</f>
        <v>42.917293233082702</v>
      </c>
      <c r="I31" s="528">
        <f>main!J35</f>
        <v>15.675541353383458</v>
      </c>
      <c r="J31" s="528">
        <v>1</v>
      </c>
      <c r="K31" s="528">
        <f>main!AF35</f>
        <v>55.970229043578925</v>
      </c>
      <c r="L31" s="528">
        <f>main!AG35</f>
        <v>6.7161881406396127</v>
      </c>
      <c r="M31" s="528">
        <v>1</v>
      </c>
      <c r="N31" s="528">
        <f>main!M35</f>
        <v>12.455282211303711</v>
      </c>
      <c r="O31" s="528">
        <v>1</v>
      </c>
      <c r="P31" s="528">
        <f>main!O35</f>
        <v>0.84419530630111694</v>
      </c>
      <c r="Q31" s="528">
        <v>1</v>
      </c>
      <c r="R31" s="528">
        <f>main!AH35</f>
        <v>5.7390940706640983</v>
      </c>
      <c r="S31" s="528">
        <v>1</v>
      </c>
      <c r="T31" s="528">
        <f>main!AB35</f>
        <v>9.70295532287669</v>
      </c>
      <c r="U31" s="528">
        <v>3</v>
      </c>
      <c r="V31" s="528">
        <f>main!AC35</f>
        <v>20.756517812447857</v>
      </c>
      <c r="W31" s="528">
        <f t="shared" si="37"/>
        <v>8.7736363993096536</v>
      </c>
      <c r="X31" s="528">
        <f t="shared" si="38"/>
        <v>1.0527988493569982</v>
      </c>
      <c r="Y31" s="528">
        <f t="shared" si="39"/>
        <v>1.952432913713527</v>
      </c>
      <c r="Z31" s="528">
        <f t="shared" si="40"/>
        <v>0.13233218434255373</v>
      </c>
      <c r="AA31" s="528">
        <f t="shared" si="41"/>
        <v>0.89963406435652882</v>
      </c>
      <c r="AB31" s="528">
        <f t="shared" si="42"/>
        <v>3.2536965332126675</v>
      </c>
      <c r="AC31" s="529">
        <f>main!T35</f>
        <v>43626</v>
      </c>
      <c r="AD31" s="529">
        <f>main!U35</f>
        <v>43645</v>
      </c>
      <c r="AE31" s="529">
        <f>main!V35</f>
        <v>43635.5</v>
      </c>
      <c r="AF31" s="526">
        <f>main!H35</f>
        <v>19</v>
      </c>
      <c r="AG31" s="527">
        <f t="shared" si="43"/>
        <v>1.520990774137857</v>
      </c>
      <c r="AH31" s="527">
        <f t="shared" si="44"/>
        <v>0.16256727008439026</v>
      </c>
      <c r="AI31" s="527">
        <f t="shared" si="45"/>
        <v>9.4455520587119011E-3</v>
      </c>
      <c r="AJ31" s="527">
        <f t="shared" si="46"/>
        <v>7.4907082794049035E-2</v>
      </c>
      <c r="AK31" s="527">
        <f t="shared" si="47"/>
        <v>8.7660187290341238E-2</v>
      </c>
      <c r="AL31" s="527">
        <f t="shared" si="48"/>
        <v>5.4147054971087828E-2</v>
      </c>
      <c r="AM31" s="528">
        <f>depths!$B$3</f>
        <v>1887.9</v>
      </c>
      <c r="AO31" s="528">
        <f t="shared" si="49"/>
        <v>162.56727008439026</v>
      </c>
      <c r="AP31" s="528">
        <v>1</v>
      </c>
      <c r="AQ31" s="528">
        <f t="shared" si="50"/>
        <v>9.4455520587119004</v>
      </c>
      <c r="AR31" s="528">
        <v>1</v>
      </c>
      <c r="AS31" s="528">
        <f t="shared" si="51"/>
        <v>74.907082794049032</v>
      </c>
      <c r="AT31" s="528">
        <v>1</v>
      </c>
      <c r="AU31" s="528">
        <f t="shared" si="52"/>
        <v>87.660187290341241</v>
      </c>
      <c r="AV31" s="528">
        <v>1</v>
      </c>
      <c r="AW31" s="528">
        <f t="shared" si="53"/>
        <v>54.147054971087826</v>
      </c>
      <c r="AX31" s="528">
        <v>3</v>
      </c>
      <c r="AY31" s="528">
        <f t="shared" si="54"/>
        <v>7.9304081252678191</v>
      </c>
      <c r="AZ31" s="528">
        <f t="shared" si="55"/>
        <v>9.2805784929732891</v>
      </c>
      <c r="BA31" s="528">
        <f>main!R35</f>
        <v>39.18</v>
      </c>
      <c r="BB31" s="528">
        <v>1</v>
      </c>
      <c r="BC31" s="528">
        <f>main!S35</f>
        <v>8.5920000000000005</v>
      </c>
      <c r="BD31" s="528">
        <v>1</v>
      </c>
    </row>
    <row r="32" spans="1:56">
      <c r="A32">
        <f>main!A36</f>
        <v>2019</v>
      </c>
      <c r="B32" t="str">
        <f>main!B36</f>
        <v>47_2000</v>
      </c>
      <c r="C32">
        <v>6</v>
      </c>
      <c r="D32" t="str">
        <f>main!$B$30</f>
        <v>McLane-PARFLUX-Mark78H-21 ; controller sn ML11741-01, frame sn 14182-01, motor sn 14182-01, cup set E250x21</v>
      </c>
      <c r="E32">
        <v>2000</v>
      </c>
      <c r="F32" s="66">
        <v>1</v>
      </c>
      <c r="G32" s="112">
        <f>main!E36</f>
        <v>418.12857142857138</v>
      </c>
      <c r="H32" s="105">
        <f>main!I36</f>
        <v>44.013533834586461</v>
      </c>
      <c r="I32" s="116">
        <f>main!J36</f>
        <v>16.075943233082707</v>
      </c>
      <c r="J32" s="234">
        <v>1</v>
      </c>
      <c r="K32" s="116">
        <f>main!AF36</f>
        <v>59.738062201019737</v>
      </c>
      <c r="L32" s="116">
        <f>main!AG36</f>
        <v>7.1683120072082058</v>
      </c>
      <c r="M32" s="234">
        <v>1</v>
      </c>
      <c r="N32" s="116">
        <f>main!M36</f>
        <v>12.500893592834473</v>
      </c>
      <c r="O32" s="234">
        <v>1</v>
      </c>
      <c r="P32" s="116">
        <f>main!O36</f>
        <v>0.75590145587921143</v>
      </c>
      <c r="Q32" s="234">
        <v>1</v>
      </c>
      <c r="R32" s="116">
        <f>main!AH36</f>
        <v>5.3325815856262668</v>
      </c>
      <c r="S32" s="234">
        <v>1</v>
      </c>
      <c r="T32" s="116">
        <f>main!AB36</f>
        <v>8.1104690463792934</v>
      </c>
      <c r="U32" s="234">
        <v>2</v>
      </c>
      <c r="V32" s="116">
        <f>main!AC36</f>
        <v>17.349878426377067</v>
      </c>
      <c r="W32" s="116">
        <f t="shared" si="37"/>
        <v>9.6034569679795716</v>
      </c>
      <c r="X32" s="116">
        <f t="shared" si="38"/>
        <v>1.1523737690490428</v>
      </c>
      <c r="Y32" s="116">
        <f t="shared" si="39"/>
        <v>2.0096365576121431</v>
      </c>
      <c r="Z32" s="116">
        <f t="shared" si="40"/>
        <v>0.12151828894518776</v>
      </c>
      <c r="AA32" s="116">
        <f t="shared" si="41"/>
        <v>0.85726278856310045</v>
      </c>
      <c r="AB32" s="116">
        <f t="shared" si="42"/>
        <v>2.7891566068332403</v>
      </c>
      <c r="AC32" s="67">
        <f>main!T36</f>
        <v>43645</v>
      </c>
      <c r="AD32" s="67">
        <f>main!U36</f>
        <v>43664</v>
      </c>
      <c r="AE32" s="67">
        <f>main!V36</f>
        <v>43654.5</v>
      </c>
      <c r="AF32" s="112">
        <f>main!H36</f>
        <v>19</v>
      </c>
      <c r="AG32" s="105">
        <f t="shared" si="43"/>
        <v>1.3038343998326796</v>
      </c>
      <c r="AH32" s="105">
        <f t="shared" si="44"/>
        <v>0.1673302712416439</v>
      </c>
      <c r="AI32" s="105">
        <f t="shared" si="45"/>
        <v>8.6736822944459505E-3</v>
      </c>
      <c r="AJ32" s="105">
        <f t="shared" si="46"/>
        <v>7.1379083144304786E-2</v>
      </c>
      <c r="AK32" s="105">
        <f t="shared" si="47"/>
        <v>9.5951188097339116E-2</v>
      </c>
      <c r="AL32" s="105">
        <f t="shared" si="48"/>
        <v>4.6416318968767516E-2</v>
      </c>
      <c r="AM32" s="236">
        <f>depths!$B$3</f>
        <v>1887.9</v>
      </c>
      <c r="AO32" s="116">
        <f t="shared" si="49"/>
        <v>167.33027124164391</v>
      </c>
      <c r="AP32" s="234">
        <v>1</v>
      </c>
      <c r="AQ32" s="116">
        <f t="shared" si="50"/>
        <v>8.6736822944459497</v>
      </c>
      <c r="AR32" s="234">
        <v>1</v>
      </c>
      <c r="AS32" s="116">
        <f t="shared" si="51"/>
        <v>71.379083144304786</v>
      </c>
      <c r="AT32" s="234">
        <v>1</v>
      </c>
      <c r="AU32" s="116">
        <f t="shared" si="52"/>
        <v>95.951188097339113</v>
      </c>
      <c r="AV32" s="234">
        <v>1</v>
      </c>
      <c r="AW32" s="116">
        <f t="shared" si="53"/>
        <v>46.416318968767513</v>
      </c>
      <c r="AX32" s="234">
        <v>2</v>
      </c>
      <c r="AY32" s="116">
        <f t="shared" si="54"/>
        <v>8.2293864037435647</v>
      </c>
      <c r="AZ32" s="116">
        <f t="shared" si="55"/>
        <v>11.062336022934559</v>
      </c>
      <c r="BA32" s="116">
        <f>main!R36</f>
        <v>39.04</v>
      </c>
      <c r="BB32" s="234">
        <v>1</v>
      </c>
      <c r="BC32" s="116">
        <f>main!S36</f>
        <v>8.6199999999999992</v>
      </c>
      <c r="BD32" s="234">
        <v>1</v>
      </c>
    </row>
    <row r="33" spans="1:56" s="367" customFormat="1">
      <c r="A33" s="367">
        <f>main!A37</f>
        <v>2019</v>
      </c>
      <c r="B33" s="367" t="str">
        <f>main!B37</f>
        <v>47_2000</v>
      </c>
      <c r="C33" s="367">
        <v>7</v>
      </c>
      <c r="D33" s="367" t="str">
        <f>main!$B$30</f>
        <v>McLane-PARFLUX-Mark78H-21 ; controller sn ML11741-01, frame sn 14182-01, motor sn 14182-01, cup set E250x21</v>
      </c>
      <c r="E33" s="367">
        <v>2000</v>
      </c>
      <c r="F33" s="367">
        <v>1</v>
      </c>
      <c r="G33" s="526">
        <f>main!E37</f>
        <v>277.61428571428576</v>
      </c>
      <c r="H33" s="527">
        <f>main!I37</f>
        <v>29.222556390977449</v>
      </c>
      <c r="I33" s="528">
        <f>main!J37</f>
        <v>10.673538721804514</v>
      </c>
      <c r="J33" s="528">
        <v>1</v>
      </c>
      <c r="K33" s="528">
        <f>main!AF37</f>
        <v>59.862641912889522</v>
      </c>
      <c r="L33" s="528">
        <f>main!AG37</f>
        <v>7.1832610398943633</v>
      </c>
      <c r="M33" s="528">
        <v>1</v>
      </c>
      <c r="N33" s="528">
        <f>main!M37</f>
        <v>13.338446617126465</v>
      </c>
      <c r="O33" s="528">
        <v>1</v>
      </c>
      <c r="P33" s="528">
        <f>main!O37</f>
        <v>0.89161521196365356</v>
      </c>
      <c r="Q33" s="528">
        <v>1</v>
      </c>
      <c r="R33" s="528">
        <f>main!AH37</f>
        <v>6.1551855772321016</v>
      </c>
      <c r="S33" s="528">
        <v>1</v>
      </c>
      <c r="T33" s="528">
        <f>main!AB37</f>
        <v>8.0625322500000021</v>
      </c>
      <c r="U33" s="528">
        <v>3</v>
      </c>
      <c r="V33" s="528">
        <f>main!AC37</f>
        <v>17.247332250000007</v>
      </c>
      <c r="W33" s="528">
        <f t="shared" si="37"/>
        <v>6.3894622644674417</v>
      </c>
      <c r="X33" s="528">
        <f t="shared" si="38"/>
        <v>0.76670814858142244</v>
      </c>
      <c r="Y33" s="528">
        <f t="shared" si="39"/>
        <v>1.4236842645662175</v>
      </c>
      <c r="Z33" s="528">
        <f t="shared" si="40"/>
        <v>9.5166894898439949E-2</v>
      </c>
      <c r="AA33" s="528">
        <f t="shared" si="41"/>
        <v>0.65697611598479499</v>
      </c>
      <c r="AB33" s="528">
        <f t="shared" si="42"/>
        <v>1.8409006861820283</v>
      </c>
      <c r="AC33" s="529">
        <f>main!T37</f>
        <v>43664</v>
      </c>
      <c r="AD33" s="529">
        <f>main!U37</f>
        <v>43683</v>
      </c>
      <c r="AE33" s="529">
        <f>main!V37</f>
        <v>43673.5</v>
      </c>
      <c r="AF33" s="526">
        <f>main!H37</f>
        <v>19</v>
      </c>
      <c r="AG33" s="527">
        <f t="shared" si="43"/>
        <v>0.86055750166172695</v>
      </c>
      <c r="AH33" s="527">
        <f t="shared" si="44"/>
        <v>0.11854157073823626</v>
      </c>
      <c r="AI33" s="527">
        <f t="shared" si="45"/>
        <v>6.7927833617730153E-3</v>
      </c>
      <c r="AJ33" s="527">
        <f t="shared" si="46"/>
        <v>5.4702424311806414E-2</v>
      </c>
      <c r="AK33" s="527">
        <f t="shared" si="47"/>
        <v>6.3839146426429849E-2</v>
      </c>
      <c r="AL33" s="527">
        <f t="shared" si="48"/>
        <v>3.0635724516259413E-2</v>
      </c>
      <c r="AM33" s="528">
        <f>depths!$B$3</f>
        <v>1887.9</v>
      </c>
      <c r="AO33" s="528">
        <f t="shared" si="49"/>
        <v>118.54157073823626</v>
      </c>
      <c r="AP33" s="528">
        <v>1</v>
      </c>
      <c r="AQ33" s="528">
        <f t="shared" si="50"/>
        <v>6.7927833617730151</v>
      </c>
      <c r="AR33" s="528">
        <v>1</v>
      </c>
      <c r="AS33" s="528">
        <f t="shared" si="51"/>
        <v>54.702424311806411</v>
      </c>
      <c r="AT33" s="528">
        <v>1</v>
      </c>
      <c r="AU33" s="528">
        <f t="shared" si="52"/>
        <v>63.839146426429849</v>
      </c>
      <c r="AV33" s="528">
        <v>1</v>
      </c>
      <c r="AW33" s="528">
        <f t="shared" si="53"/>
        <v>30.635724516259412</v>
      </c>
      <c r="AX33" s="528">
        <v>3</v>
      </c>
      <c r="AY33" s="528">
        <f t="shared" si="54"/>
        <v>8.053020595305469</v>
      </c>
      <c r="AZ33" s="528">
        <f t="shared" si="55"/>
        <v>9.3980836759332345</v>
      </c>
      <c r="BA33" s="528">
        <f>main!R37</f>
        <v>38.479999999999997</v>
      </c>
      <c r="BB33" s="528">
        <v>1</v>
      </c>
      <c r="BC33" s="528">
        <f>main!S37</f>
        <v>8.6470000000000002</v>
      </c>
      <c r="BD33" s="528">
        <v>1</v>
      </c>
    </row>
    <row r="34" spans="1:56">
      <c r="A34">
        <f>main!A38</f>
        <v>2019</v>
      </c>
      <c r="B34" t="str">
        <f>main!B38</f>
        <v>47_2000</v>
      </c>
      <c r="C34">
        <v>8</v>
      </c>
      <c r="D34" t="str">
        <f>main!$B$30</f>
        <v>McLane-PARFLUX-Mark78H-21 ; controller sn ML11741-01, frame sn 14182-01, motor sn 14182-01, cup set E250x21</v>
      </c>
      <c r="E34">
        <v>2000</v>
      </c>
      <c r="F34" s="66">
        <v>1</v>
      </c>
      <c r="G34" s="112">
        <f>main!E38</f>
        <v>172.24285714285713</v>
      </c>
      <c r="H34" s="105">
        <f>main!I38</f>
        <v>18.130827067669173</v>
      </c>
      <c r="I34" s="116">
        <f>main!J38</f>
        <v>6.622284586466165</v>
      </c>
      <c r="J34" s="234">
        <v>1</v>
      </c>
      <c r="K34" s="116">
        <f>main!AF38</f>
        <v>61.924951763985788</v>
      </c>
      <c r="L34" s="116">
        <f>main!AG38</f>
        <v>7.4307294030034834</v>
      </c>
      <c r="M34" s="234">
        <v>1</v>
      </c>
      <c r="N34" s="116">
        <f>main!M38</f>
        <v>14.830756187438965</v>
      </c>
      <c r="O34" s="234">
        <v>1</v>
      </c>
      <c r="P34" s="116">
        <f>main!O38</f>
        <v>1.1395817995071411</v>
      </c>
      <c r="Q34" s="234">
        <v>1</v>
      </c>
      <c r="R34" s="116">
        <f>main!AH38</f>
        <v>7.4000267844354815</v>
      </c>
      <c r="S34" s="234">
        <v>1</v>
      </c>
      <c r="T34" s="116">
        <f>main!AB38</f>
        <v>4.8121528229478336</v>
      </c>
      <c r="U34" s="234">
        <v>1</v>
      </c>
      <c r="V34" s="116">
        <f>main!AC38</f>
        <v>10.294135390919736</v>
      </c>
      <c r="W34" s="116">
        <f t="shared" si="37"/>
        <v>4.100846535843039</v>
      </c>
      <c r="X34" s="116">
        <f t="shared" si="38"/>
        <v>0.49208404791710897</v>
      </c>
      <c r="Y34" s="116">
        <f t="shared" si="39"/>
        <v>0.98213488105714764</v>
      </c>
      <c r="Z34" s="116">
        <f t="shared" si="40"/>
        <v>7.5466349858935161E-2</v>
      </c>
      <c r="AA34" s="116">
        <f t="shared" si="41"/>
        <v>0.49005083314003867</v>
      </c>
      <c r="AB34" s="116">
        <f t="shared" si="42"/>
        <v>0.68170694130283627</v>
      </c>
      <c r="AC34" s="67">
        <f>main!T38</f>
        <v>43683</v>
      </c>
      <c r="AD34" s="67">
        <f>main!U38</f>
        <v>43702</v>
      </c>
      <c r="AE34" s="67">
        <f>main!V38</f>
        <v>43692.5</v>
      </c>
      <c r="AF34" s="112">
        <f>main!H38</f>
        <v>19</v>
      </c>
      <c r="AG34" s="105">
        <f t="shared" si="43"/>
        <v>0.31867445467127081</v>
      </c>
      <c r="AH34" s="105">
        <f t="shared" si="44"/>
        <v>8.1776426399429447E-2</v>
      </c>
      <c r="AI34" s="105">
        <f t="shared" si="45"/>
        <v>5.3866059856484769E-3</v>
      </c>
      <c r="AJ34" s="105">
        <f t="shared" si="46"/>
        <v>4.0803566456289651E-2</v>
      </c>
      <c r="AK34" s="105">
        <f t="shared" si="47"/>
        <v>4.0972859943139796E-2</v>
      </c>
      <c r="AL34" s="105">
        <f t="shared" si="48"/>
        <v>1.1344765207236412E-2</v>
      </c>
      <c r="AM34" s="236">
        <f>depths!$B$3</f>
        <v>1887.9</v>
      </c>
      <c r="AO34" s="116">
        <f t="shared" si="49"/>
        <v>81.776426399429454</v>
      </c>
      <c r="AP34" s="234">
        <v>1</v>
      </c>
      <c r="AQ34" s="116">
        <f t="shared" si="50"/>
        <v>5.3866059856484769</v>
      </c>
      <c r="AR34" s="234">
        <v>1</v>
      </c>
      <c r="AS34" s="116">
        <f t="shared" si="51"/>
        <v>40.803566456289651</v>
      </c>
      <c r="AT34" s="234">
        <v>1</v>
      </c>
      <c r="AU34" s="116">
        <f t="shared" si="52"/>
        <v>40.972859943139795</v>
      </c>
      <c r="AV34" s="234">
        <v>1</v>
      </c>
      <c r="AW34" s="116">
        <f t="shared" si="53"/>
        <v>11.344765207236412</v>
      </c>
      <c r="AX34" s="234">
        <v>1</v>
      </c>
      <c r="AY34" s="116">
        <f t="shared" si="54"/>
        <v>7.57500484813675</v>
      </c>
      <c r="AZ34" s="116">
        <f t="shared" si="55"/>
        <v>7.606433448502397</v>
      </c>
      <c r="BA34" s="116">
        <f>main!R38</f>
        <v>35.619999999999997</v>
      </c>
      <c r="BB34" s="234">
        <v>1</v>
      </c>
      <c r="BC34" s="116">
        <f>main!S38</f>
        <v>8.5459999999999994</v>
      </c>
      <c r="BD34" s="234">
        <v>1</v>
      </c>
    </row>
    <row r="35" spans="1:56" s="367" customFormat="1">
      <c r="A35" s="367">
        <f>main!A39</f>
        <v>2019</v>
      </c>
      <c r="B35" s="367" t="str">
        <f>main!B39</f>
        <v>47_2000</v>
      </c>
      <c r="C35" s="367">
        <v>9</v>
      </c>
      <c r="D35" s="367" t="str">
        <f>main!$B$30</f>
        <v>McLane-PARFLUX-Mark78H-21 ; controller sn ML11741-01, frame sn 14182-01, motor sn 14182-01, cup set E250x21</v>
      </c>
      <c r="E35" s="367">
        <v>2000</v>
      </c>
      <c r="F35" s="367">
        <v>1</v>
      </c>
      <c r="G35" s="526">
        <f>main!E39</f>
        <v>146.64285714285714</v>
      </c>
      <c r="H35" s="527">
        <f>main!I39</f>
        <v>15.436090225563909</v>
      </c>
      <c r="I35" s="528">
        <f>main!J39</f>
        <v>5.638031954887218</v>
      </c>
      <c r="J35" s="528">
        <v>1</v>
      </c>
      <c r="K35" s="528">
        <f>main!AF39</f>
        <v>58.525862619899229</v>
      </c>
      <c r="L35" s="528">
        <f>main!AG39</f>
        <v>7.0228532411833084</v>
      </c>
      <c r="M35" s="528">
        <v>1</v>
      </c>
      <c r="N35" s="528">
        <f>main!M39</f>
        <v>14.477551460266113</v>
      </c>
      <c r="O35" s="528">
        <v>1</v>
      </c>
      <c r="P35" s="528">
        <f>main!O39</f>
        <v>1.3147323131561279</v>
      </c>
      <c r="Q35" s="528">
        <v>1</v>
      </c>
      <c r="R35" s="528">
        <f>main!AH39</f>
        <v>7.4546982190828048</v>
      </c>
      <c r="S35" s="528">
        <v>1</v>
      </c>
      <c r="T35" s="528">
        <f>main!AB39</f>
        <v>6.369878975265018</v>
      </c>
      <c r="U35" s="528">
        <v>3</v>
      </c>
      <c r="V35" s="528">
        <f>main!AC39</f>
        <v>13.626416077738519</v>
      </c>
      <c r="W35" s="528">
        <f t="shared" si="37"/>
        <v>3.299706836383312</v>
      </c>
      <c r="X35" s="528">
        <f t="shared" si="38"/>
        <v>0.39595070988274761</v>
      </c>
      <c r="Y35" s="528">
        <f t="shared" si="39"/>
        <v>0.81624897761504456</v>
      </c>
      <c r="Z35" s="528">
        <f t="shared" si="40"/>
        <v>7.4125027936970386E-2</v>
      </c>
      <c r="AA35" s="528">
        <f t="shared" si="41"/>
        <v>0.42029826773229689</v>
      </c>
      <c r="AB35" s="528">
        <f t="shared" si="42"/>
        <v>0.76826169276878709</v>
      </c>
      <c r="AC35" s="529">
        <f>main!T39</f>
        <v>43702</v>
      </c>
      <c r="AD35" s="529">
        <f>main!U39</f>
        <v>43721</v>
      </c>
      <c r="AE35" s="529">
        <f>main!V39</f>
        <v>43711.5</v>
      </c>
      <c r="AF35" s="526">
        <f>main!H39</f>
        <v>19</v>
      </c>
      <c r="AG35" s="527">
        <f t="shared" si="43"/>
        <v>0.35913581211308421</v>
      </c>
      <c r="AH35" s="527">
        <f t="shared" si="44"/>
        <v>6.7964111375107786E-2</v>
      </c>
      <c r="AI35" s="527">
        <f t="shared" si="45"/>
        <v>5.290865662881541E-3</v>
      </c>
      <c r="AJ35" s="527">
        <f t="shared" si="46"/>
        <v>3.4995692567218725E-2</v>
      </c>
      <c r="AK35" s="527">
        <f t="shared" si="47"/>
        <v>3.2968418807889061E-2</v>
      </c>
      <c r="AL35" s="527">
        <f t="shared" si="48"/>
        <v>1.2785183770490717E-2</v>
      </c>
      <c r="AM35" s="528">
        <f>depths!$B$3</f>
        <v>1887.9</v>
      </c>
      <c r="AO35" s="528">
        <f t="shared" si="49"/>
        <v>67.964111375107791</v>
      </c>
      <c r="AP35" s="528">
        <v>1</v>
      </c>
      <c r="AQ35" s="528">
        <f t="shared" si="50"/>
        <v>5.2908656628815409</v>
      </c>
      <c r="AR35" s="528">
        <v>1</v>
      </c>
      <c r="AS35" s="528">
        <f t="shared" si="51"/>
        <v>34.995692567218725</v>
      </c>
      <c r="AT35" s="528">
        <v>1</v>
      </c>
      <c r="AU35" s="528">
        <f t="shared" si="52"/>
        <v>32.968418807889059</v>
      </c>
      <c r="AV35" s="528">
        <v>1</v>
      </c>
      <c r="AW35" s="528">
        <f t="shared" si="53"/>
        <v>12.785183770490717</v>
      </c>
      <c r="AX35" s="528">
        <v>3</v>
      </c>
      <c r="AY35" s="528">
        <f t="shared" si="54"/>
        <v>6.6143604462939951</v>
      </c>
      <c r="AZ35" s="528">
        <f t="shared" si="55"/>
        <v>6.2311955941692938</v>
      </c>
      <c r="BA35" s="528">
        <f>main!R39</f>
        <v>37.47</v>
      </c>
      <c r="BB35" s="528">
        <v>1</v>
      </c>
      <c r="BC35" s="528">
        <f>main!S39</f>
        <v>8.6379999999999999</v>
      </c>
      <c r="BD35" s="528">
        <v>1</v>
      </c>
    </row>
    <row r="36" spans="1:56" s="367" customFormat="1">
      <c r="A36" s="367">
        <f>main!A40</f>
        <v>2019</v>
      </c>
      <c r="B36" s="367" t="str">
        <f>main!B40</f>
        <v>47_2000</v>
      </c>
      <c r="C36" s="367">
        <v>10</v>
      </c>
      <c r="D36" s="367" t="str">
        <f>main!$B$30</f>
        <v>McLane-PARFLUX-Mark78H-21 ; controller sn ML11741-01, frame sn 14182-01, motor sn 14182-01, cup set E250x21</v>
      </c>
      <c r="E36" s="367">
        <v>2000</v>
      </c>
      <c r="F36" s="367">
        <v>1</v>
      </c>
      <c r="G36" s="526">
        <f>main!E40</f>
        <v>189.7</v>
      </c>
      <c r="H36" s="527">
        <f>main!I40</f>
        <v>19.968421052631577</v>
      </c>
      <c r="I36" s="528">
        <f>main!J40</f>
        <v>7.2934657894736841</v>
      </c>
      <c r="J36" s="528">
        <v>1</v>
      </c>
      <c r="K36" s="528">
        <f>main!AF40</f>
        <v>55.96647736049902</v>
      </c>
      <c r="L36" s="528">
        <f>main!AG40</f>
        <v>6.7157379547132869</v>
      </c>
      <c r="M36" s="528">
        <v>3</v>
      </c>
      <c r="N36" s="528">
        <f>main!M40</f>
        <v>17.096782684326172</v>
      </c>
      <c r="O36" s="528">
        <v>1</v>
      </c>
      <c r="P36" s="528">
        <f>main!O40</f>
        <v>1.8598906993865967</v>
      </c>
      <c r="Q36" s="528">
        <v>3</v>
      </c>
      <c r="R36" s="528">
        <f>main!AH40</f>
        <v>10.381044729612885</v>
      </c>
      <c r="S36" s="528">
        <v>3</v>
      </c>
      <c r="T36" s="528">
        <f>main!AB40</f>
        <v>5.1565464751486489</v>
      </c>
      <c r="U36" s="528">
        <v>1</v>
      </c>
      <c r="V36" s="528">
        <f>main!AC40</f>
        <v>11.030860722381002</v>
      </c>
      <c r="W36" s="528">
        <f t="shared" si="37"/>
        <v>4.0818958798615306</v>
      </c>
      <c r="X36" s="528">
        <f t="shared" si="38"/>
        <v>0.48981005023771329</v>
      </c>
      <c r="Y36" s="528">
        <f t="shared" si="39"/>
        <v>1.24694799618199</v>
      </c>
      <c r="Z36" s="528">
        <f t="shared" si="40"/>
        <v>0.13565049188136427</v>
      </c>
      <c r="AA36" s="528">
        <f t="shared" si="41"/>
        <v>0.75713794594427664</v>
      </c>
      <c r="AB36" s="528">
        <f t="shared" si="42"/>
        <v>0.80453205307134801</v>
      </c>
      <c r="AC36" s="529">
        <f>main!T40</f>
        <v>43721</v>
      </c>
      <c r="AD36" s="529">
        <f>main!U40</f>
        <v>43740</v>
      </c>
      <c r="AE36" s="529">
        <f>main!V40</f>
        <v>43730.5</v>
      </c>
      <c r="AF36" s="526">
        <f>main!H40</f>
        <v>19</v>
      </c>
      <c r="AG36" s="527">
        <f t="shared" si="43"/>
        <v>0.37609095308327783</v>
      </c>
      <c r="AH36" s="527">
        <f t="shared" si="44"/>
        <v>0.10382581150557786</v>
      </c>
      <c r="AI36" s="527">
        <f t="shared" si="45"/>
        <v>9.6824048452080133E-3</v>
      </c>
      <c r="AJ36" s="527">
        <f t="shared" si="46"/>
        <v>6.304229358403636E-2</v>
      </c>
      <c r="AK36" s="527">
        <f t="shared" si="47"/>
        <v>4.0783517921541487E-2</v>
      </c>
      <c r="AL36" s="527">
        <f t="shared" si="48"/>
        <v>1.3388784374627193E-2</v>
      </c>
      <c r="AM36" s="528">
        <f>depths!$B$3</f>
        <v>1887.9</v>
      </c>
      <c r="AO36" s="528">
        <f t="shared" si="49"/>
        <v>103.82581150557786</v>
      </c>
      <c r="AP36" s="528">
        <v>1</v>
      </c>
      <c r="AQ36" s="528">
        <f t="shared" si="50"/>
        <v>9.6824048452080138</v>
      </c>
      <c r="AR36" s="528">
        <v>3</v>
      </c>
      <c r="AS36" s="528">
        <f t="shared" si="51"/>
        <v>63.042293584036358</v>
      </c>
      <c r="AT36" s="528">
        <v>3</v>
      </c>
      <c r="AU36" s="528">
        <f t="shared" si="52"/>
        <v>40.783517921541488</v>
      </c>
      <c r="AV36" s="528">
        <v>3</v>
      </c>
      <c r="AW36" s="528">
        <f t="shared" si="53"/>
        <v>13.388784374627193</v>
      </c>
      <c r="AX36" s="528">
        <v>1</v>
      </c>
      <c r="AY36" s="528">
        <f t="shared" si="54"/>
        <v>6.5110160741974195</v>
      </c>
      <c r="AZ36" s="528">
        <f t="shared" si="55"/>
        <v>4.2121269016886798</v>
      </c>
      <c r="BA36" s="528">
        <f>main!R40</f>
        <v>37.43</v>
      </c>
      <c r="BB36" s="528">
        <v>1</v>
      </c>
      <c r="BC36" s="528">
        <f>main!S40</f>
        <v>8.5950000000000006</v>
      </c>
      <c r="BD36" s="528">
        <v>1</v>
      </c>
    </row>
    <row r="37" spans="1:56">
      <c r="A37">
        <f>main!A41</f>
        <v>2019</v>
      </c>
      <c r="B37" t="str">
        <f>main!B41</f>
        <v>47_2000</v>
      </c>
      <c r="C37">
        <v>11</v>
      </c>
      <c r="D37" t="str">
        <f>main!$B$30</f>
        <v>McLane-PARFLUX-Mark78H-21 ; controller sn ML11741-01, frame sn 14182-01, motor sn 14182-01, cup set E250x21</v>
      </c>
      <c r="E37">
        <v>2000</v>
      </c>
      <c r="F37" s="66">
        <v>1</v>
      </c>
      <c r="G37" s="112">
        <f>main!E41</f>
        <v>197.38571428571424</v>
      </c>
      <c r="H37" s="105">
        <f>main!I41</f>
        <v>20.777443609022551</v>
      </c>
      <c r="I37" s="116">
        <f>main!J41</f>
        <v>7.5889612781954865</v>
      </c>
      <c r="J37" s="234">
        <v>1</v>
      </c>
      <c r="K37" s="116">
        <f>main!AF41</f>
        <v>61.26420480710317</v>
      </c>
      <c r="L37" s="116">
        <f>main!AG41</f>
        <v>7.351442593719149</v>
      </c>
      <c r="M37" s="234">
        <v>2</v>
      </c>
      <c r="N37" s="116">
        <f>main!M41</f>
        <v>15.583263397216797</v>
      </c>
      <c r="O37" s="234">
        <v>1</v>
      </c>
      <c r="P37" s="116">
        <f>main!O41</f>
        <v>1.3919014930725098</v>
      </c>
      <c r="Q37" s="234">
        <v>1</v>
      </c>
      <c r="R37" s="116">
        <f>main!AH41</f>
        <v>8.2318208034976479</v>
      </c>
      <c r="S37" s="234">
        <v>2</v>
      </c>
      <c r="T37" s="116">
        <f>main!AB41</f>
        <v>4.9774126103555245</v>
      </c>
      <c r="U37" s="234">
        <v>1</v>
      </c>
      <c r="V37" s="116">
        <f>main!AC41</f>
        <v>10.647658375089481</v>
      </c>
      <c r="W37" s="116">
        <f t="shared" si="37"/>
        <v>4.6493167802054378</v>
      </c>
      <c r="X37" s="116">
        <f t="shared" si="38"/>
        <v>0.55789813182611614</v>
      </c>
      <c r="Y37" s="116">
        <f t="shared" si="39"/>
        <v>1.1826078250939931</v>
      </c>
      <c r="Z37" s="116">
        <f t="shared" si="40"/>
        <v>0.1056308653398976</v>
      </c>
      <c r="AA37" s="116">
        <f t="shared" si="41"/>
        <v>0.62470969326787706</v>
      </c>
      <c r="AB37" s="116">
        <f t="shared" si="42"/>
        <v>0.80804667112007944</v>
      </c>
      <c r="AC37" s="67">
        <f>main!T41</f>
        <v>43740</v>
      </c>
      <c r="AD37" s="67">
        <f>main!U41</f>
        <v>43759</v>
      </c>
      <c r="AE37" s="67">
        <f>main!V41</f>
        <v>43749.5</v>
      </c>
      <c r="AF37" s="112">
        <f>main!H41</f>
        <v>19</v>
      </c>
      <c r="AG37" s="105">
        <f t="shared" si="43"/>
        <v>0.37773391565589992</v>
      </c>
      <c r="AH37" s="105">
        <f t="shared" si="44"/>
        <v>9.8468594928725492E-2</v>
      </c>
      <c r="AI37" s="105">
        <f t="shared" si="45"/>
        <v>7.5396763269020414E-3</v>
      </c>
      <c r="AJ37" s="105">
        <f t="shared" si="46"/>
        <v>5.2015794610147964E-2</v>
      </c>
      <c r="AK37" s="105">
        <f t="shared" si="47"/>
        <v>4.6452800318577528E-2</v>
      </c>
      <c r="AL37" s="105">
        <f t="shared" si="48"/>
        <v>1.3447273608255605E-2</v>
      </c>
      <c r="AM37" s="236">
        <f>depths!$B$3</f>
        <v>1887.9</v>
      </c>
      <c r="AO37" s="116">
        <f t="shared" si="49"/>
        <v>98.468594928725494</v>
      </c>
      <c r="AP37" s="234">
        <v>1</v>
      </c>
      <c r="AQ37" s="116">
        <f t="shared" si="50"/>
        <v>7.5396763269020415</v>
      </c>
      <c r="AR37" s="234">
        <v>1</v>
      </c>
      <c r="AS37" s="116">
        <f t="shared" si="51"/>
        <v>52.015794610147964</v>
      </c>
      <c r="AT37" s="234">
        <v>2</v>
      </c>
      <c r="AU37" s="116">
        <f t="shared" si="52"/>
        <v>46.45280031857753</v>
      </c>
      <c r="AV37" s="234">
        <v>2</v>
      </c>
      <c r="AW37" s="116">
        <f t="shared" si="53"/>
        <v>13.447273608255605</v>
      </c>
      <c r="AX37" s="234">
        <v>1</v>
      </c>
      <c r="AY37" s="116">
        <f t="shared" si="54"/>
        <v>6.8989426541497973</v>
      </c>
      <c r="AZ37" s="116">
        <f t="shared" si="55"/>
        <v>6.1611133296042171</v>
      </c>
      <c r="BA37" s="116">
        <f>main!R41</f>
        <v>37.75</v>
      </c>
      <c r="BB37" s="234">
        <v>1</v>
      </c>
      <c r="BC37" s="116">
        <f>main!S41</f>
        <v>8.4849999999999994</v>
      </c>
      <c r="BD37" s="234">
        <v>1</v>
      </c>
    </row>
    <row r="38" spans="1:56">
      <c r="A38">
        <f>main!A42</f>
        <v>2019</v>
      </c>
      <c r="B38" t="str">
        <f>main!B42</f>
        <v>47_2000</v>
      </c>
      <c r="C38">
        <v>12</v>
      </c>
      <c r="D38" t="str">
        <f>main!$B$30</f>
        <v>McLane-PARFLUX-Mark78H-21 ; controller sn ML11741-01, frame sn 14182-01, motor sn 14182-01, cup set E250x21</v>
      </c>
      <c r="E38">
        <v>2000</v>
      </c>
      <c r="F38" s="66">
        <v>1</v>
      </c>
      <c r="G38" s="112">
        <f>main!E42</f>
        <v>358.38571428571424</v>
      </c>
      <c r="H38" s="105">
        <f>main!I42</f>
        <v>37.724812030075185</v>
      </c>
      <c r="I38" s="116">
        <f>main!J42</f>
        <v>13.77898759398496</v>
      </c>
      <c r="J38" s="234">
        <v>1</v>
      </c>
      <c r="K38" s="116">
        <f>main!AF42</f>
        <v>67.949709523039971</v>
      </c>
      <c r="L38" s="116">
        <f>main!AG42</f>
        <v>8.1536745705153226</v>
      </c>
      <c r="M38" s="234">
        <v>1</v>
      </c>
      <c r="N38" s="116">
        <f>main!M42</f>
        <v>13.833269119262695</v>
      </c>
      <c r="O38" s="234">
        <v>1</v>
      </c>
      <c r="P38" s="116">
        <f>main!O42</f>
        <v>0.89746320247650146</v>
      </c>
      <c r="Q38" s="234">
        <v>1</v>
      </c>
      <c r="R38" s="116">
        <f>main!AH42</f>
        <v>5.6795945487473727</v>
      </c>
      <c r="S38" s="234">
        <v>1</v>
      </c>
      <c r="T38" s="116">
        <f>main!AB42</f>
        <v>4.4784842696844365</v>
      </c>
      <c r="U38" s="234">
        <v>1</v>
      </c>
      <c r="V38" s="116">
        <f>main!AC42</f>
        <v>9.5803531422334576</v>
      </c>
      <c r="W38" s="116">
        <f t="shared" si="37"/>
        <v>9.362782045328494</v>
      </c>
      <c r="X38" s="116">
        <f t="shared" si="38"/>
        <v>1.1234938075252128</v>
      </c>
      <c r="Y38" s="116">
        <f t="shared" si="39"/>
        <v>1.9060844357857591</v>
      </c>
      <c r="Z38" s="116">
        <f t="shared" si="40"/>
        <v>0.12366134332981725</v>
      </c>
      <c r="AA38" s="116">
        <f t="shared" si="41"/>
        <v>0.78259062826054659</v>
      </c>
      <c r="AB38" s="116">
        <f t="shared" si="42"/>
        <v>1.3200756709282964</v>
      </c>
      <c r="AC38" s="67">
        <f>main!T42</f>
        <v>43759</v>
      </c>
      <c r="AD38" s="67">
        <f>main!U42</f>
        <v>43778</v>
      </c>
      <c r="AE38" s="67">
        <f>main!V42</f>
        <v>43768.5</v>
      </c>
      <c r="AF38" s="112">
        <f>main!H42</f>
        <v>19</v>
      </c>
      <c r="AG38" s="105">
        <f t="shared" si="43"/>
        <v>0.61708979191838642</v>
      </c>
      <c r="AH38" s="105">
        <f t="shared" si="44"/>
        <v>0.15870811288807321</v>
      </c>
      <c r="AI38" s="105">
        <f t="shared" si="45"/>
        <v>8.826648346168255E-3</v>
      </c>
      <c r="AJ38" s="105">
        <f t="shared" si="46"/>
        <v>6.5161584368072151E-2</v>
      </c>
      <c r="AK38" s="105">
        <f t="shared" si="47"/>
        <v>9.354652852000106E-2</v>
      </c>
      <c r="AL38" s="105">
        <f t="shared" si="48"/>
        <v>2.1968308719059679E-2</v>
      </c>
      <c r="AM38" s="236">
        <f>depths!$B$3</f>
        <v>1887.9</v>
      </c>
      <c r="AO38" s="116">
        <f t="shared" si="49"/>
        <v>158.7081128880732</v>
      </c>
      <c r="AP38" s="234">
        <v>1</v>
      </c>
      <c r="AQ38" s="116">
        <f t="shared" si="50"/>
        <v>8.8266483461682554</v>
      </c>
      <c r="AR38" s="234">
        <v>1</v>
      </c>
      <c r="AS38" s="116">
        <f t="shared" si="51"/>
        <v>65.161584368072155</v>
      </c>
      <c r="AT38" s="234">
        <v>1</v>
      </c>
      <c r="AU38" s="116">
        <f t="shared" si="52"/>
        <v>93.546528520001061</v>
      </c>
      <c r="AV38" s="234">
        <v>1</v>
      </c>
      <c r="AW38" s="116">
        <f t="shared" si="53"/>
        <v>21.968308719059678</v>
      </c>
      <c r="AX38" s="234">
        <v>1</v>
      </c>
      <c r="AY38" s="116">
        <f t="shared" si="54"/>
        <v>7.3823700472172442</v>
      </c>
      <c r="AZ38" s="116">
        <f t="shared" si="55"/>
        <v>10.598193657574523</v>
      </c>
      <c r="BA38" s="116">
        <f>main!R42</f>
        <v>37.299999999999997</v>
      </c>
      <c r="BB38" s="234">
        <v>1</v>
      </c>
      <c r="BC38" s="116">
        <f>main!S42</f>
        <v>8.6095000000000006</v>
      </c>
      <c r="BD38" s="234">
        <v>1</v>
      </c>
    </row>
    <row r="39" spans="1:56">
      <c r="A39">
        <f>main!A43</f>
        <v>2019</v>
      </c>
      <c r="B39" t="str">
        <f>main!B43</f>
        <v>47_2000</v>
      </c>
      <c r="C39">
        <v>13</v>
      </c>
      <c r="D39" t="str">
        <f>main!$B$30</f>
        <v>McLane-PARFLUX-Mark78H-21 ; controller sn ML11741-01, frame sn 14182-01, motor sn 14182-01, cup set E250x21</v>
      </c>
      <c r="E39">
        <v>2000</v>
      </c>
      <c r="F39" s="66">
        <v>2</v>
      </c>
      <c r="G39" s="112">
        <f>main!E43</f>
        <v>739.7</v>
      </c>
      <c r="H39" s="105">
        <f>main!I43</f>
        <v>77.863157894736844</v>
      </c>
      <c r="I39" s="116">
        <f>main!J43</f>
        <v>28.439518421052632</v>
      </c>
      <c r="J39" s="234">
        <v>2</v>
      </c>
      <c r="K39" s="116">
        <f>main!AF43</f>
        <v>71.183719741281195</v>
      </c>
      <c r="L39" s="116">
        <f>main!AG43</f>
        <v>8.5417419671584103</v>
      </c>
      <c r="M39" s="234">
        <v>2</v>
      </c>
      <c r="N39" s="116">
        <f>main!M43</f>
        <v>13.888647079467773</v>
      </c>
      <c r="O39" s="234">
        <v>2</v>
      </c>
      <c r="P39" s="116">
        <f>main!O43</f>
        <v>0.77622455358505249</v>
      </c>
      <c r="Q39" s="234">
        <v>2</v>
      </c>
      <c r="R39" s="116">
        <f>main!AH43</f>
        <v>5.3469051123093632</v>
      </c>
      <c r="S39" s="234">
        <v>2</v>
      </c>
      <c r="T39" s="116">
        <f>main!AB43</f>
        <v>3.988528666468568</v>
      </c>
      <c r="U39" s="234">
        <v>2</v>
      </c>
      <c r="V39" s="116">
        <f>main!AC43</f>
        <v>8.5322423484548349</v>
      </c>
      <c r="W39" s="116">
        <f t="shared" si="37"/>
        <v>20.244307088612143</v>
      </c>
      <c r="X39" s="116">
        <f t="shared" si="38"/>
        <v>2.4292302802287997</v>
      </c>
      <c r="Y39" s="116">
        <f t="shared" si="39"/>
        <v>3.9498643446002255</v>
      </c>
      <c r="Z39" s="116">
        <f t="shared" si="40"/>
        <v>0.22075452490555456</v>
      </c>
      <c r="AA39" s="116">
        <f t="shared" si="41"/>
        <v>1.5206340643714262</v>
      </c>
      <c r="AB39" s="116">
        <f t="shared" si="42"/>
        <v>2.4265286344176666</v>
      </c>
      <c r="AC39" s="67">
        <f>main!T43</f>
        <v>43778</v>
      </c>
      <c r="AD39" s="67">
        <f>main!U43</f>
        <v>43797</v>
      </c>
      <c r="AE39" s="67">
        <f>main!V43</f>
        <v>43787.5</v>
      </c>
      <c r="AF39" s="112">
        <f>main!H43</f>
        <v>19</v>
      </c>
      <c r="AG39" s="105">
        <f t="shared" si="43"/>
        <v>1.1343183448292933</v>
      </c>
      <c r="AH39" s="105">
        <f t="shared" si="44"/>
        <v>0.32888129430476482</v>
      </c>
      <c r="AI39" s="105">
        <f t="shared" si="45"/>
        <v>1.5756925403679841E-2</v>
      </c>
      <c r="AJ39" s="105">
        <f t="shared" si="46"/>
        <v>0.12661399370286647</v>
      </c>
      <c r="AK39" s="105">
        <f t="shared" si="47"/>
        <v>0.2022673006018984</v>
      </c>
      <c r="AL39" s="105">
        <f t="shared" si="48"/>
        <v>4.038157154963664E-2</v>
      </c>
      <c r="AM39" s="236">
        <f>depths!$B$3</f>
        <v>1887.9</v>
      </c>
      <c r="AO39" s="116">
        <f t="shared" si="49"/>
        <v>328.88129430476482</v>
      </c>
      <c r="AP39" s="234">
        <v>2</v>
      </c>
      <c r="AQ39" s="116">
        <f t="shared" si="50"/>
        <v>15.756925403679841</v>
      </c>
      <c r="AR39" s="234">
        <v>2</v>
      </c>
      <c r="AS39" s="116">
        <f t="shared" si="51"/>
        <v>126.61399370286647</v>
      </c>
      <c r="AT39" s="234">
        <v>2</v>
      </c>
      <c r="AU39" s="116">
        <f t="shared" si="52"/>
        <v>202.2673006018984</v>
      </c>
      <c r="AV39" s="234">
        <v>2</v>
      </c>
      <c r="AW39" s="116">
        <f t="shared" si="53"/>
        <v>40.381571549636639</v>
      </c>
      <c r="AX39" s="234">
        <v>2</v>
      </c>
      <c r="AY39" s="116">
        <f t="shared" si="54"/>
        <v>8.0354504739419088</v>
      </c>
      <c r="AZ39" s="116">
        <f t="shared" si="55"/>
        <v>12.836723879816129</v>
      </c>
      <c r="BA39" s="116">
        <f>main!R43</f>
        <v>37.86</v>
      </c>
      <c r="BB39" s="234">
        <v>1</v>
      </c>
      <c r="BC39" s="116">
        <f>main!S43</f>
        <v>8.0850000000000009</v>
      </c>
      <c r="BD39" s="234">
        <v>1</v>
      </c>
    </row>
    <row r="40" spans="1:56">
      <c r="A40">
        <f>main!A44</f>
        <v>2019</v>
      </c>
      <c r="B40" t="str">
        <f>main!B44</f>
        <v>47_2000</v>
      </c>
      <c r="C40">
        <v>14</v>
      </c>
      <c r="D40" t="str">
        <f>main!$B$30</f>
        <v>McLane-PARFLUX-Mark78H-21 ; controller sn ML11741-01, frame sn 14182-01, motor sn 14182-01, cup set E250x21</v>
      </c>
      <c r="E40">
        <v>2000</v>
      </c>
      <c r="F40" s="66">
        <v>2</v>
      </c>
      <c r="G40" s="112">
        <f>main!E44</f>
        <v>1475.9571428571426</v>
      </c>
      <c r="H40" s="105">
        <f>main!I44</f>
        <v>155.36390977443605</v>
      </c>
      <c r="I40" s="116">
        <f>main!J44</f>
        <v>56.746668045112777</v>
      </c>
      <c r="J40" s="234">
        <v>2</v>
      </c>
      <c r="K40" s="116">
        <f>main!AF44</f>
        <v>69.013458088383175</v>
      </c>
      <c r="L40" s="116">
        <f>main!AG44</f>
        <v>8.2813198494656337</v>
      </c>
      <c r="M40" s="234">
        <v>2</v>
      </c>
      <c r="N40" s="116">
        <f>main!M44</f>
        <v>15.289293766021729</v>
      </c>
      <c r="O40" s="234">
        <v>2</v>
      </c>
      <c r="P40" s="116">
        <f>main!O44</f>
        <v>1.1436153650283813</v>
      </c>
      <c r="Q40" s="234">
        <v>2</v>
      </c>
      <c r="R40" s="116">
        <f>main!AH44</f>
        <v>7.0079739165560948</v>
      </c>
      <c r="S40" s="234">
        <v>2</v>
      </c>
      <c r="T40" s="116">
        <f>main!AB44</f>
        <v>3.1380471593172921</v>
      </c>
      <c r="U40" s="234">
        <v>2</v>
      </c>
      <c r="V40" s="116">
        <f>main!AC44</f>
        <v>6.7128961838154533</v>
      </c>
      <c r="W40" s="116">
        <f t="shared" si="37"/>
        <v>39.16283796786783</v>
      </c>
      <c r="X40" s="116">
        <f t="shared" si="38"/>
        <v>4.6993730847302961</v>
      </c>
      <c r="Y40" s="116">
        <f t="shared" si="39"/>
        <v>8.6761647798464718</v>
      </c>
      <c r="Z40" s="116">
        <f t="shared" si="40"/>
        <v>0.64896361490556032</v>
      </c>
      <c r="AA40" s="116">
        <f t="shared" si="41"/>
        <v>3.9767916951161753</v>
      </c>
      <c r="AB40" s="116">
        <f t="shared" si="42"/>
        <v>3.809344913642799</v>
      </c>
      <c r="AC40" s="67">
        <f>main!T44</f>
        <v>43797</v>
      </c>
      <c r="AD40" s="67">
        <f>main!U44</f>
        <v>43816</v>
      </c>
      <c r="AE40" s="67">
        <f>main!V44</f>
        <v>43806.5</v>
      </c>
      <c r="AF40" s="112">
        <f>main!H44</f>
        <v>19</v>
      </c>
      <c r="AG40" s="105">
        <f t="shared" si="43"/>
        <v>1.780737204596875</v>
      </c>
      <c r="AH40" s="105">
        <f t="shared" si="44"/>
        <v>0.72241172188563463</v>
      </c>
      <c r="AI40" s="105">
        <f t="shared" si="45"/>
        <v>4.6321457166706659E-2</v>
      </c>
      <c r="AJ40" s="105">
        <f t="shared" si="46"/>
        <v>0.33112337178319529</v>
      </c>
      <c r="AK40" s="105">
        <f t="shared" si="47"/>
        <v>0.39128835010243934</v>
      </c>
      <c r="AL40" s="105">
        <f t="shared" si="48"/>
        <v>6.3393990907685119E-2</v>
      </c>
      <c r="AM40" s="236">
        <f>depths!$B$3</f>
        <v>1887.9</v>
      </c>
      <c r="AO40" s="116">
        <f t="shared" si="49"/>
        <v>722.41172188563462</v>
      </c>
      <c r="AP40" s="234">
        <v>2</v>
      </c>
      <c r="AQ40" s="116">
        <f t="shared" si="50"/>
        <v>46.321457166706658</v>
      </c>
      <c r="AR40" s="234">
        <v>2</v>
      </c>
      <c r="AS40" s="116">
        <f t="shared" si="51"/>
        <v>331.1233717831953</v>
      </c>
      <c r="AT40" s="234">
        <v>2</v>
      </c>
      <c r="AU40" s="116">
        <f t="shared" si="52"/>
        <v>391.28835010243932</v>
      </c>
      <c r="AV40" s="234">
        <v>2</v>
      </c>
      <c r="AW40" s="116">
        <f t="shared" si="53"/>
        <v>63.393990907685122</v>
      </c>
      <c r="AX40" s="234">
        <v>2</v>
      </c>
      <c r="AY40" s="116">
        <f t="shared" si="54"/>
        <v>7.14837986619274</v>
      </c>
      <c r="AZ40" s="116">
        <f t="shared" si="55"/>
        <v>8.4472375014937153</v>
      </c>
      <c r="BA40" s="116">
        <f>main!R44</f>
        <v>36.950000000000003</v>
      </c>
      <c r="BB40" s="234">
        <v>1</v>
      </c>
      <c r="BC40" s="116">
        <f>main!S44</f>
        <v>8.4030000000000005</v>
      </c>
      <c r="BD40" s="234">
        <v>1</v>
      </c>
    </row>
    <row r="41" spans="1:56">
      <c r="A41">
        <f>main!A45</f>
        <v>2019</v>
      </c>
      <c r="B41" t="str">
        <f>main!B45</f>
        <v>47_2000</v>
      </c>
      <c r="C41">
        <v>15</v>
      </c>
      <c r="D41" t="str">
        <f>main!$B$30</f>
        <v>McLane-PARFLUX-Mark78H-21 ; controller sn ML11741-01, frame sn 14182-01, motor sn 14182-01, cup set E250x21</v>
      </c>
      <c r="E41">
        <v>2000</v>
      </c>
      <c r="F41" s="66">
        <v>1</v>
      </c>
      <c r="G41" s="112">
        <f>main!E45</f>
        <v>831.84285714285704</v>
      </c>
      <c r="H41" s="105">
        <f>main!I45</f>
        <v>87.562406015037581</v>
      </c>
      <c r="I41" s="116">
        <f>main!J45</f>
        <v>31.982168796992475</v>
      </c>
      <c r="J41" s="234">
        <v>1</v>
      </c>
      <c r="K41" s="116">
        <f>main!AF45</f>
        <v>68.207281791119982</v>
      </c>
      <c r="L41" s="116">
        <f>main!AG45</f>
        <v>8.1845821412327773</v>
      </c>
      <c r="M41" s="234">
        <v>1</v>
      </c>
      <c r="N41" s="116">
        <f>main!M45</f>
        <v>12.960940361022949</v>
      </c>
      <c r="O41" s="234">
        <v>1</v>
      </c>
      <c r="P41" s="116">
        <f>main!O45</f>
        <v>0.69302099943161011</v>
      </c>
      <c r="Q41" s="234">
        <v>1</v>
      </c>
      <c r="R41" s="116">
        <f>main!AH45</f>
        <v>4.7763582197901719</v>
      </c>
      <c r="S41" s="234">
        <v>1</v>
      </c>
      <c r="T41" s="116">
        <f>main!AB45</f>
        <v>4.3831768129147601</v>
      </c>
      <c r="U41" s="234">
        <v>1</v>
      </c>
      <c r="V41" s="116">
        <f>main!AC45</f>
        <v>9.376471865007046</v>
      </c>
      <c r="W41" s="116">
        <f t="shared" si="37"/>
        <v>21.814167994276303</v>
      </c>
      <c r="X41" s="116">
        <f t="shared" si="38"/>
        <v>2.6176068757375677</v>
      </c>
      <c r="Y41" s="116">
        <f t="shared" si="39"/>
        <v>4.1451898239398854</v>
      </c>
      <c r="Z41" s="116">
        <f t="shared" si="40"/>
        <v>0.22164314583682182</v>
      </c>
      <c r="AA41" s="116">
        <f t="shared" si="41"/>
        <v>1.5275829482023178</v>
      </c>
      <c r="AB41" s="116">
        <f t="shared" si="42"/>
        <v>2.9987990590690621</v>
      </c>
      <c r="AC41" s="67">
        <f>main!T45</f>
        <v>43816</v>
      </c>
      <c r="AD41" s="67">
        <f>main!U45</f>
        <v>43835</v>
      </c>
      <c r="AE41" s="67">
        <f>main!V45</f>
        <v>43825.5</v>
      </c>
      <c r="AF41" s="112">
        <f>main!H45</f>
        <v>19</v>
      </c>
      <c r="AG41" s="105">
        <f t="shared" si="43"/>
        <v>1.4018350069770338</v>
      </c>
      <c r="AH41" s="105">
        <f t="shared" si="44"/>
        <v>0.34514486460781729</v>
      </c>
      <c r="AI41" s="105">
        <f t="shared" si="45"/>
        <v>1.5820353021900203E-2</v>
      </c>
      <c r="AJ41" s="105">
        <f t="shared" si="46"/>
        <v>0.12719258519586327</v>
      </c>
      <c r="AK41" s="105">
        <f t="shared" si="47"/>
        <v>0.21795227941195403</v>
      </c>
      <c r="AL41" s="105">
        <f t="shared" si="48"/>
        <v>4.9905126627875891E-2</v>
      </c>
      <c r="AM41" s="236">
        <f>depths!$B$3</f>
        <v>1887.9</v>
      </c>
      <c r="AO41" s="116">
        <f t="shared" si="49"/>
        <v>345.14486460781728</v>
      </c>
      <c r="AP41" s="234">
        <v>1</v>
      </c>
      <c r="AQ41" s="116">
        <f t="shared" si="50"/>
        <v>15.820353021900203</v>
      </c>
      <c r="AR41" s="234">
        <v>1</v>
      </c>
      <c r="AS41" s="116">
        <f t="shared" si="51"/>
        <v>127.19258519586327</v>
      </c>
      <c r="AT41" s="234">
        <v>1</v>
      </c>
      <c r="AU41" s="116">
        <f t="shared" si="52"/>
        <v>217.95227941195404</v>
      </c>
      <c r="AV41" s="234">
        <v>1</v>
      </c>
      <c r="AW41" s="116">
        <f t="shared" si="53"/>
        <v>49.905126627875894</v>
      </c>
      <c r="AX41" s="234">
        <v>1</v>
      </c>
      <c r="AY41" s="116">
        <f t="shared" si="54"/>
        <v>8.0398070144066871</v>
      </c>
      <c r="AZ41" s="116">
        <f t="shared" si="55"/>
        <v>13.776701386514036</v>
      </c>
      <c r="BA41" s="116">
        <f>main!R45</f>
        <v>36.68</v>
      </c>
      <c r="BB41" s="234">
        <v>1</v>
      </c>
      <c r="BC41" s="116">
        <f>main!S45</f>
        <v>8.5139999999999993</v>
      </c>
      <c r="BD41" s="234">
        <v>1</v>
      </c>
    </row>
    <row r="42" spans="1:56">
      <c r="A42">
        <f>main!A46</f>
        <v>2019</v>
      </c>
      <c r="B42" t="str">
        <f>main!B46</f>
        <v>47_2000</v>
      </c>
      <c r="C42">
        <v>16</v>
      </c>
      <c r="D42" t="str">
        <f>main!$B$30</f>
        <v>McLane-PARFLUX-Mark78H-21 ; controller sn ML11741-01, frame sn 14182-01, motor sn 14182-01, cup set E250x21</v>
      </c>
      <c r="E42">
        <v>2000</v>
      </c>
      <c r="F42" s="66">
        <v>1</v>
      </c>
      <c r="G42" s="112">
        <f>main!E46</f>
        <v>125.22857142857143</v>
      </c>
      <c r="H42" s="105">
        <f>main!I46</f>
        <v>13.181954887218046</v>
      </c>
      <c r="I42" s="116">
        <f>main!J46</f>
        <v>4.8147090225563911</v>
      </c>
      <c r="J42" s="234">
        <v>1</v>
      </c>
      <c r="K42" s="116">
        <f>main!AF46</f>
        <v>71.818591868795949</v>
      </c>
      <c r="L42" s="116">
        <f>main!AG46</f>
        <v>8.617923907566718</v>
      </c>
      <c r="M42" s="234">
        <v>1</v>
      </c>
      <c r="N42" s="116">
        <f>main!M46</f>
        <v>12.993682861328125</v>
      </c>
      <c r="O42" s="234">
        <v>1</v>
      </c>
      <c r="P42" s="116">
        <f>main!O46</f>
        <v>0.71438348293304443</v>
      </c>
      <c r="Q42" s="234">
        <v>1</v>
      </c>
      <c r="R42" s="116">
        <f>main!AH46</f>
        <v>4.375758953761407</v>
      </c>
      <c r="S42" s="234">
        <v>1</v>
      </c>
      <c r="T42" s="116">
        <f>main!AB46</f>
        <v>3.9213613945274872</v>
      </c>
      <c r="U42" s="234">
        <v>1</v>
      </c>
      <c r="V42" s="116">
        <f>main!AC46</f>
        <v>8.3885584263850745</v>
      </c>
      <c r="W42" s="116">
        <f t="shared" si="37"/>
        <v>3.4578562225798688</v>
      </c>
      <c r="X42" s="116">
        <f t="shared" si="38"/>
        <v>0.41492795993465909</v>
      </c>
      <c r="Y42" s="116">
        <f t="shared" si="39"/>
        <v>0.62560802108672875</v>
      </c>
      <c r="Z42" s="116">
        <f t="shared" si="40"/>
        <v>3.4395486008429885E-2</v>
      </c>
      <c r="AA42" s="116">
        <f t="shared" si="41"/>
        <v>0.21068006115206961</v>
      </c>
      <c r="AB42" s="116">
        <f t="shared" si="42"/>
        <v>0.40388467941757661</v>
      </c>
      <c r="AC42" s="67">
        <f>main!T46</f>
        <v>43835</v>
      </c>
      <c r="AD42" s="67">
        <f>main!U46</f>
        <v>43854</v>
      </c>
      <c r="AE42" s="67">
        <f>main!V46</f>
        <v>43844.5</v>
      </c>
      <c r="AF42" s="112">
        <f>main!H46</f>
        <v>19</v>
      </c>
      <c r="AG42" s="105">
        <f t="shared" si="43"/>
        <v>0.18880214086935806</v>
      </c>
      <c r="AH42" s="105">
        <f t="shared" si="44"/>
        <v>5.2090592929785906E-2</v>
      </c>
      <c r="AI42" s="105">
        <f t="shared" si="45"/>
        <v>2.4550668100235466E-3</v>
      </c>
      <c r="AJ42" s="105">
        <f t="shared" si="46"/>
        <v>1.7542053384851757E-2</v>
      </c>
      <c r="AK42" s="105">
        <f t="shared" si="47"/>
        <v>3.4548539544934143E-2</v>
      </c>
      <c r="AL42" s="105">
        <f t="shared" si="48"/>
        <v>6.7213293296318286E-3</v>
      </c>
      <c r="AM42" s="236">
        <f>depths!$B$3</f>
        <v>1887.9</v>
      </c>
      <c r="AO42" s="116">
        <f t="shared" si="49"/>
        <v>52.090592929785906</v>
      </c>
      <c r="AP42" s="234">
        <v>1</v>
      </c>
      <c r="AQ42" s="116">
        <f t="shared" si="50"/>
        <v>2.4550668100235464</v>
      </c>
      <c r="AR42" s="234">
        <v>1</v>
      </c>
      <c r="AS42" s="116">
        <f t="shared" si="51"/>
        <v>17.542053384851755</v>
      </c>
      <c r="AT42" s="234">
        <v>1</v>
      </c>
      <c r="AU42" s="116">
        <f t="shared" si="52"/>
        <v>34.548539544934144</v>
      </c>
      <c r="AV42" s="234">
        <v>1</v>
      </c>
      <c r="AW42" s="116">
        <f t="shared" si="53"/>
        <v>6.7213293296318284</v>
      </c>
      <c r="AX42" s="234">
        <v>1</v>
      </c>
      <c r="AY42" s="116">
        <f t="shared" si="54"/>
        <v>7.1452448109481432</v>
      </c>
      <c r="AZ42" s="116">
        <f t="shared" si="55"/>
        <v>14.072341902826992</v>
      </c>
      <c r="BA42" s="116">
        <f>main!R46</f>
        <v>39.450000000000003</v>
      </c>
      <c r="BB42" s="234">
        <v>1</v>
      </c>
      <c r="BC42" s="116">
        <f>main!S46</f>
        <v>8.657</v>
      </c>
      <c r="BD42" s="234">
        <v>1</v>
      </c>
    </row>
    <row r="43" spans="1:56">
      <c r="A43">
        <f>main!A47</f>
        <v>2019</v>
      </c>
      <c r="B43" t="str">
        <f>main!B47</f>
        <v>47_2000</v>
      </c>
      <c r="C43">
        <v>17</v>
      </c>
      <c r="D43" t="str">
        <f>main!$B$30</f>
        <v>McLane-PARFLUX-Mark78H-21 ; controller sn ML11741-01, frame sn 14182-01, motor sn 14182-01, cup set E250x21</v>
      </c>
      <c r="E43">
        <v>2000</v>
      </c>
      <c r="F43" s="66">
        <v>1</v>
      </c>
      <c r="G43" s="112">
        <f>main!E47</f>
        <v>75.04285714285713</v>
      </c>
      <c r="H43" s="105">
        <f>main!I47</f>
        <v>7.8992481203007507</v>
      </c>
      <c r="I43" s="116">
        <f>main!J47</f>
        <v>2.8852003759398492</v>
      </c>
      <c r="J43" s="234">
        <v>1</v>
      </c>
      <c r="K43" s="116">
        <f>main!AF47</f>
        <v>71.987999303169346</v>
      </c>
      <c r="L43" s="116">
        <f>main!AG47</f>
        <v>8.63825207525724</v>
      </c>
      <c r="M43" s="234">
        <v>1</v>
      </c>
      <c r="N43" s="116">
        <f>main!M47</f>
        <v>12.892779350280762</v>
      </c>
      <c r="O43" s="234">
        <v>1</v>
      </c>
      <c r="P43" s="116">
        <f>main!O47</f>
        <v>0.64206689596176147</v>
      </c>
      <c r="Q43" s="234">
        <v>1</v>
      </c>
      <c r="R43" s="116">
        <f>main!AH47</f>
        <v>4.2545272750235217</v>
      </c>
      <c r="S43" s="234">
        <v>1</v>
      </c>
      <c r="T43" s="116">
        <f>main!AB47</f>
        <v>3.8958825459317588</v>
      </c>
      <c r="U43" s="234">
        <v>1</v>
      </c>
      <c r="V43" s="116">
        <f>main!AC47</f>
        <v>8.3340541895706437</v>
      </c>
      <c r="W43" s="116">
        <f t="shared" si="37"/>
        <v>2.0769980265266179</v>
      </c>
      <c r="X43" s="116">
        <f t="shared" si="38"/>
        <v>0.24923088134995372</v>
      </c>
      <c r="Y43" s="116">
        <f t="shared" si="39"/>
        <v>0.37198251828339579</v>
      </c>
      <c r="Z43" s="116">
        <f t="shared" si="40"/>
        <v>1.8524916496074063E-2</v>
      </c>
      <c r="AA43" s="116">
        <f t="shared" si="41"/>
        <v>0.12275163693344207</v>
      </c>
      <c r="AB43" s="116">
        <f t="shared" si="42"/>
        <v>0.240454162808523</v>
      </c>
      <c r="AC43" s="67">
        <f>main!T47</f>
        <v>43854</v>
      </c>
      <c r="AD43" s="67">
        <f>main!U47</f>
        <v>43873</v>
      </c>
      <c r="AE43" s="67">
        <f>main!V47</f>
        <v>43863.5</v>
      </c>
      <c r="AF43" s="112">
        <f>main!H47</f>
        <v>19</v>
      </c>
      <c r="AG43" s="105">
        <f t="shared" si="43"/>
        <v>0.11240401786139807</v>
      </c>
      <c r="AH43" s="105">
        <f t="shared" si="44"/>
        <v>3.0972732579799815E-2</v>
      </c>
      <c r="AI43" s="105">
        <f t="shared" si="45"/>
        <v>1.322263846971739E-3</v>
      </c>
      <c r="AJ43" s="105">
        <f t="shared" si="46"/>
        <v>1.0220785756323236E-2</v>
      </c>
      <c r="AK43" s="105">
        <f t="shared" si="47"/>
        <v>2.0751946823476579E-2</v>
      </c>
      <c r="AL43" s="105">
        <f t="shared" si="48"/>
        <v>4.0015670295976526E-3</v>
      </c>
      <c r="AM43" s="236">
        <f>depths!$B$3</f>
        <v>1887.9</v>
      </c>
      <c r="AO43" s="116">
        <f t="shared" si="49"/>
        <v>30.972732579799814</v>
      </c>
      <c r="AP43" s="234">
        <v>1</v>
      </c>
      <c r="AQ43" s="116">
        <f t="shared" si="50"/>
        <v>1.3222638469717389</v>
      </c>
      <c r="AR43" s="234">
        <v>1</v>
      </c>
      <c r="AS43" s="116">
        <f t="shared" si="51"/>
        <v>10.220785756323236</v>
      </c>
      <c r="AT43" s="234">
        <v>1</v>
      </c>
      <c r="AU43" s="116">
        <f t="shared" si="52"/>
        <v>20.75194682347658</v>
      </c>
      <c r="AV43" s="234">
        <v>1</v>
      </c>
      <c r="AW43" s="116">
        <f t="shared" si="53"/>
        <v>4.0015670295976529</v>
      </c>
      <c r="AX43" s="234">
        <v>1</v>
      </c>
      <c r="AY43" s="116">
        <f t="shared" si="54"/>
        <v>7.729762694284485</v>
      </c>
      <c r="AZ43" s="116">
        <f t="shared" si="55"/>
        <v>15.694255629088614</v>
      </c>
      <c r="BA43" s="116">
        <f>main!R47</f>
        <v>39.46</v>
      </c>
      <c r="BB43" s="234">
        <v>1</v>
      </c>
      <c r="BC43" s="116">
        <f>main!S47</f>
        <v>8.6980000000000004</v>
      </c>
      <c r="BD43" s="234">
        <v>1</v>
      </c>
    </row>
    <row r="44" spans="1:56">
      <c r="A44">
        <f>main!A48</f>
        <v>2019</v>
      </c>
      <c r="B44" t="str">
        <f>main!B48</f>
        <v>47_2000</v>
      </c>
      <c r="C44">
        <v>18</v>
      </c>
      <c r="D44" t="str">
        <f>main!$B$30</f>
        <v>McLane-PARFLUX-Mark78H-21 ; controller sn ML11741-01, frame sn 14182-01, motor sn 14182-01, cup set E250x21</v>
      </c>
      <c r="E44">
        <v>2000</v>
      </c>
      <c r="F44" s="66">
        <v>1</v>
      </c>
      <c r="G44" s="112">
        <f>main!E48</f>
        <v>115.81428571428572</v>
      </c>
      <c r="H44" s="105">
        <f>main!I48</f>
        <v>12.190977443609023</v>
      </c>
      <c r="I44" s="116">
        <f>main!J48</f>
        <v>4.4527545112781954</v>
      </c>
      <c r="J44" s="234">
        <v>1</v>
      </c>
      <c r="K44" s="116">
        <f>main!AF48</f>
        <v>73.445995797693215</v>
      </c>
      <c r="L44" s="116">
        <f>main!AG48</f>
        <v>8.8132054197931549</v>
      </c>
      <c r="M44" s="234">
        <v>1</v>
      </c>
      <c r="N44" s="116">
        <f>main!M48</f>
        <v>12.664422035217285</v>
      </c>
      <c r="O44" s="234">
        <v>1</v>
      </c>
      <c r="P44" s="116">
        <f>main!O48</f>
        <v>0.59928643703460693</v>
      </c>
      <c r="Q44" s="234">
        <v>1</v>
      </c>
      <c r="R44" s="116">
        <f>main!AH48</f>
        <v>3.8512166154241303</v>
      </c>
      <c r="S44" s="234">
        <v>1</v>
      </c>
      <c r="T44" s="116">
        <f>main!AB48</f>
        <v>3.8027351974390924</v>
      </c>
      <c r="U44" s="234">
        <v>1</v>
      </c>
      <c r="V44" s="116">
        <f>main!AC48</f>
        <v>8.1347938061272718</v>
      </c>
      <c r="W44" s="116">
        <f t="shared" si="37"/>
        <v>3.2703698912349788</v>
      </c>
      <c r="X44" s="116">
        <f t="shared" si="38"/>
        <v>0.39243040191805412</v>
      </c>
      <c r="Y44" s="116">
        <f t="shared" si="39"/>
        <v>0.56391562350044755</v>
      </c>
      <c r="Z44" s="116">
        <f t="shared" si="40"/>
        <v>2.6684753860536824E-2</v>
      </c>
      <c r="AA44" s="116">
        <f t="shared" si="41"/>
        <v>0.17148522158239338</v>
      </c>
      <c r="AB44" s="116">
        <f t="shared" si="42"/>
        <v>0.36222239818551133</v>
      </c>
      <c r="AC44" s="67">
        <f>main!T48</f>
        <v>43873</v>
      </c>
      <c r="AD44" s="67">
        <f>main!U48</f>
        <v>43892</v>
      </c>
      <c r="AE44" s="67">
        <f>main!V48</f>
        <v>43882.5</v>
      </c>
      <c r="AF44" s="112">
        <f>main!H48</f>
        <v>19</v>
      </c>
      <c r="AG44" s="105">
        <f t="shared" si="43"/>
        <v>0.16932646305593296</v>
      </c>
      <c r="AH44" s="105">
        <f t="shared" si="44"/>
        <v>4.6953840424683396E-2</v>
      </c>
      <c r="AI44" s="105">
        <f t="shared" si="45"/>
        <v>1.9046933519298232E-3</v>
      </c>
      <c r="AJ44" s="105">
        <f t="shared" si="46"/>
        <v>1.4278536351573137E-2</v>
      </c>
      <c r="AK44" s="105">
        <f t="shared" si="47"/>
        <v>3.2675304073110249E-2</v>
      </c>
      <c r="AL44" s="105">
        <f t="shared" si="48"/>
        <v>6.0279979727993222E-3</v>
      </c>
      <c r="AM44" s="236">
        <f>depths!$B$3</f>
        <v>1887.9</v>
      </c>
      <c r="AO44" s="116">
        <f t="shared" si="49"/>
        <v>46.953840424683399</v>
      </c>
      <c r="AP44" s="234">
        <v>1</v>
      </c>
      <c r="AQ44" s="116">
        <f t="shared" si="50"/>
        <v>1.9046933519298233</v>
      </c>
      <c r="AR44" s="234">
        <v>1</v>
      </c>
      <c r="AS44" s="116">
        <f t="shared" si="51"/>
        <v>14.278536351573136</v>
      </c>
      <c r="AT44" s="234">
        <v>1</v>
      </c>
      <c r="AU44" s="116">
        <f t="shared" si="52"/>
        <v>32.675304073110247</v>
      </c>
      <c r="AV44" s="234">
        <v>1</v>
      </c>
      <c r="AW44" s="116">
        <f t="shared" si="53"/>
        <v>6.027997972799322</v>
      </c>
      <c r="AX44" s="234">
        <v>1</v>
      </c>
      <c r="AY44" s="116">
        <f t="shared" si="54"/>
        <v>7.4965013854362503</v>
      </c>
      <c r="AZ44" s="116">
        <f t="shared" si="55"/>
        <v>17.155152056368461</v>
      </c>
      <c r="BA44" s="116">
        <f>main!R48</f>
        <v>39.869999999999997</v>
      </c>
      <c r="BB44" s="234">
        <v>1</v>
      </c>
      <c r="BC44" s="116">
        <f>main!S48</f>
        <v>8.6669999999999998</v>
      </c>
      <c r="BD44" s="234">
        <v>1</v>
      </c>
    </row>
    <row r="45" spans="1:56">
      <c r="A45">
        <f>main!A49</f>
        <v>2019</v>
      </c>
      <c r="B45" t="str">
        <f>main!B49</f>
        <v>47_2000</v>
      </c>
      <c r="C45">
        <v>19</v>
      </c>
      <c r="D45" t="str">
        <f>main!$B$30</f>
        <v>McLane-PARFLUX-Mark78H-21 ; controller sn ML11741-01, frame sn 14182-01, motor sn 14182-01, cup set E250x21</v>
      </c>
      <c r="E45">
        <v>2000</v>
      </c>
      <c r="F45" s="66">
        <v>1</v>
      </c>
      <c r="G45" s="112">
        <f>main!E49</f>
        <v>31.957142857142852</v>
      </c>
      <c r="H45" s="105">
        <f>main!I49</f>
        <v>3.3639097744360895</v>
      </c>
      <c r="I45" s="116">
        <f>main!J49</f>
        <v>1.2286680451127818</v>
      </c>
      <c r="J45" s="234">
        <v>1</v>
      </c>
      <c r="K45" s="116">
        <f>main!AF49</f>
        <v>78.368074419808238</v>
      </c>
      <c r="L45" s="116">
        <f>main!AG49</f>
        <v>9.4038338062413445</v>
      </c>
      <c r="M45" s="234">
        <v>1</v>
      </c>
      <c r="N45" s="116">
        <f>main!M49</f>
        <v>12.992489814758301</v>
      </c>
      <c r="O45" s="234">
        <v>1</v>
      </c>
      <c r="P45" s="116">
        <f>main!O49</f>
        <v>0.49330392479896545</v>
      </c>
      <c r="Q45" s="234">
        <v>1</v>
      </c>
      <c r="R45" s="116">
        <f>main!AH49</f>
        <v>3.5886560085169563</v>
      </c>
      <c r="S45" s="234">
        <v>1</v>
      </c>
      <c r="T45" s="116">
        <f>main!AB49</f>
        <v>2.7632717056102476</v>
      </c>
      <c r="U45" s="234">
        <v>1</v>
      </c>
      <c r="V45" s="116">
        <f>main!AC49</f>
        <v>5.9111782410152998</v>
      </c>
      <c r="W45" s="116">
        <f t="shared" si="37"/>
        <v>0.96288348796638801</v>
      </c>
      <c r="X45" s="116">
        <f t="shared" si="38"/>
        <v>0.11554190099280044</v>
      </c>
      <c r="Y45" s="116">
        <f t="shared" si="39"/>
        <v>0.15963457061846811</v>
      </c>
      <c r="Z45" s="116">
        <f t="shared" si="40"/>
        <v>6.0610676892920755E-3</v>
      </c>
      <c r="AA45" s="116">
        <f t="shared" si="41"/>
        <v>4.4092669625667671E-2</v>
      </c>
      <c r="AB45" s="116">
        <f t="shared" si="42"/>
        <v>7.2628758137014804E-2</v>
      </c>
      <c r="AC45" s="67">
        <f>main!T49</f>
        <v>43892</v>
      </c>
      <c r="AD45" s="67">
        <f>main!U49</f>
        <v>43911</v>
      </c>
      <c r="AE45" s="67">
        <f>main!V49</f>
        <v>43901.5</v>
      </c>
      <c r="AF45" s="112">
        <f>main!H49</f>
        <v>19</v>
      </c>
      <c r="AG45" s="105">
        <f t="shared" si="43"/>
        <v>3.3951436446476052E-2</v>
      </c>
      <c r="AH45" s="105">
        <f t="shared" si="44"/>
        <v>1.3291804381221324E-2</v>
      </c>
      <c r="AI45" s="105">
        <f t="shared" si="45"/>
        <v>4.3262438895732159E-4</v>
      </c>
      <c r="AJ45" s="105">
        <f t="shared" si="46"/>
        <v>3.671329694060589E-3</v>
      </c>
      <c r="AK45" s="105">
        <f t="shared" si="47"/>
        <v>9.6204746871607367E-3</v>
      </c>
      <c r="AL45" s="105">
        <f t="shared" si="48"/>
        <v>1.2086663028293362E-3</v>
      </c>
      <c r="AM45" s="236">
        <f>depths!$B$3</f>
        <v>1887.9</v>
      </c>
      <c r="AO45" s="116">
        <f t="shared" si="49"/>
        <v>13.291804381221324</v>
      </c>
      <c r="AP45" s="234">
        <v>1</v>
      </c>
      <c r="AQ45" s="116">
        <f t="shared" si="50"/>
        <v>0.43262438895732158</v>
      </c>
      <c r="AR45" s="234">
        <v>1</v>
      </c>
      <c r="AS45" s="116">
        <f t="shared" si="51"/>
        <v>3.6713296940605891</v>
      </c>
      <c r="AT45" s="234">
        <v>1</v>
      </c>
      <c r="AU45" s="116">
        <f t="shared" si="52"/>
        <v>9.6204746871607369</v>
      </c>
      <c r="AV45" s="234">
        <v>1</v>
      </c>
      <c r="AW45" s="116">
        <f t="shared" si="53"/>
        <v>1.2086663028293363</v>
      </c>
      <c r="AX45" s="234">
        <v>1</v>
      </c>
      <c r="AY45" s="116">
        <f t="shared" si="54"/>
        <v>8.486182905473612</v>
      </c>
      <c r="AZ45" s="116">
        <f t="shared" si="55"/>
        <v>22.237476510159944</v>
      </c>
      <c r="BA45" s="116">
        <f>main!R49</f>
        <v>39.83</v>
      </c>
      <c r="BB45" s="234">
        <v>1</v>
      </c>
      <c r="BC45" s="116">
        <f>main!S49</f>
        <v>8.6869999999999994</v>
      </c>
      <c r="BD45" s="234">
        <v>1</v>
      </c>
    </row>
    <row r="46" spans="1:56">
      <c r="A46">
        <f>main!A50</f>
        <v>2019</v>
      </c>
      <c r="B46" t="str">
        <f>main!B50</f>
        <v>47_2000</v>
      </c>
      <c r="C46">
        <v>20</v>
      </c>
      <c r="D46" t="str">
        <f>main!$B$30</f>
        <v>McLane-PARFLUX-Mark78H-21 ; controller sn ML11741-01, frame sn 14182-01, motor sn 14182-01, cup set E250x21</v>
      </c>
      <c r="E46">
        <v>2000</v>
      </c>
      <c r="F46" s="66">
        <v>1</v>
      </c>
      <c r="G46" s="112">
        <f>main!E50</f>
        <v>234.75714285714281</v>
      </c>
      <c r="H46" s="105">
        <f>main!I50</f>
        <v>24.711278195488717</v>
      </c>
      <c r="I46" s="116">
        <f>main!J50</f>
        <v>9.0257943609022533</v>
      </c>
      <c r="J46" s="234">
        <v>1</v>
      </c>
      <c r="K46" s="116">
        <f>main!AF50</f>
        <v>75.270877521923367</v>
      </c>
      <c r="L46" s="116">
        <f>main!AG50</f>
        <v>9.0321834229884193</v>
      </c>
      <c r="M46" s="234">
        <v>1</v>
      </c>
      <c r="N46" s="116">
        <f>main!M50</f>
        <v>13.173738479614258</v>
      </c>
      <c r="O46" s="234">
        <v>1</v>
      </c>
      <c r="P46" s="116">
        <f>main!O50</f>
        <v>0.68599343299865723</v>
      </c>
      <c r="Q46" s="234">
        <v>1</v>
      </c>
      <c r="R46" s="116">
        <f>main!AH50</f>
        <v>4.1415550566258386</v>
      </c>
      <c r="S46" s="234">
        <v>1</v>
      </c>
      <c r="T46" s="116">
        <f>main!AB50</f>
        <v>3.6548186050461693</v>
      </c>
      <c r="U46" s="234">
        <v>1</v>
      </c>
      <c r="V46" s="116">
        <f>main!AC50</f>
        <v>7.8183713057039643</v>
      </c>
      <c r="W46" s="116">
        <f t="shared" si="37"/>
        <v>6.7937946187754008</v>
      </c>
      <c r="X46" s="116">
        <f t="shared" si="38"/>
        <v>0.81522630205843694</v>
      </c>
      <c r="Y46" s="116">
        <f t="shared" si="39"/>
        <v>1.1890345448130339</v>
      </c>
      <c r="Z46" s="116">
        <f t="shared" si="40"/>
        <v>6.1916356591752583E-2</v>
      </c>
      <c r="AA46" s="116">
        <f t="shared" si="41"/>
        <v>0.37380824275459701</v>
      </c>
      <c r="AB46" s="116">
        <f t="shared" si="42"/>
        <v>0.70567011642462829</v>
      </c>
      <c r="AC46" s="67">
        <f>main!T50</f>
        <v>43911</v>
      </c>
      <c r="AD46" s="67">
        <f>main!U50</f>
        <v>43930</v>
      </c>
      <c r="AE46" s="67">
        <f>main!V50</f>
        <v>43920.5</v>
      </c>
      <c r="AF46" s="112">
        <f>main!H50</f>
        <v>19</v>
      </c>
      <c r="AG46" s="105">
        <f t="shared" si="43"/>
        <v>0.32987641155546354</v>
      </c>
      <c r="AH46" s="105">
        <f t="shared" si="44"/>
        <v>9.900370897693872E-2</v>
      </c>
      <c r="AI46" s="105">
        <f t="shared" si="45"/>
        <v>4.4194401564420114E-3</v>
      </c>
      <c r="AJ46" s="105">
        <f t="shared" si="46"/>
        <v>3.1124749604879019E-2</v>
      </c>
      <c r="AK46" s="105">
        <f t="shared" si="47"/>
        <v>6.7878959372059691E-2</v>
      </c>
      <c r="AL46" s="105">
        <f t="shared" si="48"/>
        <v>1.1743553277161393E-2</v>
      </c>
      <c r="AM46" s="236">
        <f>depths!$B$3</f>
        <v>1887.9</v>
      </c>
      <c r="AO46" s="116">
        <f t="shared" si="49"/>
        <v>99.003708976938725</v>
      </c>
      <c r="AP46" s="234">
        <v>1</v>
      </c>
      <c r="AQ46" s="116">
        <f t="shared" si="50"/>
        <v>4.4194401564420112</v>
      </c>
      <c r="AR46" s="234">
        <v>1</v>
      </c>
      <c r="AS46" s="116">
        <f t="shared" si="51"/>
        <v>31.124749604879018</v>
      </c>
      <c r="AT46" s="234">
        <v>1</v>
      </c>
      <c r="AU46" s="116">
        <f t="shared" si="52"/>
        <v>67.878959372059697</v>
      </c>
      <c r="AV46" s="234">
        <v>1</v>
      </c>
      <c r="AW46" s="116">
        <f t="shared" si="53"/>
        <v>11.743553277161393</v>
      </c>
      <c r="AX46" s="234">
        <v>1</v>
      </c>
      <c r="AY46" s="116">
        <f t="shared" si="54"/>
        <v>7.0426905904608583</v>
      </c>
      <c r="AZ46" s="116">
        <f t="shared" si="55"/>
        <v>15.359176042493916</v>
      </c>
      <c r="BA46" s="116">
        <f>main!R50</f>
        <v>39.26</v>
      </c>
      <c r="BB46" s="234">
        <v>1</v>
      </c>
      <c r="BC46" s="116">
        <f>main!S50</f>
        <v>8.6300000000000008</v>
      </c>
      <c r="BD46" s="234">
        <v>1</v>
      </c>
    </row>
    <row r="47" spans="1:56" s="288" customFormat="1" ht="15" thickBot="1">
      <c r="A47" s="288">
        <f>main!A51</f>
        <v>2019</v>
      </c>
      <c r="B47" s="288" t="str">
        <f>main!B51</f>
        <v>47_2000</v>
      </c>
      <c r="C47" s="288">
        <v>21</v>
      </c>
      <c r="D47" s="288" t="str">
        <f>main!$B$30</f>
        <v>McLane-PARFLUX-Mark78H-21 ; controller sn ML11741-01, frame sn 14182-01, motor sn 14182-01, cup set E250x21</v>
      </c>
      <c r="E47" s="288">
        <v>2000</v>
      </c>
      <c r="F47" s="525">
        <v>1</v>
      </c>
      <c r="G47" s="289">
        <f>main!E51</f>
        <v>127.17142857142859</v>
      </c>
      <c r="H47" s="290">
        <f>main!I51</f>
        <v>13.386466165413536</v>
      </c>
      <c r="I47" s="291">
        <f>main!J51</f>
        <v>4.8894067669172943</v>
      </c>
      <c r="J47" s="292">
        <v>1</v>
      </c>
      <c r="K47" s="291">
        <f>main!AF51</f>
        <v>78.604697514320065</v>
      </c>
      <c r="L47" s="291">
        <f>main!AG51</f>
        <v>9.4322275657152339</v>
      </c>
      <c r="M47" s="292">
        <v>1</v>
      </c>
      <c r="N47" s="291">
        <f>main!M51</f>
        <v>13.033105850219727</v>
      </c>
      <c r="O47" s="292">
        <v>1</v>
      </c>
      <c r="P47" s="291">
        <f>main!O51</f>
        <v>0.64265018701553345</v>
      </c>
      <c r="Q47" s="292">
        <v>1</v>
      </c>
      <c r="R47" s="291">
        <f>main!AH51</f>
        <v>3.6008782845044927</v>
      </c>
      <c r="S47" s="292">
        <v>1</v>
      </c>
      <c r="T47" s="291">
        <f>main!AB51</f>
        <v>2.5850371754915278</v>
      </c>
      <c r="U47" s="292">
        <v>1</v>
      </c>
      <c r="V47" s="291">
        <f>main!AC51</f>
        <v>5.5298997463611945</v>
      </c>
      <c r="W47" s="291">
        <f t="shared" si="37"/>
        <v>3.8433033993800354</v>
      </c>
      <c r="X47" s="291">
        <f t="shared" si="38"/>
        <v>0.46117997286911905</v>
      </c>
      <c r="Y47" s="291">
        <f t="shared" si="39"/>
        <v>0.63724155938013705</v>
      </c>
      <c r="Z47" s="291">
        <f t="shared" si="40"/>
        <v>3.1421781731544141E-2</v>
      </c>
      <c r="AA47" s="291">
        <f t="shared" si="41"/>
        <v>0.17606158651101805</v>
      </c>
      <c r="AB47" s="291">
        <f t="shared" si="42"/>
        <v>0.2703792924023265</v>
      </c>
      <c r="AC47" s="293">
        <f>main!T51</f>
        <v>43930</v>
      </c>
      <c r="AD47" s="293">
        <f>main!U51</f>
        <v>43949</v>
      </c>
      <c r="AE47" s="293">
        <f>main!V51</f>
        <v>43939.5</v>
      </c>
      <c r="AF47" s="289">
        <f>main!H51</f>
        <v>19</v>
      </c>
      <c r="AG47" s="290">
        <f t="shared" si="43"/>
        <v>0.12639298258581044</v>
      </c>
      <c r="AH47" s="290">
        <f t="shared" si="44"/>
        <v>5.3059247242309496E-2</v>
      </c>
      <c r="AI47" s="290">
        <f t="shared" si="45"/>
        <v>2.2428109729867337E-3</v>
      </c>
      <c r="AJ47" s="290">
        <f t="shared" si="46"/>
        <v>1.4659582557120571E-2</v>
      </c>
      <c r="AK47" s="290">
        <f t="shared" si="47"/>
        <v>3.8399664685188933E-2</v>
      </c>
      <c r="AL47" s="290">
        <f t="shared" si="48"/>
        <v>4.499572181766125E-3</v>
      </c>
      <c r="AM47" s="294">
        <f>depths!$B$3</f>
        <v>1887.9</v>
      </c>
      <c r="AO47" s="291">
        <f t="shared" si="49"/>
        <v>53.059247242309496</v>
      </c>
      <c r="AP47" s="292">
        <v>1</v>
      </c>
      <c r="AQ47" s="291">
        <f t="shared" si="50"/>
        <v>2.2428109729867338</v>
      </c>
      <c r="AR47" s="292">
        <v>1</v>
      </c>
      <c r="AS47" s="291">
        <f t="shared" si="51"/>
        <v>14.65958255712057</v>
      </c>
      <c r="AT47" s="292">
        <v>1</v>
      </c>
      <c r="AU47" s="291">
        <f t="shared" si="52"/>
        <v>38.399664685188931</v>
      </c>
      <c r="AV47" s="292">
        <v>1</v>
      </c>
      <c r="AW47" s="291">
        <f t="shared" si="53"/>
        <v>4.4995721817661254</v>
      </c>
      <c r="AX47" s="292">
        <v>1</v>
      </c>
      <c r="AY47" s="291">
        <f t="shared" si="54"/>
        <v>6.5362541621590688</v>
      </c>
      <c r="AZ47" s="291">
        <f t="shared" si="55"/>
        <v>17.121222050225835</v>
      </c>
      <c r="BA47" s="291">
        <f>main!R51</f>
        <v>39.520000000000003</v>
      </c>
      <c r="BB47" s="292">
        <v>1</v>
      </c>
      <c r="BC47" s="291">
        <f>main!S51</f>
        <v>8.6950000000000003</v>
      </c>
      <c r="BD47" s="292">
        <v>1</v>
      </c>
    </row>
    <row r="48" spans="1:56" ht="15" thickTop="1">
      <c r="A48">
        <f>main!A55</f>
        <v>2019</v>
      </c>
      <c r="B48" t="str">
        <f>main!B55</f>
        <v>47_3800</v>
      </c>
      <c r="C48">
        <v>1</v>
      </c>
      <c r="D48" t="str">
        <f>main!$B$54</f>
        <v>McLane-PARFLUX-Mark78H-21 ; controller sn ML11649-01, frame sn 10705-01, funnel says 10583, motor sn 11640-01, cup set L250x21</v>
      </c>
      <c r="E48">
        <v>3800</v>
      </c>
      <c r="F48" s="66">
        <v>1</v>
      </c>
      <c r="G48" s="112">
        <f>main!E55</f>
        <v>614.01428571428573</v>
      </c>
      <c r="H48" s="105">
        <f>main!I55</f>
        <v>64.633082706766913</v>
      </c>
      <c r="I48" s="116">
        <f>main!J55</f>
        <v>23.607233458646618</v>
      </c>
      <c r="J48" s="234">
        <v>1</v>
      </c>
      <c r="K48" s="116">
        <f>main!AF55</f>
        <v>72.64944166251523</v>
      </c>
      <c r="L48" s="116">
        <f>main!AG55</f>
        <v>8.7176223298634277</v>
      </c>
      <c r="M48" s="234">
        <v>1</v>
      </c>
      <c r="N48" s="116">
        <f>main!M55</f>
        <v>13.055289268493652</v>
      </c>
      <c r="O48" s="234">
        <v>1</v>
      </c>
      <c r="P48" s="116">
        <f>main!O55</f>
        <v>0.60141974687576294</v>
      </c>
      <c r="Q48" s="234">
        <v>1</v>
      </c>
      <c r="R48" s="116">
        <f>main!AH55</f>
        <v>4.3376669386302247</v>
      </c>
      <c r="S48" s="234">
        <v>1</v>
      </c>
      <c r="T48" s="116">
        <f>main!AB55</f>
        <v>5.1667728038568033</v>
      </c>
      <c r="U48" s="234">
        <v>1</v>
      </c>
      <c r="V48" s="116">
        <f>main!AC55</f>
        <v>11.052736838154336</v>
      </c>
      <c r="W48" s="116">
        <f t="shared" si="37"/>
        <v>17.150523299673253</v>
      </c>
      <c r="X48" s="116">
        <f t="shared" si="38"/>
        <v>2.0579894554539679</v>
      </c>
      <c r="Y48" s="116">
        <f t="shared" si="39"/>
        <v>3.0819926163149352</v>
      </c>
      <c r="Z48" s="116">
        <f t="shared" si="40"/>
        <v>0.14197856371136292</v>
      </c>
      <c r="AA48" s="116">
        <f t="shared" si="41"/>
        <v>1.024003160860967</v>
      </c>
      <c r="AB48" s="116">
        <f t="shared" si="42"/>
        <v>2.6092453889529308</v>
      </c>
      <c r="AC48" s="67">
        <f>main!T55</f>
        <v>43550</v>
      </c>
      <c r="AD48" s="67">
        <f>main!U55</f>
        <v>43569</v>
      </c>
      <c r="AE48" s="67">
        <f>main!V55</f>
        <v>43559.5</v>
      </c>
      <c r="AF48" s="112">
        <f>main!H55</f>
        <v>19</v>
      </c>
      <c r="AG48" s="105">
        <f t="shared" si="43"/>
        <v>1.2197321180843372</v>
      </c>
      <c r="AH48" s="105">
        <f t="shared" si="44"/>
        <v>0.25661886896877062</v>
      </c>
      <c r="AI48" s="105">
        <f t="shared" si="45"/>
        <v>1.0134087345564804E-2</v>
      </c>
      <c r="AJ48" s="105">
        <f t="shared" si="46"/>
        <v>8.5262544617899005E-2</v>
      </c>
      <c r="AK48" s="105">
        <f t="shared" si="47"/>
        <v>0.17135632435087161</v>
      </c>
      <c r="AL48" s="105">
        <f t="shared" si="48"/>
        <v>4.3422289714643549E-2</v>
      </c>
      <c r="AM48" s="236">
        <f>depths!$B$4</f>
        <v>3841.1</v>
      </c>
      <c r="AO48" s="116">
        <f t="shared" si="49"/>
        <v>256.61886896877064</v>
      </c>
      <c r="AP48" s="234">
        <v>1</v>
      </c>
      <c r="AQ48" s="116">
        <f t="shared" si="50"/>
        <v>10.134087345564804</v>
      </c>
      <c r="AR48" s="234">
        <v>1</v>
      </c>
      <c r="AS48" s="116">
        <f t="shared" si="51"/>
        <v>85.26254461789901</v>
      </c>
      <c r="AT48" s="234">
        <v>1</v>
      </c>
      <c r="AU48" s="116">
        <f t="shared" si="52"/>
        <v>171.3563243508716</v>
      </c>
      <c r="AV48" s="234">
        <v>1</v>
      </c>
      <c r="AW48" s="116">
        <f t="shared" si="53"/>
        <v>43.422289714643547</v>
      </c>
      <c r="AX48" s="234">
        <v>1</v>
      </c>
      <c r="AY48" s="116">
        <f t="shared" si="54"/>
        <v>8.4134408665043008</v>
      </c>
      <c r="AZ48" s="116">
        <f t="shared" si="55"/>
        <v>16.908905410793199</v>
      </c>
      <c r="BA48" s="116">
        <f>main!R55</f>
        <v>39.840000000000003</v>
      </c>
      <c r="BB48" s="234">
        <v>1</v>
      </c>
      <c r="BC48" s="116">
        <f>main!S55</f>
        <v>8.5830000000000002</v>
      </c>
      <c r="BD48" s="234">
        <v>1</v>
      </c>
    </row>
    <row r="49" spans="1:56">
      <c r="A49">
        <f>main!A56</f>
        <v>2019</v>
      </c>
      <c r="B49" t="str">
        <f>main!B56</f>
        <v>47_3800</v>
      </c>
      <c r="C49">
        <v>2</v>
      </c>
      <c r="D49" t="str">
        <f>main!$B$54</f>
        <v>McLane-PARFLUX-Mark78H-21 ; controller sn ML11649-01, frame sn 10705-01, funnel says 10583, motor sn 11640-01, cup set L250x21</v>
      </c>
      <c r="E49">
        <v>3800</v>
      </c>
      <c r="F49" s="66">
        <v>1</v>
      </c>
      <c r="G49" s="112">
        <f>main!E56</f>
        <v>574.61428571428576</v>
      </c>
      <c r="H49" s="105">
        <f>main!I56</f>
        <v>60.485714285714288</v>
      </c>
      <c r="I49" s="116">
        <f>main!J56</f>
        <v>22.092407142857144</v>
      </c>
      <c r="J49" s="234">
        <v>1</v>
      </c>
      <c r="K49" s="116">
        <f>main!AF56</f>
        <v>72.032431590724656</v>
      </c>
      <c r="L49" s="116">
        <f>main!AG56</f>
        <v>8.6435837597587994</v>
      </c>
      <c r="M49" s="234">
        <v>1</v>
      </c>
      <c r="N49" s="116">
        <f>main!M56</f>
        <v>12.797491073608398</v>
      </c>
      <c r="O49" s="234">
        <v>1</v>
      </c>
      <c r="P49" s="116">
        <f>main!O56</f>
        <v>0.58137589693069458</v>
      </c>
      <c r="Q49" s="234">
        <v>1</v>
      </c>
      <c r="R49" s="116">
        <f>main!AH56</f>
        <v>4.153907313849599</v>
      </c>
      <c r="S49" s="234">
        <v>1</v>
      </c>
      <c r="T49" s="116">
        <f>main!AB56</f>
        <v>5.6638638636652274</v>
      </c>
      <c r="U49" s="234">
        <v>1</v>
      </c>
      <c r="V49" s="116">
        <f>main!AC56</f>
        <v>12.116111768161037</v>
      </c>
      <c r="W49" s="116">
        <f t="shared" ref="W49:W68" si="56">(K49/100)*$I49</f>
        <v>15.91369806192294</v>
      </c>
      <c r="X49" s="116">
        <f t="shared" ref="X49:X68" si="57">(L49/100)*$I49</f>
        <v>1.909575715939793</v>
      </c>
      <c r="Y49" s="116">
        <f t="shared" ref="Y49:Y68" si="58">(N49/100)*$I49</f>
        <v>2.8272738320523674</v>
      </c>
      <c r="Z49" s="116">
        <f t="shared" ref="Z49:Z68" si="59">(P49/100)*$I49</f>
        <v>0.12843993018036656</v>
      </c>
      <c r="AA49" s="116">
        <f t="shared" ref="AA49:AA68" si="60">(R49/100)*$I49</f>
        <v>0.91769811611257412</v>
      </c>
      <c r="AB49" s="116">
        <f t="shared" ref="AB49:AB68" si="61">(V49/100)*$I49</f>
        <v>2.676740741705764</v>
      </c>
      <c r="AC49" s="67">
        <f>main!T56</f>
        <v>43569</v>
      </c>
      <c r="AD49" s="67">
        <f>main!U56</f>
        <v>43588</v>
      </c>
      <c r="AE49" s="67">
        <f>main!V56</f>
        <v>43578.5</v>
      </c>
      <c r="AF49" s="112">
        <f>main!H56</f>
        <v>19</v>
      </c>
      <c r="AG49" s="105">
        <f t="shared" ref="AG49:AG68" si="62">(T49/100)*$I49</f>
        <v>1.2512838647780815</v>
      </c>
      <c r="AH49" s="105">
        <f t="shared" ref="AH49:AH68" si="63">Y49/12.01</f>
        <v>0.2354099776896226</v>
      </c>
      <c r="AI49" s="105">
        <f t="shared" ref="AI49:AI68" si="64">Z49/14.01</f>
        <v>9.1677323469212396E-3</v>
      </c>
      <c r="AJ49" s="105">
        <f t="shared" ref="AJ49:AJ68" si="65">AA49/12.01</f>
        <v>7.6411167036850469E-2</v>
      </c>
      <c r="AK49" s="105">
        <f t="shared" ref="AK49:AK68" si="66">X49/12.01</f>
        <v>0.1589988106527721</v>
      </c>
      <c r="AL49" s="105">
        <f t="shared" ref="AL49:AL68" si="67">AG49/28.09</f>
        <v>4.4545527403990086E-2</v>
      </c>
      <c r="AM49" s="236">
        <f>depths!$B$4</f>
        <v>3841.1</v>
      </c>
      <c r="AO49" s="116">
        <f t="shared" ref="AO49:AO68" si="68">AH49*1000</f>
        <v>235.40997768962259</v>
      </c>
      <c r="AP49" s="234">
        <v>1</v>
      </c>
      <c r="AQ49" s="116">
        <f t="shared" ref="AQ49:AQ68" si="69">AI49*1000</f>
        <v>9.1677323469212393</v>
      </c>
      <c r="AR49" s="234">
        <v>1</v>
      </c>
      <c r="AS49" s="116">
        <f t="shared" ref="AS49:AS68" si="70">AJ49*1000</f>
        <v>76.411167036850472</v>
      </c>
      <c r="AT49" s="234">
        <v>1</v>
      </c>
      <c r="AU49" s="116">
        <f t="shared" ref="AU49:AU68" si="71">AK49*1000</f>
        <v>158.99881065277211</v>
      </c>
      <c r="AV49" s="234">
        <v>1</v>
      </c>
      <c r="AW49" s="116">
        <f t="shared" ref="AW49:AW68" si="72">AL49*1000</f>
        <v>44.545527403990086</v>
      </c>
      <c r="AX49" s="234">
        <v>1</v>
      </c>
      <c r="AY49" s="116">
        <f t="shared" ref="AY49:AY68" si="73">AS49/AQ49</f>
        <v>8.334794706622441</v>
      </c>
      <c r="AZ49" s="116">
        <f t="shared" ref="AZ49:AZ68" si="74">AU49/AQ49</f>
        <v>17.343308534325612</v>
      </c>
      <c r="BA49" s="116">
        <f>main!R56</f>
        <v>39.57</v>
      </c>
      <c r="BB49" s="234">
        <v>1</v>
      </c>
      <c r="BC49" s="116">
        <f>main!S56</f>
        <v>8.5850000000000009</v>
      </c>
      <c r="BD49" s="234">
        <v>1</v>
      </c>
    </row>
    <row r="50" spans="1:56">
      <c r="A50">
        <f>main!A57</f>
        <v>2019</v>
      </c>
      <c r="B50" t="str">
        <f>main!B57</f>
        <v>47_3800</v>
      </c>
      <c r="C50">
        <v>3</v>
      </c>
      <c r="D50" t="str">
        <f>main!$B$54</f>
        <v>McLane-PARFLUX-Mark78H-21 ; controller sn ML11649-01, frame sn 10705-01, funnel says 10583, motor sn 11640-01, cup set L250x21</v>
      </c>
      <c r="E50">
        <v>3800</v>
      </c>
      <c r="F50" s="66">
        <v>1</v>
      </c>
      <c r="G50" s="112">
        <f>main!E57</f>
        <v>463.2</v>
      </c>
      <c r="H50" s="105">
        <f>main!I57</f>
        <v>48.757894736842104</v>
      </c>
      <c r="I50" s="116">
        <f>main!J57</f>
        <v>17.808821052631579</v>
      </c>
      <c r="J50" s="234">
        <v>1</v>
      </c>
      <c r="K50" s="116">
        <f>main!AF57</f>
        <v>76.124759707270599</v>
      </c>
      <c r="L50" s="116">
        <f>main!AG57</f>
        <v>9.1346456337874375</v>
      </c>
      <c r="M50" s="234">
        <v>1</v>
      </c>
      <c r="N50" s="116">
        <f>main!M57</f>
        <v>12.487421035766602</v>
      </c>
      <c r="O50" s="234">
        <v>1</v>
      </c>
      <c r="P50" s="116">
        <f>main!O57</f>
        <v>0.46230989694595337</v>
      </c>
      <c r="Q50" s="234">
        <v>1</v>
      </c>
      <c r="R50" s="116">
        <f>main!AH57</f>
        <v>3.352775401979164</v>
      </c>
      <c r="S50" s="234">
        <v>1</v>
      </c>
      <c r="T50" s="116">
        <f>main!AB57</f>
        <v>4.5255555414250361</v>
      </c>
      <c r="U50" s="234">
        <v>1</v>
      </c>
      <c r="V50" s="116">
        <f>main!AC57</f>
        <v>9.6810477922474334</v>
      </c>
      <c r="W50" s="116">
        <f t="shared" si="56"/>
        <v>13.556922233013607</v>
      </c>
      <c r="X50" s="116">
        <f t="shared" si="57"/>
        <v>1.6267726947132284</v>
      </c>
      <c r="Y50" s="116">
        <f t="shared" si="58"/>
        <v>2.2238624663483471</v>
      </c>
      <c r="Z50" s="116">
        <f t="shared" si="59"/>
        <v>8.2331942255710291E-2</v>
      </c>
      <c r="AA50" s="116">
        <f t="shared" si="60"/>
        <v>0.59708977163511845</v>
      </c>
      <c r="AB50" s="116">
        <f t="shared" si="61"/>
        <v>1.7240804773410856</v>
      </c>
      <c r="AC50" s="67">
        <f>main!T57</f>
        <v>43588</v>
      </c>
      <c r="AD50" s="67">
        <f>main!U57</f>
        <v>43607</v>
      </c>
      <c r="AE50" s="67">
        <f>main!V57</f>
        <v>43597.5</v>
      </c>
      <c r="AF50" s="112">
        <f>main!H57</f>
        <v>19</v>
      </c>
      <c r="AG50" s="105">
        <f t="shared" si="62"/>
        <v>0.80594808800983686</v>
      </c>
      <c r="AH50" s="105">
        <f t="shared" si="63"/>
        <v>0.18516756589078659</v>
      </c>
      <c r="AI50" s="105">
        <f t="shared" si="64"/>
        <v>5.876655407259835E-3</v>
      </c>
      <c r="AJ50" s="105">
        <f t="shared" si="65"/>
        <v>4.9716050927153907E-2</v>
      </c>
      <c r="AK50" s="105">
        <f t="shared" si="66"/>
        <v>0.13545151496363267</v>
      </c>
      <c r="AL50" s="105">
        <f t="shared" si="67"/>
        <v>2.8691637166601527E-2</v>
      </c>
      <c r="AM50" s="236">
        <f>depths!$B$4</f>
        <v>3841.1</v>
      </c>
      <c r="AO50" s="116">
        <f t="shared" si="68"/>
        <v>185.16756589078659</v>
      </c>
      <c r="AP50" s="234">
        <v>1</v>
      </c>
      <c r="AQ50" s="116">
        <f t="shared" si="69"/>
        <v>5.8766554072598352</v>
      </c>
      <c r="AR50" s="234">
        <v>1</v>
      </c>
      <c r="AS50" s="116">
        <f t="shared" si="70"/>
        <v>49.716050927153908</v>
      </c>
      <c r="AT50" s="234">
        <v>1</v>
      </c>
      <c r="AU50" s="116">
        <f t="shared" si="71"/>
        <v>135.45151496363266</v>
      </c>
      <c r="AV50" s="234">
        <v>1</v>
      </c>
      <c r="AW50" s="116">
        <f t="shared" si="72"/>
        <v>28.691637166601527</v>
      </c>
      <c r="AX50" s="234">
        <v>1</v>
      </c>
      <c r="AY50" s="116">
        <f t="shared" si="73"/>
        <v>8.459922776097482</v>
      </c>
      <c r="AZ50" s="116">
        <f t="shared" si="74"/>
        <v>23.049082441740605</v>
      </c>
      <c r="BA50" s="116">
        <f>main!R57</f>
        <v>38.290000000000006</v>
      </c>
      <c r="BB50" s="234">
        <v>1</v>
      </c>
      <c r="BC50" s="116">
        <f>main!S57</f>
        <v>8.5940000000000012</v>
      </c>
      <c r="BD50" s="234">
        <v>1</v>
      </c>
    </row>
    <row r="51" spans="1:56">
      <c r="A51">
        <f>main!A58</f>
        <v>2019</v>
      </c>
      <c r="B51" t="str">
        <f>main!B58</f>
        <v>47_3800</v>
      </c>
      <c r="C51">
        <v>4</v>
      </c>
      <c r="D51" t="str">
        <f>main!$B$54</f>
        <v>McLane-PARFLUX-Mark78H-21 ; controller sn ML11649-01, frame sn 10705-01, funnel says 10583, motor sn 11640-01, cup set L250x21</v>
      </c>
      <c r="E51">
        <v>3800</v>
      </c>
      <c r="F51" s="66">
        <v>1</v>
      </c>
      <c r="G51" s="112">
        <f>main!E58</f>
        <v>496.91428571428571</v>
      </c>
      <c r="H51" s="105">
        <f>main!I58</f>
        <v>52.306766917293231</v>
      </c>
      <c r="I51" s="116">
        <f>main!J58</f>
        <v>19.105046616541355</v>
      </c>
      <c r="J51" s="234">
        <v>1</v>
      </c>
      <c r="K51" s="116">
        <f>main!AF58</f>
        <v>73.099948629324942</v>
      </c>
      <c r="L51" s="116">
        <f>main!AG58</f>
        <v>8.7716812393849004</v>
      </c>
      <c r="M51" s="234">
        <v>1</v>
      </c>
      <c r="N51" s="116">
        <f>main!M58</f>
        <v>13.564257621765137</v>
      </c>
      <c r="O51" s="234">
        <v>1</v>
      </c>
      <c r="P51" s="116">
        <f>main!O58</f>
        <v>0.70981037616729736</v>
      </c>
      <c r="Q51" s="234">
        <v>1</v>
      </c>
      <c r="R51" s="116">
        <f>main!AH58</f>
        <v>4.7925763823802363</v>
      </c>
      <c r="S51" s="234">
        <v>1</v>
      </c>
      <c r="T51" s="116">
        <f>main!AB58</f>
        <v>3.7846157726085918</v>
      </c>
      <c r="U51" s="234">
        <v>1</v>
      </c>
      <c r="V51" s="116">
        <f>main!AC58</f>
        <v>8.0960328150961303</v>
      </c>
      <c r="W51" s="116">
        <f t="shared" si="56"/>
        <v>13.965779262300313</v>
      </c>
      <c r="X51" s="116">
        <f t="shared" si="57"/>
        <v>1.6758337898388975</v>
      </c>
      <c r="Y51" s="116">
        <f t="shared" si="58"/>
        <v>2.5914577418259928</v>
      </c>
      <c r="Z51" s="116">
        <f t="shared" si="59"/>
        <v>0.1356096032558097</v>
      </c>
      <c r="AA51" s="116">
        <f t="shared" si="60"/>
        <v>0.91562395198709534</v>
      </c>
      <c r="AB51" s="116">
        <f t="shared" si="61"/>
        <v>1.5467508434146009</v>
      </c>
      <c r="AC51" s="67">
        <f>main!T58</f>
        <v>43607</v>
      </c>
      <c r="AD51" s="67">
        <f>main!U58</f>
        <v>43626</v>
      </c>
      <c r="AE51" s="67">
        <f>main!V58</f>
        <v>43616.5</v>
      </c>
      <c r="AF51" s="112">
        <f>main!H58</f>
        <v>19</v>
      </c>
      <c r="AG51" s="105">
        <f t="shared" si="62"/>
        <v>0.72305260761384826</v>
      </c>
      <c r="AH51" s="105">
        <f t="shared" si="63"/>
        <v>0.21577499931939989</v>
      </c>
      <c r="AI51" s="105">
        <f t="shared" si="64"/>
        <v>9.6794863137622915E-3</v>
      </c>
      <c r="AJ51" s="105">
        <f t="shared" si="65"/>
        <v>7.6238463945636589E-2</v>
      </c>
      <c r="AK51" s="105">
        <f t="shared" si="66"/>
        <v>0.13953653537376332</v>
      </c>
      <c r="AL51" s="105">
        <f t="shared" si="67"/>
        <v>2.5740569868773523E-2</v>
      </c>
      <c r="AM51" s="236">
        <f>depths!$B$4</f>
        <v>3841.1</v>
      </c>
      <c r="AO51" s="116">
        <f t="shared" si="68"/>
        <v>215.77499931939988</v>
      </c>
      <c r="AP51" s="234">
        <v>1</v>
      </c>
      <c r="AQ51" s="116">
        <f t="shared" si="69"/>
        <v>9.6794863137622915</v>
      </c>
      <c r="AR51" s="234">
        <v>1</v>
      </c>
      <c r="AS51" s="116">
        <f t="shared" si="70"/>
        <v>76.238463945636596</v>
      </c>
      <c r="AT51" s="234">
        <v>1</v>
      </c>
      <c r="AU51" s="116">
        <f t="shared" si="71"/>
        <v>139.53653537376331</v>
      </c>
      <c r="AV51" s="234">
        <v>1</v>
      </c>
      <c r="AW51" s="116">
        <f t="shared" si="72"/>
        <v>25.740569868773523</v>
      </c>
      <c r="AX51" s="234">
        <v>1</v>
      </c>
      <c r="AY51" s="116">
        <f t="shared" si="73"/>
        <v>7.8762923438654759</v>
      </c>
      <c r="AZ51" s="116">
        <f t="shared" si="74"/>
        <v>14.415696334563778</v>
      </c>
      <c r="BA51" s="116">
        <f>main!R58</f>
        <v>38.229999999999997</v>
      </c>
      <c r="BB51" s="234">
        <v>1</v>
      </c>
      <c r="BC51" s="116">
        <f>main!S58</f>
        <v>8.5359999999999996</v>
      </c>
      <c r="BD51" s="234">
        <v>1</v>
      </c>
    </row>
    <row r="52" spans="1:56">
      <c r="A52">
        <f>main!A59</f>
        <v>2019</v>
      </c>
      <c r="B52" t="str">
        <f>main!B59</f>
        <v>47_3800</v>
      </c>
      <c r="C52">
        <v>5</v>
      </c>
      <c r="D52" t="str">
        <f>main!$B$54</f>
        <v>McLane-PARFLUX-Mark78H-21 ; controller sn ML11649-01, frame sn 10705-01, funnel says 10583, motor sn 11640-01, cup set L250x21</v>
      </c>
      <c r="E52">
        <v>3800</v>
      </c>
      <c r="F52" s="66">
        <v>1</v>
      </c>
      <c r="G52" s="112">
        <f>main!E59</f>
        <v>526.18571428571431</v>
      </c>
      <c r="H52" s="105">
        <f>main!I59</f>
        <v>55.387969924812033</v>
      </c>
      <c r="I52" s="116">
        <f>main!J59</f>
        <v>20.230456015037596</v>
      </c>
      <c r="J52" s="234">
        <v>1</v>
      </c>
      <c r="K52" s="116">
        <f>main!AF59</f>
        <v>63.195452270354082</v>
      </c>
      <c r="L52" s="116">
        <f>main!AG59</f>
        <v>7.5831840307468061</v>
      </c>
      <c r="M52" s="234">
        <v>1</v>
      </c>
      <c r="N52" s="116">
        <f>main!M59</f>
        <v>11.722740173339844</v>
      </c>
      <c r="O52" s="234">
        <v>1</v>
      </c>
      <c r="P52" s="116">
        <f>main!O59</f>
        <v>0.57995182275772095</v>
      </c>
      <c r="Q52" s="234">
        <v>1</v>
      </c>
      <c r="R52" s="116">
        <f>main!AH59</f>
        <v>4.1395561425930376</v>
      </c>
      <c r="S52" s="234">
        <v>1</v>
      </c>
      <c r="T52" s="116">
        <f>main!AB59</f>
        <v>8.6192449095022639</v>
      </c>
      <c r="U52" s="234">
        <v>1</v>
      </c>
      <c r="V52" s="116">
        <f>main!AC59</f>
        <v>18.438249434389146</v>
      </c>
      <c r="W52" s="116">
        <f t="shared" si="56"/>
        <v>12.78472817505806</v>
      </c>
      <c r="X52" s="116">
        <f t="shared" si="57"/>
        <v>1.5341127098795877</v>
      </c>
      <c r="Y52" s="116">
        <f t="shared" si="58"/>
        <v>2.371563794524659</v>
      </c>
      <c r="Z52" s="116">
        <f t="shared" si="59"/>
        <v>0.11732689841140954</v>
      </c>
      <c r="AA52" s="116">
        <f t="shared" si="60"/>
        <v>0.83745108464507156</v>
      </c>
      <c r="AB52" s="116">
        <f t="shared" si="61"/>
        <v>3.7301419417670143</v>
      </c>
      <c r="AC52" s="67">
        <f>main!T59</f>
        <v>43626</v>
      </c>
      <c r="AD52" s="67">
        <f>main!U59</f>
        <v>43645</v>
      </c>
      <c r="AE52" s="67">
        <f>main!V59</f>
        <v>43635.5</v>
      </c>
      <c r="AF52" s="112">
        <f>main!H59</f>
        <v>19</v>
      </c>
      <c r="AG52" s="105">
        <f t="shared" si="62"/>
        <v>1.7437125502452224</v>
      </c>
      <c r="AH52" s="105">
        <f t="shared" si="63"/>
        <v>0.1974657614092139</v>
      </c>
      <c r="AI52" s="105">
        <f t="shared" si="64"/>
        <v>8.3745109501362994E-3</v>
      </c>
      <c r="AJ52" s="105">
        <f t="shared" si="65"/>
        <v>6.9729482485018451E-2</v>
      </c>
      <c r="AK52" s="105">
        <f t="shared" si="66"/>
        <v>0.12773627892419548</v>
      </c>
      <c r="AL52" s="105">
        <f t="shared" si="67"/>
        <v>6.2075918485055975E-2</v>
      </c>
      <c r="AM52" s="236">
        <f>depths!$B$4</f>
        <v>3841.1</v>
      </c>
      <c r="AO52" s="116">
        <f t="shared" si="68"/>
        <v>197.46576140921391</v>
      </c>
      <c r="AP52" s="234">
        <v>1</v>
      </c>
      <c r="AQ52" s="116">
        <f t="shared" si="69"/>
        <v>8.3745109501362993</v>
      </c>
      <c r="AR52" s="234">
        <v>1</v>
      </c>
      <c r="AS52" s="116">
        <f t="shared" si="70"/>
        <v>69.729482485018451</v>
      </c>
      <c r="AT52" s="234">
        <v>1</v>
      </c>
      <c r="AU52" s="116">
        <f t="shared" si="71"/>
        <v>127.73627892419547</v>
      </c>
      <c r="AV52" s="234">
        <v>1</v>
      </c>
      <c r="AW52" s="116">
        <f t="shared" si="72"/>
        <v>62.075918485055972</v>
      </c>
      <c r="AX52" s="234">
        <v>1</v>
      </c>
      <c r="AY52" s="116">
        <f t="shared" si="73"/>
        <v>8.3263945680175588</v>
      </c>
      <c r="AZ52" s="116">
        <f t="shared" si="74"/>
        <v>15.252983688810689</v>
      </c>
      <c r="BA52" s="116">
        <f>main!R59</f>
        <v>39.08</v>
      </c>
      <c r="BB52" s="234">
        <v>1</v>
      </c>
      <c r="BC52" s="116">
        <f>main!S59</f>
        <v>8.5649999999999995</v>
      </c>
      <c r="BD52" s="234">
        <v>1</v>
      </c>
    </row>
    <row r="53" spans="1:56">
      <c r="A53">
        <f>main!A60</f>
        <v>2019</v>
      </c>
      <c r="B53" t="str">
        <f>main!B60</f>
        <v>47_3800</v>
      </c>
      <c r="C53">
        <v>6</v>
      </c>
      <c r="D53" t="str">
        <f>main!$B$54</f>
        <v>McLane-PARFLUX-Mark78H-21 ; controller sn ML11649-01, frame sn 10705-01, funnel says 10583, motor sn 11640-01, cup set L250x21</v>
      </c>
      <c r="E53">
        <v>3800</v>
      </c>
      <c r="F53" s="66">
        <v>1</v>
      </c>
      <c r="G53" s="112">
        <f>main!E60</f>
        <v>505.47142857142853</v>
      </c>
      <c r="H53" s="105">
        <f>main!I60</f>
        <v>53.207518796992474</v>
      </c>
      <c r="I53" s="116">
        <f>main!J60</f>
        <v>19.434046240601504</v>
      </c>
      <c r="J53" s="234">
        <v>1</v>
      </c>
      <c r="K53" s="116">
        <f>main!AF60</f>
        <v>65.227069552653404</v>
      </c>
      <c r="L53" s="116">
        <f>main!AG60</f>
        <v>7.8269694168504316</v>
      </c>
      <c r="M53" s="234">
        <v>1</v>
      </c>
      <c r="N53" s="116">
        <f>main!M60</f>
        <v>11.624580860137939</v>
      </c>
      <c r="O53" s="234">
        <v>1</v>
      </c>
      <c r="P53" s="116">
        <f>main!O60</f>
        <v>0.55042147636413574</v>
      </c>
      <c r="Q53" s="234">
        <v>1</v>
      </c>
      <c r="R53" s="116">
        <f>main!AH60</f>
        <v>3.7976114432875079</v>
      </c>
      <c r="S53" s="234">
        <v>1</v>
      </c>
      <c r="T53" s="116">
        <f>main!AB60</f>
        <v>8.4156802240685327</v>
      </c>
      <c r="U53" s="234">
        <v>2</v>
      </c>
      <c r="V53" s="116">
        <f>main!AC60</f>
        <v>18.002784786909157</v>
      </c>
      <c r="W53" s="116">
        <f t="shared" si="56"/>
        <v>12.676258858251966</v>
      </c>
      <c r="X53" s="116">
        <f t="shared" si="57"/>
        <v>1.5210968557084508</v>
      </c>
      <c r="Y53" s="116">
        <f t="shared" si="58"/>
        <v>2.2591264196353191</v>
      </c>
      <c r="Z53" s="116">
        <f t="shared" si="59"/>
        <v>0.10696916423480761</v>
      </c>
      <c r="AA53" s="116">
        <f t="shared" si="60"/>
        <v>0.73802956392686847</v>
      </c>
      <c r="AB53" s="116">
        <f t="shared" si="61"/>
        <v>3.4986695200838982</v>
      </c>
      <c r="AC53" s="67">
        <f>main!T60</f>
        <v>43645</v>
      </c>
      <c r="AD53" s="67">
        <f>main!U60</f>
        <v>43664</v>
      </c>
      <c r="AE53" s="67">
        <f>main!V60</f>
        <v>43654.5</v>
      </c>
      <c r="AF53" s="112">
        <f>main!H60</f>
        <v>19</v>
      </c>
      <c r="AG53" s="105">
        <f t="shared" si="62"/>
        <v>1.6355071862066348</v>
      </c>
      <c r="AH53" s="105">
        <f t="shared" si="63"/>
        <v>0.18810378181809484</v>
      </c>
      <c r="AI53" s="105">
        <f t="shared" si="64"/>
        <v>7.6352008732910497E-3</v>
      </c>
      <c r="AJ53" s="105">
        <f t="shared" si="65"/>
        <v>6.1451254282004035E-2</v>
      </c>
      <c r="AK53" s="105">
        <f t="shared" si="66"/>
        <v>0.12665252753609083</v>
      </c>
      <c r="AL53" s="105">
        <f t="shared" si="67"/>
        <v>5.8223822933664467E-2</v>
      </c>
      <c r="AM53" s="236">
        <f>depths!$B$4</f>
        <v>3841.1</v>
      </c>
      <c r="AO53" s="116">
        <f t="shared" si="68"/>
        <v>188.10378181809483</v>
      </c>
      <c r="AP53" s="234">
        <v>1</v>
      </c>
      <c r="AQ53" s="116">
        <f t="shared" si="69"/>
        <v>7.6352008732910495</v>
      </c>
      <c r="AR53" s="234">
        <v>1</v>
      </c>
      <c r="AS53" s="116">
        <f t="shared" si="70"/>
        <v>61.451254282004037</v>
      </c>
      <c r="AT53" s="234">
        <v>1</v>
      </c>
      <c r="AU53" s="116">
        <f t="shared" si="71"/>
        <v>126.65252753609083</v>
      </c>
      <c r="AV53" s="234">
        <v>1</v>
      </c>
      <c r="AW53" s="116">
        <f t="shared" si="72"/>
        <v>58.223822933664465</v>
      </c>
      <c r="AX53" s="234">
        <v>2</v>
      </c>
      <c r="AY53" s="116">
        <f t="shared" si="73"/>
        <v>8.0484135652499624</v>
      </c>
      <c r="AZ53" s="116">
        <f t="shared" si="74"/>
        <v>16.587975829049665</v>
      </c>
      <c r="BA53" s="116">
        <f>main!R60</f>
        <v>39.630000000000003</v>
      </c>
      <c r="BB53" s="234">
        <v>1</v>
      </c>
      <c r="BC53" s="116">
        <f>main!S60</f>
        <v>8.5969999999999995</v>
      </c>
      <c r="BD53" s="234">
        <v>1</v>
      </c>
    </row>
    <row r="54" spans="1:56">
      <c r="A54">
        <f>main!A61</f>
        <v>2019</v>
      </c>
      <c r="B54" t="str">
        <f>main!B61</f>
        <v>47_3800</v>
      </c>
      <c r="C54">
        <v>7</v>
      </c>
      <c r="D54" t="str">
        <f>main!$B$54</f>
        <v>McLane-PARFLUX-Mark78H-21 ; controller sn ML11649-01, frame sn 10705-01, funnel says 10583, motor sn 11640-01, cup set L250x21</v>
      </c>
      <c r="E54">
        <v>3800</v>
      </c>
      <c r="F54" s="66">
        <v>1</v>
      </c>
      <c r="G54" s="112">
        <f>main!E61</f>
        <v>365.55714285714282</v>
      </c>
      <c r="H54" s="105">
        <f>main!I61</f>
        <v>38.479699248120298</v>
      </c>
      <c r="I54" s="116">
        <f>main!J61</f>
        <v>14.054710150375938</v>
      </c>
      <c r="J54" s="234">
        <v>1</v>
      </c>
      <c r="K54" s="116">
        <f>main!AF61</f>
        <v>61.959547833500636</v>
      </c>
      <c r="L54" s="116">
        <f>main!AG61</f>
        <v>7.4348807834026491</v>
      </c>
      <c r="M54" s="234">
        <v>1</v>
      </c>
      <c r="N54" s="116">
        <f>main!M61</f>
        <v>12.970779418945313</v>
      </c>
      <c r="O54" s="234">
        <v>1</v>
      </c>
      <c r="P54" s="116">
        <f>main!O61</f>
        <v>0.8281787633895874</v>
      </c>
      <c r="Q54" s="234">
        <v>1</v>
      </c>
      <c r="R54" s="116">
        <f>main!AH61</f>
        <v>5.5358986355426634</v>
      </c>
      <c r="S54" s="234">
        <v>1</v>
      </c>
      <c r="T54" s="116">
        <f>main!AB61</f>
        <v>7.1214219775711172</v>
      </c>
      <c r="U54" s="234">
        <v>1</v>
      </c>
      <c r="V54" s="116">
        <f>main!AC61</f>
        <v>15.234113443654271</v>
      </c>
      <c r="W54" s="116">
        <f t="shared" si="56"/>
        <v>8.708234858482049</v>
      </c>
      <c r="X54" s="116">
        <f t="shared" si="57"/>
        <v>1.0449509441332421</v>
      </c>
      <c r="Y54" s="116">
        <f t="shared" si="58"/>
        <v>1.8230054515773799</v>
      </c>
      <c r="Z54" s="116">
        <f t="shared" si="59"/>
        <v>0.11639812472137426</v>
      </c>
      <c r="AA54" s="116">
        <f t="shared" si="60"/>
        <v>0.77805450744413773</v>
      </c>
      <c r="AB54" s="116">
        <f t="shared" si="61"/>
        <v>2.141110488485062</v>
      </c>
      <c r="AC54" s="67">
        <f>main!T61</f>
        <v>43664</v>
      </c>
      <c r="AD54" s="67">
        <f>main!U61</f>
        <v>43683</v>
      </c>
      <c r="AE54" s="67">
        <f>main!V61</f>
        <v>43673.5</v>
      </c>
      <c r="AF54" s="112">
        <f>main!H61</f>
        <v>19</v>
      </c>
      <c r="AG54" s="105">
        <f t="shared" si="62"/>
        <v>1.0008952175327905</v>
      </c>
      <c r="AH54" s="105">
        <f t="shared" si="63"/>
        <v>0.15179062877413654</v>
      </c>
      <c r="AI54" s="105">
        <f t="shared" si="64"/>
        <v>8.3082173248661146E-3</v>
      </c>
      <c r="AJ54" s="105">
        <f t="shared" si="65"/>
        <v>6.47838890461397E-2</v>
      </c>
      <c r="AK54" s="105">
        <f t="shared" si="66"/>
        <v>8.7006739727996843E-2</v>
      </c>
      <c r="AL54" s="105">
        <f t="shared" si="67"/>
        <v>3.5631727217258477E-2</v>
      </c>
      <c r="AM54" s="236">
        <f>depths!$B$4</f>
        <v>3841.1</v>
      </c>
      <c r="AO54" s="116">
        <f t="shared" si="68"/>
        <v>151.79062877413654</v>
      </c>
      <c r="AP54" s="234">
        <v>1</v>
      </c>
      <c r="AQ54" s="116">
        <f t="shared" si="69"/>
        <v>8.3082173248661153</v>
      </c>
      <c r="AR54" s="234">
        <v>1</v>
      </c>
      <c r="AS54" s="116">
        <f t="shared" si="70"/>
        <v>64.783889046139706</v>
      </c>
      <c r="AT54" s="234">
        <v>1</v>
      </c>
      <c r="AU54" s="116">
        <f t="shared" si="71"/>
        <v>87.006739727996845</v>
      </c>
      <c r="AV54" s="234">
        <v>1</v>
      </c>
      <c r="AW54" s="116">
        <f t="shared" si="72"/>
        <v>35.631727217258479</v>
      </c>
      <c r="AX54" s="234">
        <v>1</v>
      </c>
      <c r="AY54" s="116">
        <f t="shared" si="73"/>
        <v>7.7975679394235975</v>
      </c>
      <c r="AZ54" s="116">
        <f t="shared" si="74"/>
        <v>10.472371668419125</v>
      </c>
      <c r="BA54" s="116">
        <f>main!R61</f>
        <v>39.67</v>
      </c>
      <c r="BB54" s="234">
        <v>1</v>
      </c>
      <c r="BC54" s="116">
        <f>main!S61</f>
        <v>8.5809999999999995</v>
      </c>
      <c r="BD54" s="234">
        <v>1</v>
      </c>
    </row>
    <row r="55" spans="1:56">
      <c r="A55">
        <f>main!A62</f>
        <v>2019</v>
      </c>
      <c r="B55" t="str">
        <f>main!B62</f>
        <v>47_3800</v>
      </c>
      <c r="C55">
        <v>8</v>
      </c>
      <c r="D55" t="str">
        <f>main!$B$54</f>
        <v>McLane-PARFLUX-Mark78H-21 ; controller sn ML11649-01, frame sn 10705-01, funnel says 10583, motor sn 11640-01, cup set L250x21</v>
      </c>
      <c r="E55">
        <v>3800</v>
      </c>
      <c r="F55" s="66">
        <v>1</v>
      </c>
      <c r="G55" s="112">
        <f>main!E62</f>
        <v>386.72857142857146</v>
      </c>
      <c r="H55" s="105">
        <f>main!I62</f>
        <v>40.708270676691733</v>
      </c>
      <c r="I55" s="116">
        <f>main!J62</f>
        <v>14.868695864661657</v>
      </c>
      <c r="J55" s="234">
        <v>1</v>
      </c>
      <c r="K55" s="116">
        <f>main!AF62</f>
        <v>62.925737029535647</v>
      </c>
      <c r="L55" s="116">
        <f>main!AG62</f>
        <v>7.5508193552275387</v>
      </c>
      <c r="M55" s="234">
        <v>1</v>
      </c>
      <c r="N55" s="116">
        <f>main!M62</f>
        <v>14.143871307373047</v>
      </c>
      <c r="O55" s="234">
        <v>1</v>
      </c>
      <c r="P55" s="116">
        <f>main!O62</f>
        <v>1.0158618688583374</v>
      </c>
      <c r="Q55" s="234">
        <v>1</v>
      </c>
      <c r="R55" s="116">
        <f>main!AH62</f>
        <v>6.5930519521455082</v>
      </c>
      <c r="S55" s="234">
        <v>1</v>
      </c>
      <c r="T55" s="116">
        <f>main!AB62</f>
        <v>5.3266660496948237</v>
      </c>
      <c r="U55" s="234">
        <v>1</v>
      </c>
      <c r="V55" s="116">
        <f>main!AC62</f>
        <v>11.394779741052401</v>
      </c>
      <c r="W55" s="116">
        <f t="shared" si="56"/>
        <v>9.3562364595184349</v>
      </c>
      <c r="X55" s="116">
        <f t="shared" si="57"/>
        <v>1.122708365218789</v>
      </c>
      <c r="Y55" s="116">
        <f t="shared" si="58"/>
        <v>2.1030092081824425</v>
      </c>
      <c r="Z55" s="116">
        <f t="shared" si="59"/>
        <v>0.15104541168561422</v>
      </c>
      <c r="AA55" s="116">
        <f t="shared" si="60"/>
        <v>0.98030084296365383</v>
      </c>
      <c r="AB55" s="116">
        <f t="shared" si="61"/>
        <v>1.6942551441451628</v>
      </c>
      <c r="AC55" s="67">
        <f>main!T62</f>
        <v>43683</v>
      </c>
      <c r="AD55" s="67">
        <f>main!U62</f>
        <v>43702</v>
      </c>
      <c r="AE55" s="67">
        <f>main!V62</f>
        <v>43692.5</v>
      </c>
      <c r="AF55" s="112">
        <f>main!H62</f>
        <v>19</v>
      </c>
      <c r="AG55" s="105">
        <f t="shared" si="62"/>
        <v>0.79200577465531075</v>
      </c>
      <c r="AH55" s="105">
        <f t="shared" si="63"/>
        <v>0.17510484664300105</v>
      </c>
      <c r="AI55" s="105">
        <f t="shared" si="64"/>
        <v>1.0781257079629852E-2</v>
      </c>
      <c r="AJ55" s="105">
        <f t="shared" si="65"/>
        <v>8.16237171493467E-2</v>
      </c>
      <c r="AK55" s="105">
        <f t="shared" si="66"/>
        <v>9.3481129493654377E-2</v>
      </c>
      <c r="AL55" s="105">
        <f t="shared" si="67"/>
        <v>2.8195292796557875E-2</v>
      </c>
      <c r="AM55" s="236">
        <f>depths!$B$4</f>
        <v>3841.1</v>
      </c>
      <c r="AO55" s="116">
        <f t="shared" si="68"/>
        <v>175.10484664300105</v>
      </c>
      <c r="AP55" s="234">
        <v>1</v>
      </c>
      <c r="AQ55" s="116">
        <f t="shared" si="69"/>
        <v>10.781257079629851</v>
      </c>
      <c r="AR55" s="234">
        <v>1</v>
      </c>
      <c r="AS55" s="116">
        <f t="shared" si="70"/>
        <v>81.623717149346703</v>
      </c>
      <c r="AT55" s="234">
        <v>1</v>
      </c>
      <c r="AU55" s="116">
        <f t="shared" si="71"/>
        <v>93.481129493654379</v>
      </c>
      <c r="AV55" s="234">
        <v>1</v>
      </c>
      <c r="AW55" s="116">
        <f t="shared" si="72"/>
        <v>28.195292796557876</v>
      </c>
      <c r="AX55" s="234">
        <v>1</v>
      </c>
      <c r="AY55" s="116">
        <f t="shared" si="73"/>
        <v>7.5708905321965529</v>
      </c>
      <c r="AZ55" s="116">
        <f t="shared" si="74"/>
        <v>8.6707077665625825</v>
      </c>
      <c r="BA55" s="116">
        <f>main!R62</f>
        <v>39.89</v>
      </c>
      <c r="BB55" s="234">
        <v>1</v>
      </c>
      <c r="BC55" s="116">
        <f>main!S62</f>
        <v>8.5589999999999993</v>
      </c>
      <c r="BD55" s="234">
        <v>1</v>
      </c>
    </row>
    <row r="56" spans="1:56">
      <c r="A56">
        <f>main!A63</f>
        <v>2019</v>
      </c>
      <c r="B56" t="str">
        <f>main!B63</f>
        <v>47_3800</v>
      </c>
      <c r="C56">
        <v>9</v>
      </c>
      <c r="D56" t="str">
        <f>main!$B$54</f>
        <v>McLane-PARFLUX-Mark78H-21 ; controller sn ML11649-01, frame sn 10705-01, funnel says 10583, motor sn 11640-01, cup set L250x21</v>
      </c>
      <c r="E56">
        <v>3800</v>
      </c>
      <c r="F56" s="66">
        <v>1</v>
      </c>
      <c r="G56" s="112">
        <f>main!E63</f>
        <v>323.44285714285712</v>
      </c>
      <c r="H56" s="105">
        <f>main!I63</f>
        <v>34.04661654135338</v>
      </c>
      <c r="I56" s="116">
        <f>main!J63</f>
        <v>12.435526691729322</v>
      </c>
      <c r="J56" s="234">
        <v>1</v>
      </c>
      <c r="K56" s="116">
        <f>main!AF63</f>
        <v>65.862724914152167</v>
      </c>
      <c r="L56" s="116">
        <f>main!AG63</f>
        <v>7.9032453419874882</v>
      </c>
      <c r="M56" s="234">
        <v>1</v>
      </c>
      <c r="N56" s="116">
        <f>main!M63</f>
        <v>13.044124603271484</v>
      </c>
      <c r="O56" s="234">
        <v>1</v>
      </c>
      <c r="P56" s="116">
        <f>main!O63</f>
        <v>0.76806157827377319</v>
      </c>
      <c r="Q56" s="234">
        <v>1</v>
      </c>
      <c r="R56" s="116">
        <f>main!AH63</f>
        <v>5.1408792612839962</v>
      </c>
      <c r="S56" s="234">
        <v>1</v>
      </c>
      <c r="T56" s="116">
        <f>main!AB63</f>
        <v>5.7845349384794211</v>
      </c>
      <c r="U56" s="234">
        <v>1</v>
      </c>
      <c r="V56" s="116">
        <f>main!AC63</f>
        <v>12.374250781531803</v>
      </c>
      <c r="W56" s="116">
        <f t="shared" si="56"/>
        <v>8.1903767365996512</v>
      </c>
      <c r="X56" s="116">
        <f t="shared" si="57"/>
        <v>0.98281018401570852</v>
      </c>
      <c r="Y56" s="116">
        <f t="shared" si="58"/>
        <v>1.6221055967422569</v>
      </c>
      <c r="Z56" s="116">
        <f t="shared" si="59"/>
        <v>9.5512502575152564E-2</v>
      </c>
      <c r="AA56" s="116">
        <f t="shared" si="60"/>
        <v>0.63929541272654855</v>
      </c>
      <c r="AB56" s="116">
        <f t="shared" si="61"/>
        <v>1.5388032588389116</v>
      </c>
      <c r="AC56" s="67">
        <f>main!T63</f>
        <v>43702</v>
      </c>
      <c r="AD56" s="67">
        <f>main!U63</f>
        <v>43721</v>
      </c>
      <c r="AE56" s="67">
        <f>main!V63</f>
        <v>43711.5</v>
      </c>
      <c r="AF56" s="112">
        <f>main!H63</f>
        <v>19</v>
      </c>
      <c r="AG56" s="105">
        <f t="shared" si="62"/>
        <v>0.71933738626701682</v>
      </c>
      <c r="AH56" s="105">
        <f t="shared" si="63"/>
        <v>0.13506291396688233</v>
      </c>
      <c r="AI56" s="105">
        <f t="shared" si="64"/>
        <v>6.8174520039366573E-3</v>
      </c>
      <c r="AJ56" s="105">
        <f t="shared" si="65"/>
        <v>5.3230259177897463E-2</v>
      </c>
      <c r="AK56" s="105">
        <f t="shared" si="66"/>
        <v>8.1832654788984896E-2</v>
      </c>
      <c r="AL56" s="105">
        <f t="shared" si="67"/>
        <v>2.5608308517871728E-2</v>
      </c>
      <c r="AM56" s="236">
        <f>depths!$B$4</f>
        <v>3841.1</v>
      </c>
      <c r="AO56" s="116">
        <f t="shared" si="68"/>
        <v>135.06291396688232</v>
      </c>
      <c r="AP56" s="234">
        <v>1</v>
      </c>
      <c r="AQ56" s="116">
        <f t="shared" si="69"/>
        <v>6.8174520039366575</v>
      </c>
      <c r="AR56" s="234">
        <v>1</v>
      </c>
      <c r="AS56" s="116">
        <f t="shared" si="70"/>
        <v>53.230259177897466</v>
      </c>
      <c r="AT56" s="234">
        <v>1</v>
      </c>
      <c r="AU56" s="116">
        <f t="shared" si="71"/>
        <v>81.832654788984897</v>
      </c>
      <c r="AV56" s="234">
        <v>1</v>
      </c>
      <c r="AW56" s="116">
        <f t="shared" si="72"/>
        <v>25.608308517871727</v>
      </c>
      <c r="AX56" s="234">
        <v>1</v>
      </c>
      <c r="AY56" s="116">
        <f t="shared" si="73"/>
        <v>7.8079404368612026</v>
      </c>
      <c r="AZ56" s="116">
        <f t="shared" si="74"/>
        <v>12.00340754019707</v>
      </c>
      <c r="BA56" s="116">
        <f>main!R63</f>
        <v>39.979999999999997</v>
      </c>
      <c r="BB56" s="234">
        <v>1</v>
      </c>
      <c r="BC56" s="116">
        <f>main!S63</f>
        <v>8.6219999999999999</v>
      </c>
      <c r="BD56" s="234">
        <v>1</v>
      </c>
    </row>
    <row r="57" spans="1:56">
      <c r="A57">
        <f>main!A64</f>
        <v>2019</v>
      </c>
      <c r="B57" t="str">
        <f>main!B64</f>
        <v>47_3800</v>
      </c>
      <c r="C57">
        <v>10</v>
      </c>
      <c r="D57" t="str">
        <f>main!$B$54</f>
        <v>McLane-PARFLUX-Mark78H-21 ; controller sn ML11649-01, frame sn 10705-01, funnel says 10583, motor sn 11640-01, cup set L250x21</v>
      </c>
      <c r="E57">
        <v>3800</v>
      </c>
      <c r="F57" s="66">
        <v>1</v>
      </c>
      <c r="G57" s="112">
        <f>main!E64</f>
        <v>255.07142857142856</v>
      </c>
      <c r="H57" s="105">
        <f>main!I64</f>
        <v>26.849624060150376</v>
      </c>
      <c r="I57" s="116">
        <f>main!J64</f>
        <v>9.806825187969924</v>
      </c>
      <c r="J57" s="234">
        <v>1</v>
      </c>
      <c r="K57" s="116">
        <f>main!AF64</f>
        <v>69.471168452753815</v>
      </c>
      <c r="L57" s="116">
        <f>main!AG64</f>
        <v>8.3362431358906441</v>
      </c>
      <c r="M57" s="234">
        <v>1</v>
      </c>
      <c r="N57" s="116">
        <f>main!M64</f>
        <v>12.409296989440918</v>
      </c>
      <c r="O57" s="234">
        <v>1</v>
      </c>
      <c r="P57" s="116">
        <f>main!O64</f>
        <v>0.56358444690704346</v>
      </c>
      <c r="Q57" s="234">
        <v>1</v>
      </c>
      <c r="R57" s="116">
        <f>main!AH64</f>
        <v>4.0730538535502738</v>
      </c>
      <c r="S57" s="234">
        <v>1</v>
      </c>
      <c r="T57" s="116">
        <f>main!AB64</f>
        <v>5.4663861001862966</v>
      </c>
      <c r="U57" s="234">
        <v>1</v>
      </c>
      <c r="V57" s="116">
        <f>main!AC64</f>
        <v>11.69366823638998</v>
      </c>
      <c r="W57" s="116">
        <f t="shared" si="56"/>
        <v>6.8129160462016767</v>
      </c>
      <c r="X57" s="116">
        <f t="shared" si="57"/>
        <v>0.8175207915809376</v>
      </c>
      <c r="Y57" s="116">
        <f t="shared" si="58"/>
        <v>1.2169580628104855</v>
      </c>
      <c r="Z57" s="116">
        <f t="shared" si="59"/>
        <v>5.5269741494760917E-2</v>
      </c>
      <c r="AA57" s="116">
        <f t="shared" si="60"/>
        <v>0.39943727122954786</v>
      </c>
      <c r="AB57" s="116">
        <f t="shared" si="61"/>
        <v>1.1467776020039309</v>
      </c>
      <c r="AC57" s="67">
        <f>main!T64</f>
        <v>43721</v>
      </c>
      <c r="AD57" s="67">
        <f>main!U64</f>
        <v>43740</v>
      </c>
      <c r="AE57" s="67">
        <f>main!V64</f>
        <v>43730.5</v>
      </c>
      <c r="AF57" s="112">
        <f>main!H64</f>
        <v>19</v>
      </c>
      <c r="AG57" s="105">
        <f t="shared" si="62"/>
        <v>0.53607892894475651</v>
      </c>
      <c r="AH57" s="105">
        <f t="shared" si="63"/>
        <v>0.10132873129146423</v>
      </c>
      <c r="AI57" s="105">
        <f t="shared" si="64"/>
        <v>3.9450208061927849E-3</v>
      </c>
      <c r="AJ57" s="105">
        <f t="shared" si="65"/>
        <v>3.3258723666073929E-2</v>
      </c>
      <c r="AK57" s="105">
        <f t="shared" si="66"/>
        <v>6.8070007625390311E-2</v>
      </c>
      <c r="AL57" s="105">
        <f t="shared" si="67"/>
        <v>1.9084333533099199E-2</v>
      </c>
      <c r="AM57" s="236">
        <f>depths!$B$4</f>
        <v>3841.1</v>
      </c>
      <c r="AO57" s="116">
        <f t="shared" si="68"/>
        <v>101.32873129146424</v>
      </c>
      <c r="AP57" s="234">
        <v>1</v>
      </c>
      <c r="AQ57" s="116">
        <f t="shared" si="69"/>
        <v>3.9450208061927849</v>
      </c>
      <c r="AR57" s="234">
        <v>1</v>
      </c>
      <c r="AS57" s="116">
        <f t="shared" si="70"/>
        <v>33.258723666073926</v>
      </c>
      <c r="AT57" s="234">
        <v>1</v>
      </c>
      <c r="AU57" s="116">
        <f t="shared" si="71"/>
        <v>68.070007625390318</v>
      </c>
      <c r="AV57" s="234">
        <v>1</v>
      </c>
      <c r="AW57" s="116">
        <f t="shared" si="72"/>
        <v>19.084333533099198</v>
      </c>
      <c r="AX57" s="234">
        <v>1</v>
      </c>
      <c r="AY57" s="116">
        <f t="shared" si="73"/>
        <v>8.4305572264321906</v>
      </c>
      <c r="AZ57" s="116">
        <f t="shared" si="74"/>
        <v>17.254663782390171</v>
      </c>
      <c r="BA57" s="116">
        <f>main!R64</f>
        <v>40</v>
      </c>
      <c r="BB57" s="234">
        <v>1</v>
      </c>
      <c r="BC57" s="116">
        <f>main!S64</f>
        <v>8.64</v>
      </c>
      <c r="BD57" s="234">
        <v>1</v>
      </c>
    </row>
    <row r="58" spans="1:56">
      <c r="A58">
        <f>main!A65</f>
        <v>2019</v>
      </c>
      <c r="B58" t="str">
        <f>main!B65</f>
        <v>47_3800</v>
      </c>
      <c r="C58">
        <v>11</v>
      </c>
      <c r="D58" t="str">
        <f>main!$B$54</f>
        <v>McLane-PARFLUX-Mark78H-21 ; controller sn ML11649-01, frame sn 10705-01, funnel says 10583, motor sn 11640-01, cup set L250x21</v>
      </c>
      <c r="E58">
        <v>3800</v>
      </c>
      <c r="F58" s="66">
        <v>1</v>
      </c>
      <c r="G58" s="112">
        <f>main!E65</f>
        <v>271.5</v>
      </c>
      <c r="H58" s="105">
        <f>main!I65</f>
        <v>28.578947368421051</v>
      </c>
      <c r="I58" s="116">
        <f>main!J65</f>
        <v>10.43846052631579</v>
      </c>
      <c r="J58" s="234">
        <v>1</v>
      </c>
      <c r="K58" s="116">
        <f>main!AF65</f>
        <v>69.787473625653973</v>
      </c>
      <c r="L58" s="116">
        <f>main!AG65</f>
        <v>8.3741984040279416</v>
      </c>
      <c r="M58" s="234">
        <v>1</v>
      </c>
      <c r="N58" s="116">
        <f>main!M65</f>
        <v>12.423382759094238</v>
      </c>
      <c r="O58" s="234">
        <v>1</v>
      </c>
      <c r="P58" s="116">
        <f>main!O65</f>
        <v>0.6108284592628479</v>
      </c>
      <c r="Q58" s="234">
        <v>1</v>
      </c>
      <c r="R58" s="116">
        <f>main!AH65</f>
        <v>4.0491843550662967</v>
      </c>
      <c r="S58" s="234">
        <v>1</v>
      </c>
      <c r="T58" s="116">
        <f>main!AB65</f>
        <v>5.4356102358007838</v>
      </c>
      <c r="U58" s="234">
        <v>1</v>
      </c>
      <c r="V58" s="116">
        <f>main!AC65</f>
        <v>11.62783264753539</v>
      </c>
      <c r="W58" s="116">
        <f t="shared" si="56"/>
        <v>7.2847378867269326</v>
      </c>
      <c r="X58" s="116">
        <f t="shared" si="57"/>
        <v>0.87413739479982355</v>
      </c>
      <c r="Y58" s="116">
        <f t="shared" si="58"/>
        <v>1.2968099053411735</v>
      </c>
      <c r="Z58" s="116">
        <f t="shared" si="59"/>
        <v>6.37610876036553E-2</v>
      </c>
      <c r="AA58" s="116">
        <f t="shared" si="60"/>
        <v>0.42267251054134997</v>
      </c>
      <c r="AB58" s="116">
        <f t="shared" si="61"/>
        <v>1.2137667209790421</v>
      </c>
      <c r="AC58" s="67">
        <f>main!T65</f>
        <v>43740</v>
      </c>
      <c r="AD58" s="67">
        <f>main!U65</f>
        <v>43759</v>
      </c>
      <c r="AE58" s="67">
        <f>main!V65</f>
        <v>43749.5</v>
      </c>
      <c r="AF58" s="112">
        <f>main!H65</f>
        <v>19</v>
      </c>
      <c r="AG58" s="105">
        <f t="shared" si="62"/>
        <v>0.56739402882844547</v>
      </c>
      <c r="AH58" s="105">
        <f t="shared" si="63"/>
        <v>0.10797751085272052</v>
      </c>
      <c r="AI58" s="105">
        <f t="shared" si="64"/>
        <v>4.551112605542848E-3</v>
      </c>
      <c r="AJ58" s="105">
        <f t="shared" si="65"/>
        <v>3.5193381393950875E-2</v>
      </c>
      <c r="AK58" s="105">
        <f t="shared" si="66"/>
        <v>7.278412945876965E-2</v>
      </c>
      <c r="AL58" s="105">
        <f t="shared" si="67"/>
        <v>2.0199146629706139E-2</v>
      </c>
      <c r="AM58" s="236">
        <f>depths!$B$4</f>
        <v>3841.1</v>
      </c>
      <c r="AO58" s="116">
        <f t="shared" si="68"/>
        <v>107.97751085272051</v>
      </c>
      <c r="AP58" s="234">
        <v>1</v>
      </c>
      <c r="AQ58" s="116">
        <f t="shared" si="69"/>
        <v>4.5511126055428477</v>
      </c>
      <c r="AR58" s="234">
        <v>1</v>
      </c>
      <c r="AS58" s="116">
        <f t="shared" si="70"/>
        <v>35.193381393950872</v>
      </c>
      <c r="AT58" s="234">
        <v>1</v>
      </c>
      <c r="AU58" s="116">
        <f t="shared" si="71"/>
        <v>72.784129458769655</v>
      </c>
      <c r="AV58" s="234">
        <v>1</v>
      </c>
      <c r="AW58" s="116">
        <f t="shared" si="72"/>
        <v>20.199146629706139</v>
      </c>
      <c r="AX58" s="234">
        <v>1</v>
      </c>
      <c r="AY58" s="116">
        <f t="shared" si="73"/>
        <v>7.7329181772141791</v>
      </c>
      <c r="AZ58" s="116">
        <f t="shared" si="74"/>
        <v>15.992601319098346</v>
      </c>
      <c r="BA58" s="116">
        <f>main!R65</f>
        <v>40.15</v>
      </c>
      <c r="BB58" s="234">
        <v>1</v>
      </c>
      <c r="BC58" s="116">
        <f>main!S65</f>
        <v>8.6449999999999996</v>
      </c>
      <c r="BD58" s="234">
        <v>1</v>
      </c>
    </row>
    <row r="59" spans="1:56">
      <c r="A59">
        <f>main!A66</f>
        <v>2019</v>
      </c>
      <c r="B59" t="str">
        <f>main!B66</f>
        <v>47_3800</v>
      </c>
      <c r="C59">
        <v>12</v>
      </c>
      <c r="D59" t="str">
        <f>main!$B$54</f>
        <v>McLane-PARFLUX-Mark78H-21 ; controller sn ML11649-01, frame sn 10705-01, funnel says 10583, motor sn 11640-01, cup set L250x21</v>
      </c>
      <c r="E59">
        <v>3800</v>
      </c>
      <c r="F59" s="66">
        <v>1</v>
      </c>
      <c r="G59" s="112">
        <f>main!E66</f>
        <v>487.01428571428562</v>
      </c>
      <c r="H59" s="105">
        <f>main!I66</f>
        <v>51.264661654135331</v>
      </c>
      <c r="I59" s="116">
        <f>main!J66</f>
        <v>18.724417669172929</v>
      </c>
      <c r="J59" s="234">
        <v>1</v>
      </c>
      <c r="K59" s="116">
        <f>main!AF66</f>
        <v>74.148657870026213</v>
      </c>
      <c r="L59" s="116">
        <f>main!AG66</f>
        <v>8.8975218636906011</v>
      </c>
      <c r="M59" s="234">
        <v>1</v>
      </c>
      <c r="N59" s="116">
        <f>main!M66</f>
        <v>12.684090614318848</v>
      </c>
      <c r="O59" s="234">
        <v>1</v>
      </c>
      <c r="P59" s="116">
        <f>main!O66</f>
        <v>0.51281875371932983</v>
      </c>
      <c r="Q59" s="234">
        <v>1</v>
      </c>
      <c r="R59" s="116">
        <f>main!AH66</f>
        <v>3.7865687506282466</v>
      </c>
      <c r="S59" s="234">
        <v>1</v>
      </c>
      <c r="T59" s="116">
        <f>main!AB66</f>
        <v>4.4600336487826038</v>
      </c>
      <c r="U59" s="234">
        <v>1</v>
      </c>
      <c r="V59" s="116">
        <f>main!AC66</f>
        <v>9.5408836580757086</v>
      </c>
      <c r="W59" s="116">
        <f t="shared" si="56"/>
        <v>13.883904395669772</v>
      </c>
      <c r="X59" s="116">
        <f t="shared" si="57"/>
        <v>1.6660091559634074</v>
      </c>
      <c r="Y59" s="116">
        <f t="shared" si="58"/>
        <v>2.3750221041614235</v>
      </c>
      <c r="Z59" s="116">
        <f t="shared" si="59"/>
        <v>9.6022325332254618E-2</v>
      </c>
      <c r="AA59" s="116">
        <f t="shared" si="60"/>
        <v>0.70901294819801608</v>
      </c>
      <c r="AB59" s="116">
        <f t="shared" si="61"/>
        <v>1.7864749054679607</v>
      </c>
      <c r="AC59" s="67">
        <f>main!T66</f>
        <v>43759</v>
      </c>
      <c r="AD59" s="67">
        <f>main!U66</f>
        <v>43778</v>
      </c>
      <c r="AE59" s="67">
        <f>main!V66</f>
        <v>43768.5</v>
      </c>
      <c r="AF59" s="112">
        <f>main!H66</f>
        <v>19</v>
      </c>
      <c r="AG59" s="105">
        <f t="shared" si="62"/>
        <v>0.83511532858370807</v>
      </c>
      <c r="AH59" s="105">
        <f t="shared" si="63"/>
        <v>0.19775371391851987</v>
      </c>
      <c r="AI59" s="105">
        <f t="shared" si="64"/>
        <v>6.8538419223593593E-3</v>
      </c>
      <c r="AJ59" s="105">
        <f t="shared" si="65"/>
        <v>5.9035216336221157E-2</v>
      </c>
      <c r="AK59" s="105">
        <f t="shared" si="66"/>
        <v>0.13871849758229871</v>
      </c>
      <c r="AL59" s="105">
        <f t="shared" si="67"/>
        <v>2.9729986777632895E-2</v>
      </c>
      <c r="AM59" s="236">
        <f>depths!$B$4</f>
        <v>3841.1</v>
      </c>
      <c r="AO59" s="116">
        <f t="shared" si="68"/>
        <v>197.75371391851988</v>
      </c>
      <c r="AP59" s="234">
        <v>1</v>
      </c>
      <c r="AQ59" s="116">
        <f t="shared" si="69"/>
        <v>6.8538419223593596</v>
      </c>
      <c r="AR59" s="234">
        <v>1</v>
      </c>
      <c r="AS59" s="116">
        <f t="shared" si="70"/>
        <v>59.035216336221154</v>
      </c>
      <c r="AT59" s="234">
        <v>1</v>
      </c>
      <c r="AU59" s="116">
        <f t="shared" si="71"/>
        <v>138.71849758229871</v>
      </c>
      <c r="AV59" s="234">
        <v>1</v>
      </c>
      <c r="AW59" s="116">
        <f t="shared" si="72"/>
        <v>29.729986777632895</v>
      </c>
      <c r="AX59" s="234">
        <v>1</v>
      </c>
      <c r="AY59" s="116">
        <f t="shared" si="73"/>
        <v>8.6134487787980571</v>
      </c>
      <c r="AZ59" s="116">
        <f t="shared" si="74"/>
        <v>20.239523927413021</v>
      </c>
      <c r="BA59" s="116">
        <f>main!R66</f>
        <v>39.935000000000002</v>
      </c>
      <c r="BB59" s="234">
        <v>1</v>
      </c>
      <c r="BC59" s="116">
        <f>main!S66</f>
        <v>8.6240000000000006</v>
      </c>
      <c r="BD59" s="234">
        <v>1</v>
      </c>
    </row>
    <row r="60" spans="1:56">
      <c r="A60">
        <f>main!A67</f>
        <v>2019</v>
      </c>
      <c r="B60" t="str">
        <f>main!B67</f>
        <v>47_3800</v>
      </c>
      <c r="C60">
        <v>13</v>
      </c>
      <c r="D60" t="str">
        <f>main!$B$54</f>
        <v>McLane-PARFLUX-Mark78H-21 ; controller sn ML11649-01, frame sn 10705-01, funnel says 10583, motor sn 11640-01, cup set L250x21</v>
      </c>
      <c r="E60">
        <v>3800</v>
      </c>
      <c r="F60" s="66">
        <v>1</v>
      </c>
      <c r="G60" s="112">
        <f>main!E67</f>
        <v>820.12857142857138</v>
      </c>
      <c r="H60" s="105">
        <f>main!I67</f>
        <v>86.329323308270673</v>
      </c>
      <c r="I60" s="116">
        <f>main!J67</f>
        <v>31.531785338345866</v>
      </c>
      <c r="J60" s="234">
        <v>1</v>
      </c>
      <c r="K60" s="116">
        <f>main!AF67</f>
        <v>76.352800719828323</v>
      </c>
      <c r="L60" s="116">
        <f>main!AG67</f>
        <v>9.1620095801262522</v>
      </c>
      <c r="M60" s="234">
        <v>1</v>
      </c>
      <c r="N60" s="116">
        <f>main!M67</f>
        <v>12.727865219116211</v>
      </c>
      <c r="O60" s="234">
        <v>1</v>
      </c>
      <c r="P60" s="116">
        <f>main!O67</f>
        <v>0.46044337749481201</v>
      </c>
      <c r="Q60" s="234">
        <v>1</v>
      </c>
      <c r="R60" s="116">
        <f>main!AH67</f>
        <v>3.5658556389899587</v>
      </c>
      <c r="S60" s="234">
        <v>1</v>
      </c>
      <c r="T60" s="116">
        <f>main!AB67</f>
        <v>4.1708679035596736</v>
      </c>
      <c r="U60" s="234">
        <v>1</v>
      </c>
      <c r="V60" s="116">
        <f>main!AC67</f>
        <v>8.9223016135600126</v>
      </c>
      <c r="W60" s="116">
        <f t="shared" si="56"/>
        <v>24.075401222791267</v>
      </c>
      <c r="X60" s="116">
        <f t="shared" si="57"/>
        <v>2.8889451934840933</v>
      </c>
      <c r="Y60" s="116">
        <f t="shared" si="58"/>
        <v>4.013323139045708</v>
      </c>
      <c r="Z60" s="116">
        <f t="shared" si="59"/>
        <v>0.14518601739629364</v>
      </c>
      <c r="AA60" s="116">
        <f t="shared" si="60"/>
        <v>1.124377945561615</v>
      </c>
      <c r="AB60" s="116">
        <f t="shared" si="61"/>
        <v>2.8133609920275129</v>
      </c>
      <c r="AC60" s="67">
        <f>main!T67</f>
        <v>43778</v>
      </c>
      <c r="AD60" s="67">
        <f>main!U67</f>
        <v>43797</v>
      </c>
      <c r="AE60" s="67">
        <f>main!V67</f>
        <v>43787.5</v>
      </c>
      <c r="AF60" s="112">
        <f>main!H67</f>
        <v>19</v>
      </c>
      <c r="AG60" s="105">
        <f t="shared" si="62"/>
        <v>1.3151491140964029</v>
      </c>
      <c r="AH60" s="105">
        <f t="shared" si="63"/>
        <v>0.33416512398382248</v>
      </c>
      <c r="AI60" s="105">
        <f t="shared" si="64"/>
        <v>1.0363027651412822E-2</v>
      </c>
      <c r="AJ60" s="105">
        <f t="shared" si="65"/>
        <v>9.362014534234929E-2</v>
      </c>
      <c r="AK60" s="105">
        <f t="shared" si="66"/>
        <v>0.24054497864147323</v>
      </c>
      <c r="AL60" s="105">
        <f t="shared" si="67"/>
        <v>4.6819121185347201E-2</v>
      </c>
      <c r="AM60" s="236">
        <f>depths!$B$4</f>
        <v>3841.1</v>
      </c>
      <c r="AO60" s="116">
        <f t="shared" si="68"/>
        <v>334.16512398382247</v>
      </c>
      <c r="AP60" s="234">
        <v>1</v>
      </c>
      <c r="AQ60" s="116">
        <f t="shared" si="69"/>
        <v>10.363027651412821</v>
      </c>
      <c r="AR60" s="234">
        <v>1</v>
      </c>
      <c r="AS60" s="116">
        <f t="shared" si="70"/>
        <v>93.620145342349289</v>
      </c>
      <c r="AT60" s="234">
        <v>1</v>
      </c>
      <c r="AU60" s="116">
        <f t="shared" si="71"/>
        <v>240.54497864147322</v>
      </c>
      <c r="AV60" s="234">
        <v>1</v>
      </c>
      <c r="AW60" s="116">
        <f t="shared" si="72"/>
        <v>46.8191211853472</v>
      </c>
      <c r="AX60" s="234">
        <v>1</v>
      </c>
      <c r="AY60" s="116">
        <f t="shared" si="73"/>
        <v>9.0340534148421181</v>
      </c>
      <c r="AZ60" s="116">
        <f t="shared" si="74"/>
        <v>23.211843751925048</v>
      </c>
      <c r="BA60" s="116">
        <f>main!R67</f>
        <v>39.78</v>
      </c>
      <c r="BB60" s="234">
        <v>1</v>
      </c>
      <c r="BC60" s="116">
        <f>main!S67</f>
        <v>8.5790000000000006</v>
      </c>
      <c r="BD60" s="234">
        <v>1</v>
      </c>
    </row>
    <row r="61" spans="1:56">
      <c r="A61">
        <f>main!A68</f>
        <v>2019</v>
      </c>
      <c r="B61" t="str">
        <f>main!B68</f>
        <v>47_3800</v>
      </c>
      <c r="C61">
        <v>14</v>
      </c>
      <c r="D61" t="str">
        <f>main!$B$54</f>
        <v>McLane-PARFLUX-Mark78H-21 ; controller sn ML11649-01, frame sn 10705-01, funnel says 10583, motor sn 11640-01, cup set L250x21</v>
      </c>
      <c r="E61">
        <v>3800</v>
      </c>
      <c r="F61" s="66">
        <v>1</v>
      </c>
      <c r="G61" s="112">
        <f>main!E68</f>
        <v>692.14285714285711</v>
      </c>
      <c r="H61" s="105">
        <f>main!I68</f>
        <v>72.857142857142847</v>
      </c>
      <c r="I61" s="116">
        <f>main!J68</f>
        <v>26.611071428571428</v>
      </c>
      <c r="J61" s="234">
        <v>1</v>
      </c>
      <c r="K61" s="116">
        <f>main!AF68</f>
        <v>73.351611540718139</v>
      </c>
      <c r="L61" s="116">
        <f>main!AG68</f>
        <v>8.8018797125700257</v>
      </c>
      <c r="M61" s="234">
        <v>1</v>
      </c>
      <c r="N61" s="116">
        <f>main!M68</f>
        <v>12.496432304382324</v>
      </c>
      <c r="O61" s="234">
        <v>1</v>
      </c>
      <c r="P61" s="116">
        <f>main!O68</f>
        <v>0.4789680540561676</v>
      </c>
      <c r="Q61" s="234">
        <v>1</v>
      </c>
      <c r="R61" s="116">
        <f>main!AH68</f>
        <v>3.6945525918122986</v>
      </c>
      <c r="S61" s="234">
        <v>1</v>
      </c>
      <c r="T61" s="116">
        <f>main!AB68</f>
        <v>4.5698320920170428</v>
      </c>
      <c r="U61" s="234">
        <v>1</v>
      </c>
      <c r="V61" s="116">
        <f>main!AC68</f>
        <v>9.7757639875152762</v>
      </c>
      <c r="W61" s="116">
        <f t="shared" si="56"/>
        <v>19.519649741108747</v>
      </c>
      <c r="X61" s="116">
        <f t="shared" si="57"/>
        <v>2.3422744973689471</v>
      </c>
      <c r="Y61" s="116">
        <f t="shared" si="58"/>
        <v>3.3254345265422547</v>
      </c>
      <c r="Z61" s="116">
        <f t="shared" si="59"/>
        <v>0.12745853098492538</v>
      </c>
      <c r="AA61" s="116">
        <f t="shared" si="60"/>
        <v>0.9831600291733078</v>
      </c>
      <c r="AB61" s="116">
        <f t="shared" si="61"/>
        <v>2.6014355374062528</v>
      </c>
      <c r="AC61" s="67">
        <f>main!T68</f>
        <v>43797</v>
      </c>
      <c r="AD61" s="67">
        <f>main!U68</f>
        <v>43816</v>
      </c>
      <c r="AE61" s="67">
        <f>main!V68</f>
        <v>43806.5</v>
      </c>
      <c r="AF61" s="112">
        <f>main!H68</f>
        <v>19</v>
      </c>
      <c r="AG61" s="105">
        <f t="shared" si="62"/>
        <v>1.2160812821724352</v>
      </c>
      <c r="AH61" s="105">
        <f t="shared" si="63"/>
        <v>0.27688880320918025</v>
      </c>
      <c r="AI61" s="105">
        <f t="shared" si="64"/>
        <v>9.0976824400375005E-3</v>
      </c>
      <c r="AJ61" s="105">
        <f t="shared" si="65"/>
        <v>8.1861784277544369E-2</v>
      </c>
      <c r="AK61" s="105">
        <f t="shared" si="66"/>
        <v>0.1950270189316359</v>
      </c>
      <c r="AL61" s="105">
        <f t="shared" si="67"/>
        <v>4.3292320476056786E-2</v>
      </c>
      <c r="AM61" s="236">
        <f>depths!$B$4</f>
        <v>3841.1</v>
      </c>
      <c r="AO61" s="116">
        <f t="shared" si="68"/>
        <v>276.88880320918025</v>
      </c>
      <c r="AP61" s="234">
        <v>1</v>
      </c>
      <c r="AQ61" s="116">
        <f t="shared" si="69"/>
        <v>9.0976824400375005</v>
      </c>
      <c r="AR61" s="234">
        <v>1</v>
      </c>
      <c r="AS61" s="116">
        <f t="shared" si="70"/>
        <v>81.861784277544373</v>
      </c>
      <c r="AT61" s="234">
        <v>1</v>
      </c>
      <c r="AU61" s="116">
        <f t="shared" si="71"/>
        <v>195.02701893163589</v>
      </c>
      <c r="AV61" s="234">
        <v>1</v>
      </c>
      <c r="AW61" s="116">
        <f t="shared" si="72"/>
        <v>43.292320476056787</v>
      </c>
      <c r="AX61" s="234">
        <v>1</v>
      </c>
      <c r="AY61" s="116">
        <f t="shared" si="73"/>
        <v>8.9980920764263281</v>
      </c>
      <c r="AZ61" s="116">
        <f t="shared" si="74"/>
        <v>21.437000051062675</v>
      </c>
      <c r="BA61" s="116">
        <f>main!R68</f>
        <v>39.82</v>
      </c>
      <c r="BB61" s="234">
        <v>1</v>
      </c>
      <c r="BC61" s="116">
        <f>main!S68</f>
        <v>8.5860000000000003</v>
      </c>
      <c r="BD61" s="234">
        <v>1</v>
      </c>
    </row>
    <row r="62" spans="1:56">
      <c r="A62">
        <f>main!A69</f>
        <v>2019</v>
      </c>
      <c r="B62" t="str">
        <f>main!B69</f>
        <v>47_3800</v>
      </c>
      <c r="C62">
        <v>15</v>
      </c>
      <c r="D62" t="str">
        <f>main!$B$54</f>
        <v>McLane-PARFLUX-Mark78H-21 ; controller sn ML11649-01, frame sn 10705-01, funnel says 10583, motor sn 11640-01, cup set L250x21</v>
      </c>
      <c r="E62">
        <v>3800</v>
      </c>
      <c r="F62" s="66">
        <v>1</v>
      </c>
      <c r="G62" s="112">
        <f>main!E69</f>
        <v>639.51428571428573</v>
      </c>
      <c r="H62" s="105">
        <f>main!I69</f>
        <v>67.317293233082708</v>
      </c>
      <c r="I62" s="116">
        <f>main!J69</f>
        <v>24.587641353383461</v>
      </c>
      <c r="J62" s="234">
        <v>1</v>
      </c>
      <c r="K62" s="116">
        <f>main!AF69</f>
        <v>73.973918949949208</v>
      </c>
      <c r="L62" s="116">
        <f>main!AG69</f>
        <v>8.8765539405145937</v>
      </c>
      <c r="M62" s="234">
        <v>1</v>
      </c>
      <c r="N62" s="116">
        <f>main!M69</f>
        <v>11.975069046020508</v>
      </c>
      <c r="O62" s="234">
        <v>1</v>
      </c>
      <c r="P62" s="116">
        <f>main!O69</f>
        <v>0.40796807408332825</v>
      </c>
      <c r="Q62" s="234">
        <v>1</v>
      </c>
      <c r="R62" s="116">
        <f>main!AH69</f>
        <v>3.0985151055059141</v>
      </c>
      <c r="S62" s="234">
        <v>1</v>
      </c>
      <c r="T62" s="116">
        <f>main!AB69</f>
        <v>5.0643975583864114</v>
      </c>
      <c r="U62" s="234">
        <v>1</v>
      </c>
      <c r="V62" s="116">
        <f>main!AC69</f>
        <v>10.833736179545729</v>
      </c>
      <c r="W62" s="116">
        <f t="shared" si="56"/>
        <v>18.188441886456076</v>
      </c>
      <c r="X62" s="116">
        <f t="shared" si="57"/>
        <v>2.1825352474333553</v>
      </c>
      <c r="Y62" s="116">
        <f t="shared" si="58"/>
        <v>2.9443870288555605</v>
      </c>
      <c r="Z62" s="116">
        <f t="shared" si="59"/>
        <v>0.10030972689191449</v>
      </c>
      <c r="AA62" s="116">
        <f t="shared" si="60"/>
        <v>0.76185178142220533</v>
      </c>
      <c r="AB62" s="116">
        <f t="shared" si="61"/>
        <v>2.6637601969984512</v>
      </c>
      <c r="AC62" s="67">
        <f>main!T69</f>
        <v>43816</v>
      </c>
      <c r="AD62" s="67">
        <f>main!U69</f>
        <v>43835</v>
      </c>
      <c r="AE62" s="67">
        <f>main!V69</f>
        <v>43825.5</v>
      </c>
      <c r="AF62" s="112">
        <f>main!H69</f>
        <v>19</v>
      </c>
      <c r="AG62" s="105">
        <f t="shared" si="62"/>
        <v>1.2452159083655594</v>
      </c>
      <c r="AH62" s="105">
        <f t="shared" si="63"/>
        <v>0.24516128466740719</v>
      </c>
      <c r="AI62" s="105">
        <f t="shared" si="64"/>
        <v>7.1598663020638461E-3</v>
      </c>
      <c r="AJ62" s="105">
        <f t="shared" si="65"/>
        <v>6.3434786130075388E-2</v>
      </c>
      <c r="AK62" s="105">
        <f t="shared" si="66"/>
        <v>0.18172649853733183</v>
      </c>
      <c r="AL62" s="105">
        <f t="shared" si="67"/>
        <v>4.4329509019777835E-2</v>
      </c>
      <c r="AM62" s="236">
        <f>depths!$B$4</f>
        <v>3841.1</v>
      </c>
      <c r="AO62" s="116">
        <f t="shared" si="68"/>
        <v>245.16128466740719</v>
      </c>
      <c r="AP62" s="234">
        <v>1</v>
      </c>
      <c r="AQ62" s="116">
        <f t="shared" si="69"/>
        <v>7.159866302063846</v>
      </c>
      <c r="AR62" s="234">
        <v>1</v>
      </c>
      <c r="AS62" s="116">
        <f t="shared" si="70"/>
        <v>63.434786130075388</v>
      </c>
      <c r="AT62" s="234">
        <v>1</v>
      </c>
      <c r="AU62" s="116">
        <f t="shared" si="71"/>
        <v>181.72649853733182</v>
      </c>
      <c r="AV62" s="234">
        <v>1</v>
      </c>
      <c r="AW62" s="116">
        <f t="shared" si="72"/>
        <v>44.329509019777838</v>
      </c>
      <c r="AX62" s="234">
        <v>1</v>
      </c>
      <c r="AY62" s="116">
        <f t="shared" si="73"/>
        <v>8.8597724390174974</v>
      </c>
      <c r="AZ62" s="116">
        <f t="shared" si="74"/>
        <v>25.381269826916849</v>
      </c>
      <c r="BA62" s="116">
        <f>main!R69</f>
        <v>39.78</v>
      </c>
      <c r="BB62" s="234">
        <v>1</v>
      </c>
      <c r="BC62" s="116">
        <f>main!S69</f>
        <v>8.6010000000000009</v>
      </c>
      <c r="BD62" s="234">
        <v>1</v>
      </c>
    </row>
    <row r="63" spans="1:56" s="367" customFormat="1">
      <c r="A63" s="367">
        <f>main!A70</f>
        <v>2019</v>
      </c>
      <c r="B63" s="367" t="str">
        <f>main!B70</f>
        <v>47_3800</v>
      </c>
      <c r="C63" s="367">
        <v>16</v>
      </c>
      <c r="D63" s="367" t="str">
        <f>main!$B$54</f>
        <v>McLane-PARFLUX-Mark78H-21 ; controller sn ML11649-01, frame sn 10705-01, funnel says 10583, motor sn 11640-01, cup set L250x21</v>
      </c>
      <c r="E63" s="367">
        <v>3800</v>
      </c>
      <c r="F63" s="367">
        <v>1</v>
      </c>
      <c r="G63" s="526">
        <f>main!E70</f>
        <v>1350.5285714285715</v>
      </c>
      <c r="H63" s="527">
        <f>main!I70</f>
        <v>142.16090225563912</v>
      </c>
      <c r="I63" s="528">
        <f>main!J70</f>
        <v>51.924269548872182</v>
      </c>
      <c r="J63" s="528">
        <v>1</v>
      </c>
      <c r="K63" s="528">
        <f>main!AF70</f>
        <v>59.6972176372512</v>
      </c>
      <c r="L63" s="528">
        <f>main!AG70</f>
        <v>7.1634108342189329</v>
      </c>
      <c r="M63" s="528">
        <v>1</v>
      </c>
      <c r="N63" s="528">
        <f>main!M70</f>
        <v>10.928240299224854</v>
      </c>
      <c r="O63" s="528">
        <v>3</v>
      </c>
      <c r="P63" s="528">
        <f>main!O70</f>
        <v>0.49730692803859711</v>
      </c>
      <c r="Q63" s="528">
        <v>1</v>
      </c>
      <c r="R63" s="528">
        <f>main!AH70</f>
        <v>3.7648294650059206</v>
      </c>
      <c r="S63" s="528">
        <v>3</v>
      </c>
      <c r="T63" s="528">
        <f>main!AB70</f>
        <v>10.387694920487846</v>
      </c>
      <c r="U63" s="528">
        <v>1</v>
      </c>
      <c r="V63" s="528">
        <f>main!AC70</f>
        <v>22.221309639448723</v>
      </c>
      <c r="W63" s="528">
        <f t="shared" si="56"/>
        <v>30.997344199143178</v>
      </c>
      <c r="X63" s="528">
        <f t="shared" si="57"/>
        <v>3.7195487504529523</v>
      </c>
      <c r="Y63" s="528">
        <f t="shared" si="58"/>
        <v>5.6744089499179884</v>
      </c>
      <c r="Z63" s="528">
        <f t="shared" si="59"/>
        <v>0.25822298979997699</v>
      </c>
      <c r="AA63" s="528">
        <f t="shared" si="60"/>
        <v>1.9548601994650368</v>
      </c>
      <c r="AB63" s="528">
        <f t="shared" si="61"/>
        <v>11.538252714476872</v>
      </c>
      <c r="AC63" s="529">
        <f>main!T70</f>
        <v>43835</v>
      </c>
      <c r="AD63" s="529">
        <f>main!U70</f>
        <v>43854</v>
      </c>
      <c r="AE63" s="529">
        <f>main!V70</f>
        <v>43844.5</v>
      </c>
      <c r="AF63" s="526">
        <f>main!H70</f>
        <v>19</v>
      </c>
      <c r="AG63" s="527">
        <f t="shared" si="62"/>
        <v>5.3937347104286131</v>
      </c>
      <c r="AH63" s="527">
        <f t="shared" si="63"/>
        <v>0.47247368442281334</v>
      </c>
      <c r="AI63" s="527">
        <f t="shared" si="64"/>
        <v>1.8431334032832047E-2</v>
      </c>
      <c r="AJ63" s="527">
        <f t="shared" si="65"/>
        <v>0.16276937547585651</v>
      </c>
      <c r="AK63" s="527">
        <f t="shared" si="66"/>
        <v>0.30970430894695689</v>
      </c>
      <c r="AL63" s="527">
        <f t="shared" si="67"/>
        <v>0.19201618762650813</v>
      </c>
      <c r="AM63" s="528">
        <f>depths!$B$4</f>
        <v>3841.1</v>
      </c>
      <c r="AO63" s="528">
        <f t="shared" si="68"/>
        <v>472.47368442281334</v>
      </c>
      <c r="AP63" s="528">
        <v>3</v>
      </c>
      <c r="AQ63" s="528">
        <f t="shared" si="69"/>
        <v>18.431334032832048</v>
      </c>
      <c r="AR63" s="528">
        <v>1</v>
      </c>
      <c r="AS63" s="528">
        <f t="shared" si="70"/>
        <v>162.76937547585652</v>
      </c>
      <c r="AT63" s="528">
        <v>3</v>
      </c>
      <c r="AU63" s="528">
        <f t="shared" si="71"/>
        <v>309.70430894695687</v>
      </c>
      <c r="AV63" s="528">
        <v>1</v>
      </c>
      <c r="AW63" s="528">
        <f t="shared" si="72"/>
        <v>192.01618762650813</v>
      </c>
      <c r="AX63" s="528">
        <v>1</v>
      </c>
      <c r="AY63" s="528">
        <f t="shared" si="73"/>
        <v>8.8311228685841545</v>
      </c>
      <c r="AZ63" s="528">
        <f t="shared" si="74"/>
        <v>16.803141237377357</v>
      </c>
      <c r="BA63" s="528">
        <f>main!R70</f>
        <v>39.19</v>
      </c>
      <c r="BB63" s="528">
        <v>1</v>
      </c>
      <c r="BC63" s="528">
        <f>main!S70</f>
        <v>8.532</v>
      </c>
      <c r="BD63" s="528">
        <v>1</v>
      </c>
    </row>
    <row r="64" spans="1:56">
      <c r="A64">
        <f>main!A71</f>
        <v>2019</v>
      </c>
      <c r="B64" t="str">
        <f>main!B71</f>
        <v>47_3800</v>
      </c>
      <c r="C64">
        <v>17</v>
      </c>
      <c r="D64" t="str">
        <f>main!$B$54</f>
        <v>McLane-PARFLUX-Mark78H-21 ; controller sn ML11649-01, frame sn 10705-01, funnel says 10583, motor sn 11640-01, cup set L250x21</v>
      </c>
      <c r="E64">
        <v>3800</v>
      </c>
      <c r="F64" s="66">
        <v>1</v>
      </c>
      <c r="G64" s="112">
        <f>main!E71</f>
        <v>801.0428571428572</v>
      </c>
      <c r="H64" s="105">
        <f>main!I71</f>
        <v>84.320300751879699</v>
      </c>
      <c r="I64" s="116">
        <f>main!J71</f>
        <v>30.797989849624066</v>
      </c>
      <c r="J64" s="234">
        <v>1</v>
      </c>
      <c r="K64" s="116">
        <f>main!AF71</f>
        <v>60.463457194895284</v>
      </c>
      <c r="L64" s="116">
        <f>main!AG71</f>
        <v>7.2553563044783322</v>
      </c>
      <c r="M64" s="234">
        <v>1</v>
      </c>
      <c r="N64" s="116">
        <f>main!M71</f>
        <v>12.625073432922363</v>
      </c>
      <c r="O64" s="234">
        <v>1</v>
      </c>
      <c r="P64" s="116">
        <f>main!O71</f>
        <v>0.73102074861526489</v>
      </c>
      <c r="Q64" s="234">
        <v>1</v>
      </c>
      <c r="R64" s="116">
        <f>main!AH71</f>
        <v>5.369717128444031</v>
      </c>
      <c r="S64" s="234">
        <v>1</v>
      </c>
      <c r="T64" s="116">
        <f>main!AB71</f>
        <v>8.3547865833080248</v>
      </c>
      <c r="U64" s="234">
        <v>1</v>
      </c>
      <c r="V64" s="116">
        <f>main!AC71</f>
        <v>17.872521388073306</v>
      </c>
      <c r="W64" s="116">
        <f t="shared" si="56"/>
        <v>18.621529409615643</v>
      </c>
      <c r="X64" s="116">
        <f t="shared" si="57"/>
        <v>2.2345038982072962</v>
      </c>
      <c r="Y64" s="116">
        <f t="shared" si="58"/>
        <v>3.8882688343790139</v>
      </c>
      <c r="Z64" s="116">
        <f t="shared" si="59"/>
        <v>0.22513969595717515</v>
      </c>
      <c r="AA64" s="116">
        <f t="shared" si="60"/>
        <v>1.6537649361717177</v>
      </c>
      <c r="AB64" s="116">
        <f t="shared" si="61"/>
        <v>5.5043773229707069</v>
      </c>
      <c r="AC64" s="67">
        <f>main!T71</f>
        <v>43854</v>
      </c>
      <c r="AD64" s="67">
        <f>main!U71</f>
        <v>43873</v>
      </c>
      <c r="AE64" s="67">
        <f>main!V71</f>
        <v>43863.5</v>
      </c>
      <c r="AF64" s="112">
        <f>main!H71</f>
        <v>19</v>
      </c>
      <c r="AG64" s="105">
        <f t="shared" si="62"/>
        <v>2.5731063238849585</v>
      </c>
      <c r="AH64" s="105">
        <f t="shared" si="63"/>
        <v>0.32375260902406444</v>
      </c>
      <c r="AI64" s="105">
        <f t="shared" si="64"/>
        <v>1.606992833384548E-2</v>
      </c>
      <c r="AJ64" s="105">
        <f t="shared" si="65"/>
        <v>0.13769899551804476</v>
      </c>
      <c r="AK64" s="105">
        <f t="shared" si="66"/>
        <v>0.18605361350601968</v>
      </c>
      <c r="AL64" s="105">
        <f t="shared" si="67"/>
        <v>9.1602218721429637E-2</v>
      </c>
      <c r="AM64" s="236">
        <f>depths!$B$4</f>
        <v>3841.1</v>
      </c>
      <c r="AO64" s="116">
        <f t="shared" si="68"/>
        <v>323.75260902406444</v>
      </c>
      <c r="AP64" s="234">
        <v>1</v>
      </c>
      <c r="AQ64" s="116">
        <f t="shared" si="69"/>
        <v>16.069928333845478</v>
      </c>
      <c r="AR64" s="234">
        <v>1</v>
      </c>
      <c r="AS64" s="116">
        <f t="shared" si="70"/>
        <v>137.69899551804477</v>
      </c>
      <c r="AT64" s="234">
        <v>1</v>
      </c>
      <c r="AU64" s="116">
        <f t="shared" si="71"/>
        <v>186.05361350601967</v>
      </c>
      <c r="AV64" s="234">
        <v>1</v>
      </c>
      <c r="AW64" s="116">
        <f t="shared" si="72"/>
        <v>91.602218721429637</v>
      </c>
      <c r="AX64" s="234">
        <v>1</v>
      </c>
      <c r="AY64" s="116">
        <f t="shared" si="73"/>
        <v>8.5687373743933719</v>
      </c>
      <c r="AZ64" s="116">
        <f t="shared" si="74"/>
        <v>11.57775004597657</v>
      </c>
      <c r="BA64" s="116">
        <f>main!R71</f>
        <v>39.54</v>
      </c>
      <c r="BB64" s="234">
        <v>1</v>
      </c>
      <c r="BC64" s="116">
        <f>main!S71</f>
        <v>8.5739999999999998</v>
      </c>
      <c r="BD64" s="234">
        <v>1</v>
      </c>
    </row>
    <row r="65" spans="1:56">
      <c r="A65">
        <f>main!A72</f>
        <v>2019</v>
      </c>
      <c r="B65" t="str">
        <f>main!B72</f>
        <v>47_3800</v>
      </c>
      <c r="C65">
        <v>18</v>
      </c>
      <c r="D65" t="str">
        <f>main!$B$54</f>
        <v>McLane-PARFLUX-Mark78H-21 ; controller sn ML11649-01, frame sn 10705-01, funnel says 10583, motor sn 11640-01, cup set L250x21</v>
      </c>
      <c r="E65">
        <v>3800</v>
      </c>
      <c r="F65" s="66">
        <v>1</v>
      </c>
      <c r="G65" s="112">
        <f>main!E72</f>
        <v>649.40000000000009</v>
      </c>
      <c r="H65" s="105">
        <f>main!I72</f>
        <v>68.357894736842113</v>
      </c>
      <c r="I65" s="116">
        <f>main!J72</f>
        <v>24.967721052631582</v>
      </c>
      <c r="J65" s="234">
        <v>1</v>
      </c>
      <c r="K65" s="116">
        <f>main!AF72</f>
        <v>63.798144809911996</v>
      </c>
      <c r="L65" s="116">
        <f>main!AG72</f>
        <v>7.6555045582093468</v>
      </c>
      <c r="M65" s="234">
        <v>1</v>
      </c>
      <c r="N65" s="116">
        <f>main!M72</f>
        <v>12.991854667663574</v>
      </c>
      <c r="O65" s="234">
        <v>1</v>
      </c>
      <c r="P65" s="116">
        <f>main!O72</f>
        <v>0.78967905044555664</v>
      </c>
      <c r="Q65" s="234">
        <v>1</v>
      </c>
      <c r="R65" s="116">
        <f>main!AH72</f>
        <v>5.3363501094542274</v>
      </c>
      <c r="S65" s="234">
        <v>1</v>
      </c>
      <c r="T65" s="116">
        <f>main!AB72</f>
        <v>6.8789247337390655</v>
      </c>
      <c r="U65" s="234">
        <v>1</v>
      </c>
      <c r="V65" s="116">
        <f>main!AC72</f>
        <v>14.715364444655767</v>
      </c>
      <c r="W65" s="116">
        <f t="shared" si="56"/>
        <v>15.92894283289278</v>
      </c>
      <c r="X65" s="116">
        <f t="shared" si="57"/>
        <v>1.9114050232652056</v>
      </c>
      <c r="Y65" s="116">
        <f t="shared" si="58"/>
        <v>3.243770032985537</v>
      </c>
      <c r="Z65" s="116">
        <f t="shared" si="59"/>
        <v>0.19716486252631643</v>
      </c>
      <c r="AA65" s="116">
        <f t="shared" si="60"/>
        <v>1.3323650097203315</v>
      </c>
      <c r="AB65" s="116">
        <f t="shared" si="61"/>
        <v>3.6740911464197805</v>
      </c>
      <c r="AC65" s="67">
        <f>main!T72</f>
        <v>43873</v>
      </c>
      <c r="AD65" s="67">
        <f>main!U72</f>
        <v>43892</v>
      </c>
      <c r="AE65" s="67">
        <f>main!V72</f>
        <v>43882.5</v>
      </c>
      <c r="AF65" s="112">
        <f>main!H72</f>
        <v>19</v>
      </c>
      <c r="AG65" s="105">
        <f t="shared" si="62"/>
        <v>1.7175107389404496</v>
      </c>
      <c r="AH65" s="105">
        <f t="shared" si="63"/>
        <v>0.27008909516948687</v>
      </c>
      <c r="AI65" s="105">
        <f t="shared" si="64"/>
        <v>1.4073152214583615E-2</v>
      </c>
      <c r="AJ65" s="105">
        <f t="shared" si="65"/>
        <v>0.11093796916905341</v>
      </c>
      <c r="AK65" s="105">
        <f t="shared" si="66"/>
        <v>0.15915112600043343</v>
      </c>
      <c r="AL65" s="105">
        <f t="shared" si="67"/>
        <v>6.1143137733729071E-2</v>
      </c>
      <c r="AM65" s="236">
        <f>depths!$B$4</f>
        <v>3841.1</v>
      </c>
      <c r="AO65" s="116">
        <f t="shared" si="68"/>
        <v>270.08909516948688</v>
      </c>
      <c r="AP65" s="234">
        <v>1</v>
      </c>
      <c r="AQ65" s="116">
        <f t="shared" si="69"/>
        <v>14.073152214583615</v>
      </c>
      <c r="AR65" s="234">
        <v>1</v>
      </c>
      <c r="AS65" s="116">
        <f t="shared" si="70"/>
        <v>110.9379691690534</v>
      </c>
      <c r="AT65" s="234">
        <v>1</v>
      </c>
      <c r="AU65" s="116">
        <f t="shared" si="71"/>
        <v>159.15112600043344</v>
      </c>
      <c r="AV65" s="234">
        <v>1</v>
      </c>
      <c r="AW65" s="116">
        <f t="shared" si="72"/>
        <v>61.14313773372907</v>
      </c>
      <c r="AX65" s="234">
        <v>1</v>
      </c>
      <c r="AY65" s="116">
        <f t="shared" si="73"/>
        <v>7.8829509890535743</v>
      </c>
      <c r="AZ65" s="116">
        <f t="shared" si="74"/>
        <v>11.308847056703442</v>
      </c>
      <c r="BA65" s="116">
        <f>main!R72</f>
        <v>39.32</v>
      </c>
      <c r="BB65" s="234">
        <v>1</v>
      </c>
      <c r="BC65" s="116">
        <f>main!S72</f>
        <v>8.5380000000000003</v>
      </c>
      <c r="BD65" s="234">
        <v>1</v>
      </c>
    </row>
    <row r="66" spans="1:56">
      <c r="A66">
        <f>main!A73</f>
        <v>2019</v>
      </c>
      <c r="B66" t="str">
        <f>main!B73</f>
        <v>47_3800</v>
      </c>
      <c r="C66">
        <v>19</v>
      </c>
      <c r="D66" t="str">
        <f>main!$B$54</f>
        <v>McLane-PARFLUX-Mark78H-21 ; controller sn ML11649-01, frame sn 10705-01, funnel says 10583, motor sn 11640-01, cup set L250x21</v>
      </c>
      <c r="E66">
        <v>3800</v>
      </c>
      <c r="F66" s="66">
        <v>1</v>
      </c>
      <c r="G66" s="112">
        <f>main!E73</f>
        <v>869.64285714285711</v>
      </c>
      <c r="H66" s="105">
        <f>main!I73</f>
        <v>91.541353383458642</v>
      </c>
      <c r="I66" s="116">
        <f>main!J73</f>
        <v>33.435479323308272</v>
      </c>
      <c r="J66" s="234">
        <v>1</v>
      </c>
      <c r="K66" s="116">
        <f>main!AF73</f>
        <v>64.333736948139091</v>
      </c>
      <c r="L66" s="116">
        <f>main!AG73</f>
        <v>7.7197733244525555</v>
      </c>
      <c r="M66" s="234">
        <v>1</v>
      </c>
      <c r="N66" s="116">
        <f>main!M73</f>
        <v>13.750542640686035</v>
      </c>
      <c r="O66" s="234">
        <v>1</v>
      </c>
      <c r="P66" s="116">
        <f>main!O73</f>
        <v>0.86416906118392944</v>
      </c>
      <c r="Q66" s="234">
        <v>1</v>
      </c>
      <c r="R66" s="116">
        <f>main!AH73</f>
        <v>6.0307693162334797</v>
      </c>
      <c r="S66" s="234">
        <v>1</v>
      </c>
      <c r="T66" s="116">
        <f>main!AB73</f>
        <v>6.0026564819396357</v>
      </c>
      <c r="U66" s="234">
        <v>1</v>
      </c>
      <c r="V66" s="116">
        <f>main!AC73</f>
        <v>12.840855393369621</v>
      </c>
      <c r="W66" s="116">
        <f t="shared" si="56"/>
        <v>21.510293315206578</v>
      </c>
      <c r="X66" s="116">
        <f t="shared" si="57"/>
        <v>2.5811432137036019</v>
      </c>
      <c r="Y66" s="116">
        <f t="shared" si="58"/>
        <v>4.5975598414692671</v>
      </c>
      <c r="Z66" s="116">
        <f t="shared" si="59"/>
        <v>0.28893906777057998</v>
      </c>
      <c r="AA66" s="116">
        <f t="shared" si="60"/>
        <v>2.0164166277656648</v>
      </c>
      <c r="AB66" s="116">
        <f t="shared" si="61"/>
        <v>4.2934015499860143</v>
      </c>
      <c r="AC66" s="67">
        <f>main!T73</f>
        <v>43892</v>
      </c>
      <c r="AD66" s="67">
        <f>main!U73</f>
        <v>43911</v>
      </c>
      <c r="AE66" s="67">
        <f>main!V73</f>
        <v>43901.5</v>
      </c>
      <c r="AF66" s="112">
        <f>main!H73</f>
        <v>19</v>
      </c>
      <c r="AG66" s="105">
        <f t="shared" si="62"/>
        <v>2.0070169668681506</v>
      </c>
      <c r="AH66" s="105">
        <f t="shared" si="63"/>
        <v>0.38281097764107136</v>
      </c>
      <c r="AI66" s="105">
        <f t="shared" si="64"/>
        <v>2.06237735739172E-2</v>
      </c>
      <c r="AJ66" s="105">
        <f t="shared" si="65"/>
        <v>0.16789480664160406</v>
      </c>
      <c r="AK66" s="105">
        <f t="shared" si="66"/>
        <v>0.21491617099946728</v>
      </c>
      <c r="AL66" s="105">
        <f t="shared" si="67"/>
        <v>7.144951822243327E-2</v>
      </c>
      <c r="AM66" s="236">
        <f>depths!$B$4</f>
        <v>3841.1</v>
      </c>
      <c r="AO66" s="116">
        <f t="shared" si="68"/>
        <v>382.81097764107136</v>
      </c>
      <c r="AP66" s="234">
        <v>1</v>
      </c>
      <c r="AQ66" s="116">
        <f t="shared" si="69"/>
        <v>20.623773573917202</v>
      </c>
      <c r="AR66" s="234">
        <v>1</v>
      </c>
      <c r="AS66" s="116">
        <f t="shared" si="70"/>
        <v>167.89480664160405</v>
      </c>
      <c r="AT66" s="234">
        <v>1</v>
      </c>
      <c r="AU66" s="116">
        <f t="shared" si="71"/>
        <v>214.91617099946728</v>
      </c>
      <c r="AV66" s="234">
        <v>1</v>
      </c>
      <c r="AW66" s="116">
        <f t="shared" si="72"/>
        <v>71.449518222433269</v>
      </c>
      <c r="AX66" s="234">
        <v>1</v>
      </c>
      <c r="AY66" s="116">
        <f t="shared" si="73"/>
        <v>8.1408383407554421</v>
      </c>
      <c r="AZ66" s="116">
        <f t="shared" si="74"/>
        <v>10.42079764060593</v>
      </c>
      <c r="BA66" s="116">
        <f>main!R73</f>
        <v>38.68</v>
      </c>
      <c r="BB66" s="234">
        <v>1</v>
      </c>
      <c r="BC66" s="116">
        <f>main!S73</f>
        <v>8.49</v>
      </c>
      <c r="BD66" s="234">
        <v>1</v>
      </c>
    </row>
    <row r="67" spans="1:56">
      <c r="A67">
        <f>main!A74</f>
        <v>2019</v>
      </c>
      <c r="B67" t="str">
        <f>main!B74</f>
        <v>47_3800</v>
      </c>
      <c r="C67">
        <v>20</v>
      </c>
      <c r="D67" t="str">
        <f>main!$B$54</f>
        <v>McLane-PARFLUX-Mark78H-21 ; controller sn ML11649-01, frame sn 10705-01, funnel says 10583, motor sn 11640-01, cup set L250x21</v>
      </c>
      <c r="E67">
        <v>3800</v>
      </c>
      <c r="F67" s="66">
        <v>1</v>
      </c>
      <c r="G67" s="112">
        <f>main!E74</f>
        <v>712.12857142857149</v>
      </c>
      <c r="H67" s="105">
        <f>main!I74</f>
        <v>74.960902255639098</v>
      </c>
      <c r="I67" s="116">
        <f>main!J74</f>
        <v>27.379469548872187</v>
      </c>
      <c r="J67" s="234">
        <v>1</v>
      </c>
      <c r="K67" s="116">
        <f>main!AF74</f>
        <v>64.11796304682818</v>
      </c>
      <c r="L67" s="116">
        <f>main!AG74</f>
        <v>7.6938813790057088</v>
      </c>
      <c r="M67" s="234">
        <v>1</v>
      </c>
      <c r="N67" s="116">
        <f>main!M74</f>
        <v>14.902951240539551</v>
      </c>
      <c r="O67" s="234">
        <v>1</v>
      </c>
      <c r="P67" s="116">
        <f>main!O74</f>
        <v>1.0282250642776489</v>
      </c>
      <c r="Q67" s="234">
        <v>1</v>
      </c>
      <c r="R67" s="116">
        <f>main!AH74</f>
        <v>7.209069861533842</v>
      </c>
      <c r="S67" s="234">
        <v>1</v>
      </c>
      <c r="T67" s="116">
        <f>main!AB74</f>
        <v>5.2626009753707041</v>
      </c>
      <c r="U67" s="234">
        <v>1</v>
      </c>
      <c r="V67" s="116">
        <f>main!AC74</f>
        <v>11.257732025988808</v>
      </c>
      <c r="W67" s="116">
        <f t="shared" si="56"/>
        <v>17.555158167763441</v>
      </c>
      <c r="X67" s="116">
        <f t="shared" si="57"/>
        <v>2.1065439092912155</v>
      </c>
      <c r="Y67" s="116">
        <f t="shared" si="58"/>
        <v>4.0803489967867961</v>
      </c>
      <c r="Z67" s="116">
        <f t="shared" si="59"/>
        <v>0.2815225683677704</v>
      </c>
      <c r="AA67" s="116">
        <f t="shared" si="60"/>
        <v>1.9738050874955804</v>
      </c>
      <c r="AB67" s="116">
        <f t="shared" si="61"/>
        <v>3.0823073119492377</v>
      </c>
      <c r="AC67" s="67">
        <f>main!T74</f>
        <v>43911</v>
      </c>
      <c r="AD67" s="67">
        <f>main!U74</f>
        <v>43930</v>
      </c>
      <c r="AE67" s="67">
        <f>main!V74</f>
        <v>43920.5</v>
      </c>
      <c r="AF67" s="112">
        <f>main!H74</f>
        <v>19</v>
      </c>
      <c r="AG67" s="105">
        <f t="shared" si="62"/>
        <v>1.4408722315302727</v>
      </c>
      <c r="AH67" s="105">
        <f t="shared" si="63"/>
        <v>0.33974596143104047</v>
      </c>
      <c r="AI67" s="105">
        <f t="shared" si="64"/>
        <v>2.0094401739312661E-2</v>
      </c>
      <c r="AJ67" s="105">
        <f t="shared" si="65"/>
        <v>0.16434680162327897</v>
      </c>
      <c r="AK67" s="105">
        <f t="shared" si="66"/>
        <v>0.1753991598077615</v>
      </c>
      <c r="AL67" s="105">
        <f t="shared" si="67"/>
        <v>5.1294846263092657E-2</v>
      </c>
      <c r="AM67" s="236">
        <f>depths!$B$4</f>
        <v>3841.1</v>
      </c>
      <c r="AO67" s="116">
        <f t="shared" si="68"/>
        <v>339.74596143104048</v>
      </c>
      <c r="AP67" s="234">
        <v>1</v>
      </c>
      <c r="AQ67" s="116">
        <f t="shared" si="69"/>
        <v>20.094401739312662</v>
      </c>
      <c r="AR67" s="234">
        <v>1</v>
      </c>
      <c r="AS67" s="116">
        <f t="shared" si="70"/>
        <v>164.34680162327896</v>
      </c>
      <c r="AT67" s="234">
        <v>1</v>
      </c>
      <c r="AU67" s="116">
        <f t="shared" si="71"/>
        <v>175.39915980776149</v>
      </c>
      <c r="AV67" s="234">
        <v>1</v>
      </c>
      <c r="AW67" s="116">
        <f t="shared" si="72"/>
        <v>51.294846263092658</v>
      </c>
      <c r="AX67" s="234">
        <v>1</v>
      </c>
      <c r="AY67" s="116">
        <f t="shared" si="73"/>
        <v>8.1787357372153604</v>
      </c>
      <c r="AZ67" s="116">
        <f t="shared" si="74"/>
        <v>8.7287574959054783</v>
      </c>
      <c r="BA67" s="116">
        <f>main!R74</f>
        <v>39.31</v>
      </c>
      <c r="BB67" s="234">
        <v>1</v>
      </c>
      <c r="BC67" s="116">
        <f>main!S74</f>
        <v>8.5730000000000004</v>
      </c>
      <c r="BD67" s="234">
        <v>1</v>
      </c>
    </row>
    <row r="68" spans="1:56" s="367" customFormat="1">
      <c r="A68" s="367">
        <f>main!A75</f>
        <v>2019</v>
      </c>
      <c r="B68" s="367" t="str">
        <f>main!B75</f>
        <v>47_3800</v>
      </c>
      <c r="C68" s="367">
        <v>21</v>
      </c>
      <c r="D68" s="367" t="str">
        <f>main!$B$54</f>
        <v>McLane-PARFLUX-Mark78H-21 ; controller sn ML11649-01, frame sn 10705-01, funnel says 10583, motor sn 11640-01, cup set L250x21</v>
      </c>
      <c r="E68" s="367">
        <v>3800</v>
      </c>
      <c r="F68" s="367">
        <v>1</v>
      </c>
      <c r="G68" s="526">
        <f>main!E75</f>
        <v>424.35714285714289</v>
      </c>
      <c r="H68" s="527">
        <f>main!I75</f>
        <v>44.669172932330831</v>
      </c>
      <c r="I68" s="528">
        <f>main!J75</f>
        <v>16.315415413533838</v>
      </c>
      <c r="J68" s="528">
        <v>1</v>
      </c>
      <c r="K68" s="528">
        <f>main!AF75</f>
        <v>63.58933902390369</v>
      </c>
      <c r="L68" s="528">
        <f>main!AG75</f>
        <v>7.6304487568011723</v>
      </c>
      <c r="M68" s="528">
        <v>1</v>
      </c>
      <c r="N68" s="528">
        <f>main!M75</f>
        <v>16.612541198730469</v>
      </c>
      <c r="O68" s="528">
        <v>3</v>
      </c>
      <c r="P68" s="528">
        <f>main!O75</f>
        <v>1.3026413917541504</v>
      </c>
      <c r="Q68" s="528">
        <v>3</v>
      </c>
      <c r="R68" s="528">
        <f>main!AH75</f>
        <v>8.9820924419292965</v>
      </c>
      <c r="S68" s="528">
        <v>3</v>
      </c>
      <c r="T68" s="528">
        <f>main!AB75</f>
        <v>4.3070993226785186</v>
      </c>
      <c r="U68" s="528">
        <v>1</v>
      </c>
      <c r="V68" s="528">
        <f>main!AC75</f>
        <v>9.2137272445622003</v>
      </c>
      <c r="W68" s="528">
        <f t="shared" si="56"/>
        <v>10.37486482047027</v>
      </c>
      <c r="X68" s="528">
        <f t="shared" si="57"/>
        <v>1.2449394125889397</v>
      </c>
      <c r="Y68" s="528">
        <f t="shared" si="58"/>
        <v>2.7104051073173299</v>
      </c>
      <c r="Z68" s="528">
        <f t="shared" si="59"/>
        <v>0.21253135441332835</v>
      </c>
      <c r="AA68" s="528">
        <f t="shared" si="60"/>
        <v>1.4654656947283902</v>
      </c>
      <c r="AB68" s="528">
        <f t="shared" si="61"/>
        <v>1.5032578750202679</v>
      </c>
      <c r="AC68" s="529">
        <f>main!T75</f>
        <v>43930</v>
      </c>
      <c r="AD68" s="529">
        <f>main!U75</f>
        <v>43949</v>
      </c>
      <c r="AE68" s="529">
        <f>main!V75</f>
        <v>43939.5</v>
      </c>
      <c r="AF68" s="526">
        <f>main!H75</f>
        <v>19</v>
      </c>
      <c r="AG68" s="527">
        <f t="shared" si="62"/>
        <v>0.7027211467685025</v>
      </c>
      <c r="AH68" s="527">
        <f t="shared" si="63"/>
        <v>0.22567902642109325</v>
      </c>
      <c r="AI68" s="527">
        <f t="shared" si="64"/>
        <v>1.5169975332857128E-2</v>
      </c>
      <c r="AJ68" s="527">
        <f t="shared" si="65"/>
        <v>0.12202045751277188</v>
      </c>
      <c r="AK68" s="527">
        <f t="shared" si="66"/>
        <v>0.10365856890832137</v>
      </c>
      <c r="AL68" s="527">
        <f t="shared" si="67"/>
        <v>2.5016772757867657E-2</v>
      </c>
      <c r="AM68" s="528">
        <f>depths!$B$4</f>
        <v>3841.1</v>
      </c>
      <c r="AO68" s="528">
        <f t="shared" si="68"/>
        <v>225.67902642109325</v>
      </c>
      <c r="AP68" s="528">
        <v>3</v>
      </c>
      <c r="AQ68" s="528">
        <f t="shared" si="69"/>
        <v>15.169975332857128</v>
      </c>
      <c r="AR68" s="528">
        <v>3</v>
      </c>
      <c r="AS68" s="528">
        <f t="shared" si="70"/>
        <v>122.02045751277188</v>
      </c>
      <c r="AT68" s="528">
        <v>3</v>
      </c>
      <c r="AU68" s="528">
        <f t="shared" si="71"/>
        <v>103.65856890832137</v>
      </c>
      <c r="AV68" s="528">
        <v>1</v>
      </c>
      <c r="AW68" s="528">
        <f t="shared" si="72"/>
        <v>25.016772757867656</v>
      </c>
      <c r="AX68" s="528">
        <v>1</v>
      </c>
      <c r="AY68" s="528">
        <f t="shared" si="73"/>
        <v>8.0435501598004535</v>
      </c>
      <c r="AZ68" s="528">
        <f t="shared" si="74"/>
        <v>6.8331402414217512</v>
      </c>
      <c r="BA68" s="528">
        <f>main!R75</f>
        <v>39.729999999999997</v>
      </c>
      <c r="BB68" s="528">
        <v>1</v>
      </c>
      <c r="BC68" s="528">
        <f>main!S75</f>
        <v>8.57</v>
      </c>
      <c r="BD68" s="528">
        <v>1</v>
      </c>
    </row>
    <row r="69" spans="1:56">
      <c r="G69" s="112"/>
      <c r="H69" s="105"/>
      <c r="I69" s="116"/>
      <c r="J69" s="234"/>
      <c r="K69" s="116"/>
      <c r="L69" s="116"/>
      <c r="M69" s="234"/>
      <c r="N69" s="116"/>
      <c r="O69" s="234"/>
      <c r="P69" s="116"/>
      <c r="Q69" s="234"/>
      <c r="R69" s="116"/>
      <c r="S69" s="234"/>
      <c r="T69" s="116"/>
      <c r="U69" s="234"/>
      <c r="V69" s="116"/>
      <c r="W69" s="116"/>
      <c r="X69" s="116"/>
      <c r="Y69" s="116"/>
      <c r="Z69" s="116"/>
      <c r="AA69" s="116"/>
      <c r="AB69" s="116"/>
      <c r="AC69" s="67"/>
      <c r="AD69" s="67"/>
      <c r="AE69" s="67"/>
      <c r="AF69" s="112"/>
      <c r="AG69" s="105"/>
      <c r="AH69" s="105"/>
      <c r="AI69" s="105"/>
      <c r="AJ69" s="105"/>
      <c r="AK69" s="105"/>
      <c r="AL69" s="105"/>
      <c r="AM69" s="236"/>
      <c r="AO69" s="116"/>
      <c r="AP69" s="234"/>
      <c r="AQ69" s="116"/>
      <c r="AR69" s="234"/>
      <c r="AS69" s="116"/>
      <c r="AT69" s="234"/>
      <c r="AU69" s="116"/>
      <c r="AV69" s="234"/>
      <c r="AW69" s="116"/>
      <c r="AX69" s="234"/>
      <c r="AY69" s="116"/>
      <c r="AZ69" s="116"/>
      <c r="BA69" s="116"/>
      <c r="BB69" s="234"/>
      <c r="BC69" s="11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5A91F-D2C5-4010-B70F-BCC66923AACD}">
  <dimension ref="A1:AK75"/>
  <sheetViews>
    <sheetView tabSelected="1" topLeftCell="AD1" zoomScale="60" zoomScaleNormal="60" workbookViewId="0">
      <selection activeCell="AJ22" sqref="AJ22"/>
    </sheetView>
  </sheetViews>
  <sheetFormatPr defaultRowHeight="14.5"/>
  <cols>
    <col min="1" max="1" width="20.81640625" bestFit="1" customWidth="1"/>
    <col min="2" max="2" width="4.1796875" bestFit="1" customWidth="1"/>
    <col min="3" max="3" width="14.81640625" bestFit="1" customWidth="1"/>
    <col min="4" max="4" width="17" customWidth="1"/>
    <col min="5" max="5" width="20.1796875" customWidth="1"/>
    <col min="6" max="6" width="19.81640625" bestFit="1" customWidth="1"/>
    <col min="7" max="7" width="15.81640625" bestFit="1" customWidth="1"/>
    <col min="8" max="8" width="15" bestFit="1" customWidth="1"/>
    <col min="9" max="9" width="10.453125" bestFit="1" customWidth="1"/>
    <col min="10" max="10" width="13.81640625" customWidth="1"/>
    <col min="11" max="11" width="15.453125" customWidth="1"/>
    <col min="12" max="12" width="17.81640625" customWidth="1"/>
    <col min="13" max="13" width="16.1796875" bestFit="1" customWidth="1"/>
    <col min="14" max="14" width="24.1796875" bestFit="1" customWidth="1"/>
    <col min="15" max="15" width="21.453125" bestFit="1" customWidth="1"/>
    <col min="16" max="16" width="13.1796875" bestFit="1" customWidth="1"/>
    <col min="17" max="17" width="80.81640625" bestFit="1" customWidth="1"/>
    <col min="18" max="18" width="22.81640625" bestFit="1" customWidth="1"/>
    <col min="19" max="19" width="14.54296875" bestFit="1" customWidth="1"/>
    <col min="20" max="20" width="42" customWidth="1"/>
    <col min="21" max="21" width="21.54296875" bestFit="1" customWidth="1"/>
    <col min="22" max="22" width="13.1796875" bestFit="1" customWidth="1"/>
    <col min="23" max="23" width="31" bestFit="1" customWidth="1"/>
    <col min="24" max="24" width="24.81640625" bestFit="1" customWidth="1"/>
    <col min="25" max="25" width="16.1796875" bestFit="1" customWidth="1"/>
    <col min="26" max="26" width="34.453125" bestFit="1" customWidth="1"/>
    <col min="27" max="27" width="25" bestFit="1" customWidth="1"/>
    <col min="28" max="28" width="16.54296875" bestFit="1" customWidth="1"/>
    <col min="29" max="29" width="53.81640625" bestFit="1" customWidth="1"/>
    <col min="30" max="30" width="26.1796875" bestFit="1" customWidth="1"/>
    <col min="31" max="31" width="17.81640625" bestFit="1" customWidth="1"/>
    <col min="32" max="32" width="64.1796875" bestFit="1" customWidth="1"/>
    <col min="33" max="33" width="25.1796875" bestFit="1" customWidth="1"/>
    <col min="34" max="34" width="16.81640625" bestFit="1" customWidth="1"/>
    <col min="35" max="35" width="46.1796875" bestFit="1" customWidth="1"/>
    <col min="36" max="36" width="25.81640625" bestFit="1" customWidth="1"/>
    <col min="37" max="37" width="16.81640625" bestFit="1" customWidth="1"/>
  </cols>
  <sheetData>
    <row r="1" spans="1:37" s="76" customFormat="1">
      <c r="A1" s="76" t="s">
        <v>1492</v>
      </c>
      <c r="B1" s="76" t="s">
        <v>1493</v>
      </c>
      <c r="C1" s="76" t="s">
        <v>1494</v>
      </c>
      <c r="D1" s="269" t="s">
        <v>1495</v>
      </c>
      <c r="E1" s="76" t="s">
        <v>30</v>
      </c>
      <c r="F1" s="270" t="s">
        <v>1496</v>
      </c>
      <c r="G1" s="270" t="s">
        <v>1497</v>
      </c>
      <c r="H1" s="271" t="s">
        <v>1498</v>
      </c>
      <c r="I1" s="271" t="s">
        <v>1499</v>
      </c>
      <c r="J1" s="272" t="s">
        <v>1500</v>
      </c>
      <c r="K1" s="270" t="s">
        <v>1501</v>
      </c>
      <c r="L1" s="270" t="s">
        <v>1502</v>
      </c>
      <c r="M1" s="273" t="s">
        <v>1503</v>
      </c>
      <c r="N1" s="274" t="s">
        <v>1504</v>
      </c>
      <c r="O1" s="274" t="s">
        <v>1505</v>
      </c>
      <c r="P1" s="275" t="s">
        <v>1506</v>
      </c>
      <c r="Q1" s="276" t="s">
        <v>1507</v>
      </c>
      <c r="R1" s="276" t="s">
        <v>1508</v>
      </c>
      <c r="S1" s="276" t="s">
        <v>1509</v>
      </c>
      <c r="T1" s="276" t="s">
        <v>1510</v>
      </c>
      <c r="U1" s="276" t="s">
        <v>1511</v>
      </c>
      <c r="V1" s="275" t="s">
        <v>1512</v>
      </c>
      <c r="W1" s="277" t="s">
        <v>1513</v>
      </c>
      <c r="X1" s="277" t="s">
        <v>1514</v>
      </c>
      <c r="Y1" s="269" t="s">
        <v>1515</v>
      </c>
      <c r="Z1" s="277" t="s">
        <v>1516</v>
      </c>
      <c r="AA1" s="277" t="s">
        <v>1517</v>
      </c>
      <c r="AB1" s="277" t="s">
        <v>1518</v>
      </c>
      <c r="AC1" s="277" t="s">
        <v>1519</v>
      </c>
      <c r="AD1" s="277" t="s">
        <v>1520</v>
      </c>
      <c r="AE1" s="269" t="s">
        <v>1521</v>
      </c>
      <c r="AF1" s="277" t="s">
        <v>1522</v>
      </c>
      <c r="AG1" s="277" t="s">
        <v>1523</v>
      </c>
      <c r="AH1" s="76" t="s">
        <v>1524</v>
      </c>
      <c r="AI1" s="3" t="s">
        <v>1525</v>
      </c>
      <c r="AJ1" s="3" t="s">
        <v>1526</v>
      </c>
      <c r="AK1" s="76" t="s">
        <v>1527</v>
      </c>
    </row>
    <row r="2" spans="1:37" s="109" customFormat="1" ht="15.5">
      <c r="D2" s="121"/>
      <c r="F2" s="237" t="s">
        <v>1528</v>
      </c>
      <c r="G2" s="237"/>
      <c r="H2" s="240"/>
      <c r="I2" s="240"/>
      <c r="J2" s="237"/>
      <c r="K2" s="237"/>
      <c r="L2" s="237"/>
      <c r="M2" s="121"/>
      <c r="N2" s="241"/>
      <c r="O2" s="241"/>
      <c r="P2" s="238"/>
      <c r="Q2" s="239"/>
      <c r="R2" s="239"/>
      <c r="S2" s="239"/>
      <c r="T2" s="239"/>
      <c r="U2" s="239"/>
      <c r="V2" s="238"/>
      <c r="W2" s="242"/>
      <c r="X2" s="242"/>
      <c r="Y2" s="121"/>
      <c r="AC2" s="243"/>
      <c r="AD2" s="243"/>
      <c r="AE2" s="121"/>
      <c r="AF2" s="244"/>
      <c r="AG2" s="244"/>
      <c r="AI2" s="245"/>
      <c r="AJ2" s="245"/>
    </row>
    <row r="3" spans="1:37" s="109" customFormat="1" ht="15.5">
      <c r="A3" s="109" t="s">
        <v>32</v>
      </c>
      <c r="D3" s="246" t="s">
        <v>1529</v>
      </c>
      <c r="F3" s="173" t="s">
        <v>1530</v>
      </c>
      <c r="G3" s="173"/>
      <c r="H3" s="240" t="s">
        <v>1531</v>
      </c>
      <c r="I3" s="240"/>
      <c r="J3" s="237"/>
      <c r="K3" s="237"/>
      <c r="L3" s="237"/>
      <c r="M3" s="121" t="s">
        <v>1532</v>
      </c>
      <c r="N3" s="241" t="s">
        <v>1533</v>
      </c>
      <c r="O3" s="241"/>
      <c r="P3" s="247"/>
      <c r="Q3" s="239" t="s">
        <v>1534</v>
      </c>
      <c r="R3" s="239"/>
      <c r="S3" s="242"/>
      <c r="T3" s="248" t="s">
        <v>1535</v>
      </c>
      <c r="U3" s="248"/>
      <c r="V3" s="247"/>
      <c r="W3" s="242" t="s">
        <v>1536</v>
      </c>
      <c r="X3" s="242"/>
      <c r="Y3" s="249"/>
      <c r="Z3" s="250" t="s">
        <v>1537</v>
      </c>
      <c r="AA3" s="250"/>
      <c r="AB3" s="242"/>
      <c r="AC3" s="242" t="s">
        <v>1538</v>
      </c>
      <c r="AD3" s="242"/>
      <c r="AE3" s="249"/>
      <c r="AF3" s="242" t="s">
        <v>1539</v>
      </c>
      <c r="AG3" s="242"/>
      <c r="AH3" s="242"/>
      <c r="AI3" s="242" t="s">
        <v>1540</v>
      </c>
      <c r="AJ3" s="242"/>
      <c r="AK3" s="242"/>
    </row>
    <row r="4" spans="1:37" s="109" customFormat="1">
      <c r="A4" s="173" t="s">
        <v>1564</v>
      </c>
      <c r="C4" s="109" t="s">
        <v>1488</v>
      </c>
      <c r="D4" s="144" t="s">
        <v>1485</v>
      </c>
      <c r="F4" s="173" t="s">
        <v>1541</v>
      </c>
      <c r="G4" s="173"/>
      <c r="H4" s="240">
        <v>1</v>
      </c>
      <c r="I4" s="240"/>
      <c r="J4" s="237" t="s">
        <v>1542</v>
      </c>
      <c r="K4" s="237" t="s">
        <v>1542</v>
      </c>
      <c r="L4" s="237" t="s">
        <v>1542</v>
      </c>
      <c r="M4" s="121" t="s">
        <v>1543</v>
      </c>
      <c r="N4" s="241" t="s">
        <v>1544</v>
      </c>
      <c r="O4" s="241" t="s">
        <v>1544</v>
      </c>
      <c r="P4" s="247"/>
      <c r="Q4" s="251" t="s">
        <v>1545</v>
      </c>
      <c r="R4" s="251" t="s">
        <v>1545</v>
      </c>
      <c r="S4" s="242"/>
      <c r="T4" s="251" t="s">
        <v>1546</v>
      </c>
      <c r="U4" s="251" t="s">
        <v>1545</v>
      </c>
      <c r="V4" s="247"/>
      <c r="W4" s="241" t="s">
        <v>1544</v>
      </c>
      <c r="X4" s="241" t="s">
        <v>1544</v>
      </c>
      <c r="Y4" s="249"/>
      <c r="Z4" s="241" t="s">
        <v>1544</v>
      </c>
      <c r="AA4" s="241" t="s">
        <v>1544</v>
      </c>
      <c r="AB4" s="242"/>
      <c r="AC4" s="241" t="s">
        <v>1544</v>
      </c>
      <c r="AD4" s="241" t="s">
        <v>1544</v>
      </c>
      <c r="AE4" s="249"/>
      <c r="AF4" s="241" t="s">
        <v>1544</v>
      </c>
      <c r="AG4" s="241" t="s">
        <v>1544</v>
      </c>
      <c r="AH4" s="242"/>
      <c r="AI4" s="241" t="s">
        <v>1544</v>
      </c>
      <c r="AJ4" s="241" t="s">
        <v>1544</v>
      </c>
      <c r="AK4" s="242"/>
    </row>
    <row r="5" spans="1:37" s="248" customFormat="1" ht="15.5">
      <c r="F5" s="252" t="s">
        <v>1547</v>
      </c>
      <c r="G5" s="252"/>
      <c r="I5" s="253"/>
      <c r="J5" s="254"/>
      <c r="K5" s="254"/>
      <c r="L5" s="254"/>
      <c r="N5" s="255">
        <v>5.9999999999999995E-4</v>
      </c>
      <c r="O5" s="255"/>
      <c r="P5" s="242"/>
      <c r="Q5" s="256">
        <v>2.1999999999999999E-2</v>
      </c>
      <c r="R5" s="256"/>
      <c r="S5" s="257"/>
      <c r="T5" s="256">
        <v>2.9000000000000001E-2</v>
      </c>
      <c r="U5" s="256"/>
      <c r="V5" s="242"/>
      <c r="W5" s="258">
        <v>2.1000000000000001E-2</v>
      </c>
      <c r="X5" s="258"/>
      <c r="Y5" s="258"/>
      <c r="Z5" s="258">
        <v>3.7999999999999999E-2</v>
      </c>
      <c r="AA5" s="258"/>
      <c r="AB5" s="258"/>
      <c r="AC5" s="258">
        <v>2.8000000000000001E-2</v>
      </c>
      <c r="AD5" s="258"/>
      <c r="AE5" s="242"/>
      <c r="AF5" s="258">
        <v>1.9E-2</v>
      </c>
      <c r="AG5" s="258"/>
      <c r="AH5" s="249"/>
      <c r="AI5" s="258">
        <v>4.9000000000000002E-2</v>
      </c>
      <c r="AJ5" s="258"/>
    </row>
    <row r="6" spans="1:37" s="109" customFormat="1" ht="15.5">
      <c r="D6" s="248">
        <v>3</v>
      </c>
      <c r="F6" s="109" t="s">
        <v>1548</v>
      </c>
    </row>
    <row r="7" spans="1:37" s="109" customFormat="1">
      <c r="C7" s="109" t="s">
        <v>1473</v>
      </c>
      <c r="D7" t="s">
        <v>1483</v>
      </c>
      <c r="F7" s="173" t="s">
        <v>1549</v>
      </c>
      <c r="G7" s="173"/>
      <c r="I7" s="240"/>
      <c r="J7" s="237"/>
      <c r="K7" s="237"/>
      <c r="L7" s="237"/>
      <c r="M7" s="121"/>
      <c r="N7" s="241" t="s">
        <v>192</v>
      </c>
      <c r="O7" s="241"/>
      <c r="P7" s="247"/>
      <c r="Q7" s="242" t="s">
        <v>1550</v>
      </c>
      <c r="R7" s="242"/>
      <c r="S7" s="242"/>
      <c r="T7" s="242" t="s">
        <v>1550</v>
      </c>
      <c r="U7" s="242"/>
      <c r="V7" s="247"/>
      <c r="W7" s="242" t="s">
        <v>192</v>
      </c>
      <c r="X7" s="242"/>
      <c r="Y7" s="249"/>
      <c r="Z7" s="242" t="s">
        <v>192</v>
      </c>
      <c r="AA7" s="242"/>
      <c r="AB7" s="242"/>
      <c r="AC7" s="242" t="s">
        <v>192</v>
      </c>
      <c r="AD7" s="242"/>
      <c r="AE7" s="249"/>
      <c r="AF7" s="242" t="s">
        <v>192</v>
      </c>
      <c r="AG7" s="242"/>
      <c r="AH7" s="242"/>
      <c r="AI7" s="242" t="s">
        <v>192</v>
      </c>
      <c r="AJ7" s="242"/>
      <c r="AK7" s="242"/>
    </row>
    <row r="8" spans="1:37" s="109" customFormat="1">
      <c r="D8" t="s">
        <v>1551</v>
      </c>
      <c r="F8" s="173" t="s">
        <v>1552</v>
      </c>
      <c r="G8" s="173"/>
      <c r="H8" s="240"/>
      <c r="I8" s="240"/>
      <c r="J8" s="237"/>
      <c r="K8" s="237"/>
      <c r="L8" s="237"/>
      <c r="M8" s="121"/>
      <c r="N8" s="241" t="s">
        <v>1553</v>
      </c>
      <c r="O8" s="241"/>
      <c r="P8" s="247"/>
      <c r="Q8" s="259" t="s">
        <v>1554</v>
      </c>
      <c r="R8" s="242"/>
      <c r="S8" s="242"/>
      <c r="T8" s="259" t="s">
        <v>1555</v>
      </c>
      <c r="U8" s="259"/>
      <c r="V8" s="247"/>
      <c r="W8" s="242" t="s">
        <v>1556</v>
      </c>
      <c r="X8" s="242"/>
      <c r="Y8" s="249"/>
      <c r="Z8" s="242" t="s">
        <v>1557</v>
      </c>
      <c r="AA8" s="242"/>
      <c r="AB8" s="242"/>
      <c r="AC8" s="242" t="s">
        <v>1558</v>
      </c>
      <c r="AD8" s="242"/>
      <c r="AE8" s="249"/>
      <c r="AF8" s="242" t="s">
        <v>1559</v>
      </c>
      <c r="AG8" s="242"/>
      <c r="AH8" s="242"/>
      <c r="AI8" s="242" t="s">
        <v>1560</v>
      </c>
      <c r="AJ8" s="242"/>
      <c r="AK8" s="242"/>
    </row>
    <row r="9" spans="1:37" s="109" customFormat="1">
      <c r="F9" s="109" t="s">
        <v>1561</v>
      </c>
      <c r="G9" s="109">
        <v>1000</v>
      </c>
      <c r="H9" s="109" t="s">
        <v>1958</v>
      </c>
      <c r="I9" s="261"/>
      <c r="J9" s="237"/>
      <c r="K9" s="237"/>
      <c r="L9" s="237"/>
      <c r="M9" s="121"/>
      <c r="N9" s="241"/>
      <c r="O9" s="241"/>
      <c r="P9" s="247"/>
      <c r="Q9" s="242"/>
      <c r="R9" s="242"/>
      <c r="S9" s="242"/>
      <c r="T9" s="242"/>
      <c r="U9" s="242"/>
      <c r="V9" s="247"/>
      <c r="W9" s="242"/>
      <c r="X9" s="242"/>
      <c r="Y9" s="249"/>
      <c r="Z9" s="242"/>
      <c r="AA9" s="242"/>
      <c r="AB9" s="242"/>
      <c r="AC9" s="242"/>
      <c r="AD9" s="242"/>
      <c r="AE9" s="249"/>
      <c r="AF9" s="242"/>
      <c r="AG9" s="242"/>
      <c r="AH9" s="242"/>
      <c r="AI9" s="242"/>
      <c r="AJ9" s="242"/>
      <c r="AK9" s="242"/>
    </row>
    <row r="10" spans="1:37" s="109" customFormat="1" ht="15.5">
      <c r="F10" s="109" t="s">
        <v>1561</v>
      </c>
      <c r="G10" s="109">
        <v>2000</v>
      </c>
      <c r="H10" s="260" t="s">
        <v>1944</v>
      </c>
      <c r="I10" s="261"/>
      <c r="J10" s="237"/>
      <c r="K10" s="237"/>
      <c r="L10" s="237"/>
      <c r="M10" s="121"/>
      <c r="N10" s="241"/>
      <c r="O10" s="241"/>
      <c r="P10" s="247"/>
      <c r="Q10" s="242"/>
      <c r="R10" s="242"/>
      <c r="S10" s="242"/>
      <c r="T10" s="242"/>
      <c r="U10" s="242"/>
      <c r="V10" s="247"/>
      <c r="W10" s="242"/>
      <c r="X10" s="242"/>
      <c r="Y10" s="249"/>
      <c r="Z10" s="242"/>
      <c r="AA10" s="242"/>
      <c r="AB10" s="242"/>
      <c r="AC10" s="242"/>
      <c r="AD10" s="242"/>
      <c r="AE10" s="249"/>
      <c r="AF10" s="242"/>
      <c r="AG10" s="242"/>
      <c r="AH10" s="242"/>
      <c r="AI10" s="242"/>
      <c r="AJ10" s="242"/>
      <c r="AK10" s="242"/>
    </row>
    <row r="11" spans="1:37" s="109" customFormat="1" ht="15.5">
      <c r="D11" s="246">
        <v>-2</v>
      </c>
      <c r="F11" s="262" t="s">
        <v>1562</v>
      </c>
      <c r="G11" s="262"/>
      <c r="H11" s="261"/>
      <c r="I11" s="261"/>
      <c r="J11" s="237"/>
      <c r="K11" s="237"/>
      <c r="L11" s="237"/>
      <c r="M11" s="121"/>
      <c r="N11" s="263">
        <v>-10</v>
      </c>
      <c r="O11" s="241"/>
      <c r="P11" s="247"/>
      <c r="Q11" s="264">
        <v>20</v>
      </c>
      <c r="R11" s="242"/>
      <c r="S11" s="242"/>
      <c r="T11" s="264">
        <v>2</v>
      </c>
      <c r="U11" s="242"/>
      <c r="V11" s="247"/>
      <c r="W11" s="234">
        <v>-1</v>
      </c>
      <c r="X11" s="242"/>
      <c r="Y11" s="249"/>
      <c r="Z11" s="234">
        <v>-1</v>
      </c>
      <c r="AA11" s="242"/>
      <c r="AB11" s="242"/>
      <c r="AC11" s="234">
        <v>-1</v>
      </c>
      <c r="AD11" s="242"/>
      <c r="AE11" s="249"/>
      <c r="AF11" s="234">
        <v>-1</v>
      </c>
      <c r="AG11" s="242"/>
      <c r="AH11" s="242"/>
      <c r="AI11" s="234">
        <v>-1</v>
      </c>
      <c r="AJ11" s="242"/>
      <c r="AK11" s="242"/>
    </row>
    <row r="12" spans="1:37" ht="15.5">
      <c r="D12" s="246">
        <v>12000</v>
      </c>
      <c r="E12" s="109"/>
      <c r="F12" s="262" t="s">
        <v>1563</v>
      </c>
      <c r="G12" s="262"/>
      <c r="H12" s="261"/>
      <c r="I12" s="261"/>
      <c r="J12" s="237"/>
      <c r="K12" s="237"/>
      <c r="L12" s="237"/>
      <c r="M12" s="121"/>
      <c r="N12" s="263">
        <v>1000</v>
      </c>
      <c r="O12" s="241"/>
      <c r="P12" s="247"/>
      <c r="Q12" s="264">
        <v>60</v>
      </c>
      <c r="R12" s="242"/>
      <c r="S12" s="242"/>
      <c r="T12" s="264">
        <v>12</v>
      </c>
      <c r="U12" s="242"/>
      <c r="V12" s="247"/>
      <c r="W12" s="234">
        <v>100</v>
      </c>
      <c r="X12" s="242"/>
      <c r="Y12" s="249"/>
      <c r="Z12" s="234">
        <v>100</v>
      </c>
      <c r="AA12" s="242"/>
      <c r="AB12" s="242"/>
      <c r="AC12" s="234">
        <v>100</v>
      </c>
      <c r="AD12" s="242"/>
      <c r="AE12" s="249"/>
      <c r="AF12" s="234">
        <v>100</v>
      </c>
      <c r="AG12" s="242"/>
      <c r="AH12" s="242"/>
      <c r="AI12" s="234">
        <v>100</v>
      </c>
      <c r="AJ12" s="242"/>
      <c r="AK12" s="242"/>
    </row>
    <row r="13" spans="1:37" ht="15.5">
      <c r="A13">
        <f>report_47_flagged!A6</f>
        <v>2019</v>
      </c>
      <c r="B13" t="str">
        <f>LEFT(report_47_flagged!B6,2)</f>
        <v>47</v>
      </c>
      <c r="C13">
        <f>report_47_flagged!E6</f>
        <v>1000</v>
      </c>
      <c r="D13" s="112">
        <f>report_47_flagged!AM6</f>
        <v>858.95</v>
      </c>
      <c r="E13" t="str">
        <f>report_47_flagged!D6</f>
        <v>McLane-PARFLUX-Mark78H-21 ; controller sn ML11640-01, frame sn 2241, motor sn 11649-01, cup set D250x21</v>
      </c>
      <c r="H13">
        <f>report_47_flagged!C6</f>
        <v>1</v>
      </c>
      <c r="I13">
        <f>report_47_flagged!F6</f>
        <v>1</v>
      </c>
      <c r="J13" s="67">
        <f>report_47_flagged!AC6</f>
        <v>43550</v>
      </c>
      <c r="K13" s="67">
        <f>report_47_flagged!AD6</f>
        <v>43569</v>
      </c>
      <c r="L13" s="67">
        <f>report_47_flagged!AE6</f>
        <v>43559.5</v>
      </c>
      <c r="M13" s="67">
        <f>report_47_flagged!AF6</f>
        <v>19</v>
      </c>
      <c r="N13" s="105">
        <f>report_47_flagged!H6</f>
        <v>92.332330827067665</v>
      </c>
      <c r="O13" s="105">
        <f>N13*$N$5</f>
        <v>5.5399398496240593E-2</v>
      </c>
      <c r="P13" s="105">
        <f>report_47_flagged!J6</f>
        <v>1</v>
      </c>
      <c r="Q13" s="265">
        <f>report_47_flagged!BA6</f>
        <v>39.15</v>
      </c>
      <c r="R13" s="265">
        <f>Q13*$Q$5</f>
        <v>0.86129999999999995</v>
      </c>
      <c r="S13" s="266">
        <f>report_47_flagged!BB6</f>
        <v>1</v>
      </c>
      <c r="T13" s="265">
        <f>report_47_flagged!BC6</f>
        <v>8.2010000000000005</v>
      </c>
      <c r="U13" s="265">
        <f>T13*$T$5</f>
        <v>0.23782900000000004</v>
      </c>
      <c r="V13" s="266">
        <f>report_47_flagged!BD6</f>
        <v>1</v>
      </c>
      <c r="W13" s="116">
        <f>(report_47_flagged!N6/100)*report_47_flagged!H6</f>
        <v>15.229278317702443</v>
      </c>
      <c r="X13" s="116">
        <f>W13*SQRT(($W$5)^2+($N$5)^2)</f>
        <v>0.31994535471377683</v>
      </c>
      <c r="Y13" s="112">
        <f>report_47_flagged!AP6</f>
        <v>1</v>
      </c>
      <c r="Z13" s="116">
        <f>(report_47_flagged!P6/100)*report_47_flagged!H6</f>
        <v>1.4822552179662805</v>
      </c>
      <c r="AA13" s="116">
        <f>Z13*SQRT(($Z$5)^2+($N$5)^2)</f>
        <v>5.633271905409043E-2</v>
      </c>
      <c r="AB13" s="112">
        <f>report_47_flagged!AR6</f>
        <v>1</v>
      </c>
      <c r="AC13" s="116">
        <f>(report_47_flagged!R6/100)*report_47_flagged!H6</f>
        <v>8.6780050852751813</v>
      </c>
      <c r="AD13" s="116">
        <f>AC13*SQRT(($AC$5)^2+($N$5)^2)</f>
        <v>0.24303992316058318</v>
      </c>
      <c r="AE13" s="112">
        <f>report_47_flagged!AT6</f>
        <v>1</v>
      </c>
      <c r="AF13" s="116">
        <f>(report_47_flagged!L6/100)*report_47_flagged!H6</f>
        <v>6.5512732324272624</v>
      </c>
      <c r="AG13" s="116">
        <f>AF13*SQRT(($AF$5)^2+($N$5)^2)</f>
        <v>0.12453624064441687</v>
      </c>
      <c r="AH13" s="112">
        <f>report_47_flagged!AV6</f>
        <v>1</v>
      </c>
      <c r="AI13" s="116">
        <f>(report_47_flagged!T6/100)*report_47_flagged!H6</f>
        <v>5.2305452934001577</v>
      </c>
      <c r="AJ13" s="116">
        <f>AI13*SQRT(($AI$5)^2+($N$5)^2)</f>
        <v>0.2563159329044441</v>
      </c>
      <c r="AK13" s="112">
        <f>report_47_flagged!AX6</f>
        <v>1</v>
      </c>
    </row>
    <row r="14" spans="1:37" ht="15.5">
      <c r="A14">
        <f>report_47_flagged!A7</f>
        <v>2019</v>
      </c>
      <c r="B14" t="str">
        <f>LEFT(report_47_flagged!B7,2)</f>
        <v>47</v>
      </c>
      <c r="C14">
        <f>report_47_flagged!E7</f>
        <v>1000</v>
      </c>
      <c r="D14" s="112">
        <f>report_47_flagged!AM7</f>
        <v>858.95</v>
      </c>
      <c r="E14" t="str">
        <f>report_47_flagged!D7</f>
        <v>McLane-PARFLUX-Mark78H-21 ; controller sn ML11640-01, frame sn 2241, motor sn 11649-01, cup set D250x21</v>
      </c>
      <c r="H14">
        <f>report_47_flagged!C7</f>
        <v>2</v>
      </c>
      <c r="I14">
        <f>report_47_flagged!F7</f>
        <v>1</v>
      </c>
      <c r="J14" s="67">
        <f>report_47_flagged!AC7</f>
        <v>43569</v>
      </c>
      <c r="K14" s="67">
        <f>report_47_flagged!AD7</f>
        <v>43588</v>
      </c>
      <c r="L14" s="67">
        <f>report_47_flagged!AE7</f>
        <v>43578.5</v>
      </c>
      <c r="M14" s="67">
        <f>report_47_flagged!AF7</f>
        <v>19</v>
      </c>
      <c r="N14" s="105">
        <f>report_47_flagged!H7</f>
        <v>56.593984962406026</v>
      </c>
      <c r="O14" s="105">
        <f t="shared" ref="O14:O33" si="0">N14*$N$5</f>
        <v>3.3956390977443615E-2</v>
      </c>
      <c r="P14" s="105">
        <f>report_47_flagged!J7</f>
        <v>1</v>
      </c>
      <c r="Q14" s="265">
        <f>report_47_flagged!BA7</f>
        <v>39.03</v>
      </c>
      <c r="R14" s="265">
        <f t="shared" ref="R14:R33" si="1">Q14*$Q$5</f>
        <v>0.85865999999999998</v>
      </c>
      <c r="S14" s="266">
        <f>report_47_flagged!BB7</f>
        <v>1</v>
      </c>
      <c r="T14" s="265">
        <f>report_47_flagged!BC7</f>
        <v>8.3559999999999999</v>
      </c>
      <c r="U14" s="265">
        <f t="shared" ref="U14:U33" si="2">T14*$T$5</f>
        <v>0.24232400000000001</v>
      </c>
      <c r="V14" s="266">
        <f>report_47_flagged!BD7</f>
        <v>1</v>
      </c>
      <c r="W14" s="116">
        <f>(report_47_flagged!N7/100)*report_47_flagged!H7</f>
        <v>8.741588741352686</v>
      </c>
      <c r="X14" s="116">
        <f t="shared" ref="X14:X33" si="3">W14*SQRT(($W$5)^2+($N$5)^2)</f>
        <v>0.18364827618673304</v>
      </c>
      <c r="Y14" s="112">
        <f>report_47_flagged!AP7</f>
        <v>1</v>
      </c>
      <c r="Z14" s="116">
        <f>(report_47_flagged!P7/100)*report_47_flagged!H7</f>
        <v>0.78383829036153363</v>
      </c>
      <c r="AA14" s="116">
        <f t="shared" ref="AA14:AA33" si="4">Z14*SQRT(($Z$5)^2+($N$5)^2)</f>
        <v>2.9789567720570051E-2</v>
      </c>
      <c r="AB14" s="112">
        <f>report_47_flagged!AR7</f>
        <v>1</v>
      </c>
      <c r="AC14" s="116">
        <f>(report_47_flagged!R7/100)*report_47_flagged!H7</f>
        <v>4.8310713585541221</v>
      </c>
      <c r="AD14" s="116">
        <f t="shared" ref="AD14:AD33" si="5">AC14*SQRT(($AC$5)^2+($N$5)^2)</f>
        <v>0.13530105136243484</v>
      </c>
      <c r="AE14" s="112">
        <f>report_47_flagged!AT7</f>
        <v>1</v>
      </c>
      <c r="AF14" s="116">
        <f>(report_47_flagged!L7/100)*report_47_flagged!H7</f>
        <v>3.910517382798564</v>
      </c>
      <c r="AG14" s="116">
        <f t="shared" ref="AG14:AG33" si="6">AF14*SQRT(($AF$5)^2+($N$5)^2)</f>
        <v>7.4336868048463636E-2</v>
      </c>
      <c r="AH14" s="112">
        <f>report_47_flagged!AV7</f>
        <v>1</v>
      </c>
      <c r="AI14" s="116">
        <f>(report_47_flagged!T7/100)*report_47_flagged!H7</f>
        <v>3.8318677418617177</v>
      </c>
      <c r="AJ14" s="116">
        <f t="shared" ref="AJ14:AJ33" si="7">AI14*SQRT(($AI$5)^2+($N$5)^2)</f>
        <v>0.18777559507247191</v>
      </c>
      <c r="AK14" s="112">
        <f>report_47_flagged!AX7</f>
        <v>3</v>
      </c>
    </row>
    <row r="15" spans="1:37" ht="15.5">
      <c r="A15">
        <f>report_47_flagged!A8</f>
        <v>2019</v>
      </c>
      <c r="B15" t="str">
        <f>LEFT(report_47_flagged!B8,2)</f>
        <v>47</v>
      </c>
      <c r="C15">
        <f>report_47_flagged!E8</f>
        <v>1000</v>
      </c>
      <c r="D15" s="112">
        <f>report_47_flagged!AM8</f>
        <v>858.95</v>
      </c>
      <c r="E15" t="str">
        <f>report_47_flagged!D8</f>
        <v>McLane-PARFLUX-Mark78H-21 ; controller sn ML11640-01, frame sn 2241, motor sn 11649-01, cup set D250x21</v>
      </c>
      <c r="H15">
        <f>report_47_flagged!C8</f>
        <v>3</v>
      </c>
      <c r="I15">
        <f>report_47_flagged!F8</f>
        <v>1</v>
      </c>
      <c r="J15" s="67">
        <f>report_47_flagged!AC8</f>
        <v>43588</v>
      </c>
      <c r="K15" s="67">
        <f>report_47_flagged!AD8</f>
        <v>43607</v>
      </c>
      <c r="L15" s="67">
        <f>report_47_flagged!AE8</f>
        <v>43597.5</v>
      </c>
      <c r="M15" s="67">
        <f>report_47_flagged!AF8</f>
        <v>19</v>
      </c>
      <c r="N15" s="105">
        <f>report_47_flagged!H8</f>
        <v>24.493233082706762</v>
      </c>
      <c r="O15" s="105">
        <f t="shared" si="0"/>
        <v>1.4695939849624057E-2</v>
      </c>
      <c r="P15" s="105">
        <f>report_47_flagged!J8</f>
        <v>1</v>
      </c>
      <c r="Q15" s="265">
        <f>report_47_flagged!BA8</f>
        <v>37.659999999999997</v>
      </c>
      <c r="R15" s="265">
        <f t="shared" si="1"/>
        <v>0.82851999999999992</v>
      </c>
      <c r="S15" s="266">
        <f>report_47_flagged!BB8</f>
        <v>1</v>
      </c>
      <c r="T15" s="265">
        <f>report_47_flagged!BC8</f>
        <v>8.3520000000000003</v>
      </c>
      <c r="U15" s="265">
        <f t="shared" si="2"/>
        <v>0.24220800000000003</v>
      </c>
      <c r="V15" s="266">
        <f>report_47_flagged!BD8</f>
        <v>1</v>
      </c>
      <c r="W15" s="116">
        <f>(report_47_flagged!N8/100)*report_47_flagged!H8</f>
        <v>3.6644913398914762</v>
      </c>
      <c r="X15" s="116">
        <f t="shared" si="3"/>
        <v>7.6985721655917633E-2</v>
      </c>
      <c r="Y15" s="112">
        <f>report_47_flagged!AP8</f>
        <v>1</v>
      </c>
      <c r="Z15" s="116">
        <f>(report_47_flagged!P8/100)*report_47_flagged!H8</f>
        <v>0.2694692502702985</v>
      </c>
      <c r="AA15" s="116">
        <f t="shared" si="4"/>
        <v>1.0241107864015921E-2</v>
      </c>
      <c r="AB15" s="112">
        <f>report_47_flagged!AR8</f>
        <v>1</v>
      </c>
      <c r="AC15" s="116">
        <f>(report_47_flagged!R8/100)*report_47_flagged!H8</f>
        <v>1.5549333686914295</v>
      </c>
      <c r="AD15" s="116">
        <f t="shared" si="5"/>
        <v>4.3548129176350689E-2</v>
      </c>
      <c r="AE15" s="112">
        <f>report_47_flagged!AT8</f>
        <v>1</v>
      </c>
      <c r="AF15" s="116">
        <f>(report_47_flagged!L8/100)*report_47_flagged!H8</f>
        <v>2.1095579712000467</v>
      </c>
      <c r="AG15" s="116">
        <f t="shared" si="6"/>
        <v>4.0101581758845345E-2</v>
      </c>
      <c r="AH15" s="112">
        <f>report_47_flagged!AV8</f>
        <v>1</v>
      </c>
      <c r="AI15" s="116">
        <f>(report_47_flagged!T8/100)*report_47_flagged!H8</f>
        <v>0.60213537898496794</v>
      </c>
      <c r="AJ15" s="116">
        <f t="shared" si="7"/>
        <v>2.9506845413238957E-2</v>
      </c>
      <c r="AK15" s="112">
        <f>report_47_flagged!AX8</f>
        <v>1</v>
      </c>
    </row>
    <row r="16" spans="1:37" ht="15.5">
      <c r="A16">
        <f>report_47_flagged!A9</f>
        <v>2019</v>
      </c>
      <c r="B16" t="str">
        <f>LEFT(report_47_flagged!B9,2)</f>
        <v>47</v>
      </c>
      <c r="C16">
        <f>report_47_flagged!E9</f>
        <v>1000</v>
      </c>
      <c r="D16" s="112">
        <f>report_47_flagged!AM9</f>
        <v>858.95</v>
      </c>
      <c r="E16" t="str">
        <f>report_47_flagged!D9</f>
        <v>McLane-PARFLUX-Mark78H-21 ; controller sn ML11640-01, frame sn 2241, motor sn 11649-01, cup set D250x21</v>
      </c>
      <c r="H16">
        <f>report_47_flagged!C9</f>
        <v>4</v>
      </c>
      <c r="I16">
        <f>report_47_flagged!F9</f>
        <v>1</v>
      </c>
      <c r="J16" s="67">
        <f>report_47_flagged!AC9</f>
        <v>43607</v>
      </c>
      <c r="K16" s="67">
        <f>report_47_flagged!AD9</f>
        <v>43626</v>
      </c>
      <c r="L16" s="67">
        <f>report_47_flagged!AE9</f>
        <v>43616.5</v>
      </c>
      <c r="M16" s="67">
        <f>report_47_flagged!AF9</f>
        <v>19</v>
      </c>
      <c r="N16" s="105">
        <f>report_47_flagged!H9</f>
        <v>41.993984962406017</v>
      </c>
      <c r="O16" s="105">
        <f t="shared" si="0"/>
        <v>2.5196390977443608E-2</v>
      </c>
      <c r="P16" s="105">
        <f>report_47_flagged!J9</f>
        <v>1</v>
      </c>
      <c r="Q16" s="265">
        <f>report_47_flagged!BA9</f>
        <v>38.39</v>
      </c>
      <c r="R16" s="265">
        <f t="shared" si="1"/>
        <v>0.84458</v>
      </c>
      <c r="S16" s="266">
        <f>report_47_flagged!BB9</f>
        <v>1</v>
      </c>
      <c r="T16" s="265">
        <f>report_47_flagged!BC9</f>
        <v>8.3249999999999993</v>
      </c>
      <c r="U16" s="265">
        <f t="shared" si="2"/>
        <v>0.241425</v>
      </c>
      <c r="V16" s="266">
        <f>report_47_flagged!BD9</f>
        <v>1</v>
      </c>
      <c r="W16" s="116">
        <f>(report_47_flagged!N9/100)*report_47_flagged!H9</f>
        <v>6.3387454429282295</v>
      </c>
      <c r="X16" s="116">
        <f>W16*SQRT(($W$5)^2+($N$5)^2)</f>
        <v>0.13316797532162838</v>
      </c>
      <c r="Y16" s="112">
        <f>report_47_flagged!AP9</f>
        <v>1</v>
      </c>
      <c r="Z16" s="116">
        <f>(report_47_flagged!P9/100)*report_47_flagged!H9</f>
        <v>0.57655484695721393</v>
      </c>
      <c r="AA16" s="116">
        <f t="shared" si="4"/>
        <v>2.1911815063452651E-2</v>
      </c>
      <c r="AB16" s="112">
        <f>report_47_flagged!AR9</f>
        <v>1</v>
      </c>
      <c r="AC16" s="116">
        <f>(report_47_flagged!R9/100)*report_47_flagged!H9</f>
        <v>3.5796939805411494</v>
      </c>
      <c r="AD16" s="116">
        <f t="shared" si="5"/>
        <v>0.10025444113248465</v>
      </c>
      <c r="AE16" s="112">
        <f>report_47_flagged!AT9</f>
        <v>1</v>
      </c>
      <c r="AF16" s="116">
        <f>(report_47_flagged!L9/100)*report_47_flagged!H9</f>
        <v>2.7590514623870788</v>
      </c>
      <c r="AG16" s="116">
        <f t="shared" si="6"/>
        <v>5.2448109654382742E-2</v>
      </c>
      <c r="AH16" s="112">
        <f>report_47_flagged!AV9</f>
        <v>1</v>
      </c>
      <c r="AI16" s="116">
        <f>(report_47_flagged!T9/100)*report_47_flagged!H9</f>
        <v>3.2229250959192739</v>
      </c>
      <c r="AJ16" s="116">
        <f t="shared" si="7"/>
        <v>0.15793516857296713</v>
      </c>
      <c r="AK16" s="112">
        <f>report_47_flagged!AX9</f>
        <v>1</v>
      </c>
    </row>
    <row r="17" spans="1:37" ht="15.5">
      <c r="A17">
        <f>report_47_flagged!A10</f>
        <v>2019</v>
      </c>
      <c r="B17" t="str">
        <f>LEFT(report_47_flagged!B10,2)</f>
        <v>47</v>
      </c>
      <c r="C17">
        <f>report_47_flagged!E10</f>
        <v>1000</v>
      </c>
      <c r="D17" s="112">
        <f>report_47_flagged!AM10</f>
        <v>858.95</v>
      </c>
      <c r="E17" t="str">
        <f>report_47_flagged!D10</f>
        <v>McLane-PARFLUX-Mark78H-21 ; controller sn ML11640-01, frame sn 2241, motor sn 11649-01, cup set D250x21</v>
      </c>
      <c r="H17">
        <f>report_47_flagged!C10</f>
        <v>5</v>
      </c>
      <c r="I17">
        <f>report_47_flagged!F10</f>
        <v>1</v>
      </c>
      <c r="J17" s="67">
        <f>report_47_flagged!AC10</f>
        <v>43626</v>
      </c>
      <c r="K17" s="67">
        <f>report_47_flagged!AD10</f>
        <v>43645</v>
      </c>
      <c r="L17" s="67">
        <f>report_47_flagged!AE10</f>
        <v>43635.5</v>
      </c>
      <c r="M17" s="67">
        <f>report_47_flagged!AF10</f>
        <v>19</v>
      </c>
      <c r="N17" s="105">
        <f>report_47_flagged!H10</f>
        <v>30.18796992481203</v>
      </c>
      <c r="O17" s="105">
        <f t="shared" si="0"/>
        <v>1.8112781954887216E-2</v>
      </c>
      <c r="P17" s="105">
        <f>report_47_flagged!J10</f>
        <v>1</v>
      </c>
      <c r="Q17" s="265">
        <f>report_47_flagged!BA10</f>
        <v>39.22</v>
      </c>
      <c r="R17" s="265">
        <f t="shared" si="1"/>
        <v>0.86283999999999994</v>
      </c>
      <c r="S17" s="266">
        <f>report_47_flagged!BB10</f>
        <v>1</v>
      </c>
      <c r="T17" s="265">
        <f>report_47_flagged!BC10</f>
        <v>8.343</v>
      </c>
      <c r="U17" s="265">
        <f t="shared" si="2"/>
        <v>0.24194700000000002</v>
      </c>
      <c r="V17" s="266">
        <f>report_47_flagged!BD10</f>
        <v>1</v>
      </c>
      <c r="W17" s="116">
        <f>(report_47_flagged!N10/100)*report_47_flagged!H10</f>
        <v>4.7005740090420378</v>
      </c>
      <c r="X17" s="116">
        <f t="shared" si="3"/>
        <v>9.8752336605022001E-2</v>
      </c>
      <c r="Y17" s="112">
        <f>report_47_flagged!AP10</f>
        <v>1</v>
      </c>
      <c r="Z17" s="116">
        <f>(report_47_flagged!P10/100)*report_47_flagged!H10</f>
        <v>0.41575530964629098</v>
      </c>
      <c r="AA17" s="116">
        <f t="shared" si="4"/>
        <v>1.5800671011086075E-2</v>
      </c>
      <c r="AB17" s="112">
        <f>report_47_flagged!AR10</f>
        <v>1</v>
      </c>
      <c r="AC17" s="116">
        <f>(report_47_flagged!R10/100)*report_47_flagged!H10</f>
        <v>2.5612182933097332</v>
      </c>
      <c r="AD17" s="116">
        <f t="shared" si="5"/>
        <v>7.1730575297737173E-2</v>
      </c>
      <c r="AE17" s="112">
        <f>report_47_flagged!AT10</f>
        <v>1</v>
      </c>
      <c r="AF17" s="116">
        <f>(report_47_flagged!L10/100)*report_47_flagged!H10</f>
        <v>2.1393557157323038</v>
      </c>
      <c r="AG17" s="116">
        <f t="shared" si="6"/>
        <v>4.0668021129037071E-2</v>
      </c>
      <c r="AH17" s="112">
        <f>report_47_flagged!AV10</f>
        <v>1</v>
      </c>
      <c r="AI17" s="116">
        <f>(report_47_flagged!T10/100)*report_47_flagged!H10</f>
        <v>1.7898633789828209</v>
      </c>
      <c r="AJ17" s="116">
        <f t="shared" si="7"/>
        <v>8.7709880332047546E-2</v>
      </c>
      <c r="AK17" s="112">
        <f>report_47_flagged!AX10</f>
        <v>1</v>
      </c>
    </row>
    <row r="18" spans="1:37" ht="15.5">
      <c r="A18">
        <f>report_47_flagged!A11</f>
        <v>2019</v>
      </c>
      <c r="B18" t="str">
        <f>LEFT(report_47_flagged!B11,2)</f>
        <v>47</v>
      </c>
      <c r="C18">
        <f>report_47_flagged!E11</f>
        <v>1000</v>
      </c>
      <c r="D18" s="112">
        <f>report_47_flagged!AM11</f>
        <v>858.95</v>
      </c>
      <c r="E18" t="str">
        <f>report_47_flagged!D11</f>
        <v>McLane-PARFLUX-Mark78H-21 ; controller sn ML11640-01, frame sn 2241, motor sn 11649-01, cup set D250x21</v>
      </c>
      <c r="H18">
        <f>report_47_flagged!C11</f>
        <v>6</v>
      </c>
      <c r="I18">
        <f>report_47_flagged!F11</f>
        <v>1</v>
      </c>
      <c r="J18" s="67">
        <f>report_47_flagged!AC11</f>
        <v>43645</v>
      </c>
      <c r="K18" s="67">
        <f>report_47_flagged!AD11</f>
        <v>43664</v>
      </c>
      <c r="L18" s="67">
        <f>report_47_flagged!AE11</f>
        <v>43654.5</v>
      </c>
      <c r="M18" s="67">
        <f>report_47_flagged!AF11</f>
        <v>19</v>
      </c>
      <c r="N18" s="105">
        <f>report_47_flagged!H11</f>
        <v>34.550375939849623</v>
      </c>
      <c r="O18" s="105">
        <f t="shared" si="0"/>
        <v>2.0730225563909771E-2</v>
      </c>
      <c r="P18" s="105">
        <f>report_47_flagged!J11</f>
        <v>1</v>
      </c>
      <c r="Q18" s="265">
        <f>report_47_flagged!BA11</f>
        <v>39.24</v>
      </c>
      <c r="R18" s="265">
        <f t="shared" si="1"/>
        <v>0.86328000000000005</v>
      </c>
      <c r="S18" s="266">
        <f>report_47_flagged!BB11</f>
        <v>1</v>
      </c>
      <c r="T18" s="265">
        <f>report_47_flagged!BC11</f>
        <v>8.52</v>
      </c>
      <c r="U18" s="265">
        <f t="shared" si="2"/>
        <v>0.24707999999999999</v>
      </c>
      <c r="V18" s="266">
        <f>report_47_flagged!BD11</f>
        <v>1</v>
      </c>
      <c r="W18" s="116">
        <f>(report_47_flagged!N11/100)*report_47_flagged!H11</f>
        <v>5.1928644083352911</v>
      </c>
      <c r="X18" s="116">
        <f t="shared" si="3"/>
        <v>0.1090946537613762</v>
      </c>
      <c r="Y18" s="112">
        <f>report_47_flagged!AP11</f>
        <v>1</v>
      </c>
      <c r="Z18" s="116">
        <f>(report_47_flagged!P11/100)*report_47_flagged!H11</f>
        <v>0.45056487532307332</v>
      </c>
      <c r="AA18" s="116">
        <f t="shared" si="4"/>
        <v>1.7123599383944532E-2</v>
      </c>
      <c r="AB18" s="112">
        <f>report_47_flagged!AR11</f>
        <v>1</v>
      </c>
      <c r="AC18" s="116">
        <f>(report_47_flagged!R11/100)*report_47_flagged!H11</f>
        <v>2.9723205575880338</v>
      </c>
      <c r="AD18" s="116">
        <f t="shared" si="5"/>
        <v>8.324408119448691E-2</v>
      </c>
      <c r="AE18" s="112">
        <f>report_47_flagged!AT11</f>
        <v>1</v>
      </c>
      <c r="AF18" s="116">
        <f>(report_47_flagged!L11/100)*report_47_flagged!H11</f>
        <v>2.2205438507472577</v>
      </c>
      <c r="AG18" s="116">
        <f t="shared" si="6"/>
        <v>4.2211364653414483E-2</v>
      </c>
      <c r="AH18" s="112">
        <f>report_47_flagged!AV11</f>
        <v>1</v>
      </c>
      <c r="AI18" s="116">
        <f>(report_47_flagged!T11/100)*report_47_flagged!H11</f>
        <v>2.502370757631986</v>
      </c>
      <c r="AJ18" s="116">
        <f t="shared" si="7"/>
        <v>0.12262535916179736</v>
      </c>
      <c r="AK18" s="112">
        <f>report_47_flagged!AX11</f>
        <v>1</v>
      </c>
    </row>
    <row r="19" spans="1:37" ht="15.5">
      <c r="A19">
        <f>report_47_flagged!A12</f>
        <v>2019</v>
      </c>
      <c r="B19" t="str">
        <f>LEFT(report_47_flagged!B12,2)</f>
        <v>47</v>
      </c>
      <c r="C19">
        <f>report_47_flagged!E12</f>
        <v>1000</v>
      </c>
      <c r="D19" s="112">
        <f>report_47_flagged!AM12</f>
        <v>858.95</v>
      </c>
      <c r="E19" t="str">
        <f>report_47_flagged!D12</f>
        <v>McLane-PARFLUX-Mark78H-21 ; controller sn ML11640-01, frame sn 2241, motor sn 11649-01, cup set D250x21</v>
      </c>
      <c r="H19">
        <f>report_47_flagged!C12</f>
        <v>7</v>
      </c>
      <c r="I19">
        <f>report_47_flagged!F12</f>
        <v>1</v>
      </c>
      <c r="J19" s="67">
        <f>report_47_flagged!AC12</f>
        <v>43664</v>
      </c>
      <c r="K19" s="67">
        <f>report_47_flagged!AD12</f>
        <v>43683</v>
      </c>
      <c r="L19" s="67">
        <f>report_47_flagged!AE12</f>
        <v>43673.5</v>
      </c>
      <c r="M19" s="67">
        <f>report_47_flagged!AF12</f>
        <v>19</v>
      </c>
      <c r="N19" s="105">
        <f>report_47_flagged!H12</f>
        <v>19.279699248120298</v>
      </c>
      <c r="O19" s="105">
        <f t="shared" si="0"/>
        <v>1.1567819548872179E-2</v>
      </c>
      <c r="P19" s="105">
        <f>report_47_flagged!J12</f>
        <v>1</v>
      </c>
      <c r="Q19" s="265">
        <f>report_47_flagged!BA12</f>
        <v>38.200000000000003</v>
      </c>
      <c r="R19" s="265">
        <f t="shared" si="1"/>
        <v>0.84040000000000004</v>
      </c>
      <c r="S19" s="266">
        <f>report_47_flagged!BB12</f>
        <v>1</v>
      </c>
      <c r="T19" s="265">
        <f>report_47_flagged!BC12</f>
        <v>8.4239999999999995</v>
      </c>
      <c r="U19" s="265">
        <f t="shared" si="2"/>
        <v>0.24429599999999999</v>
      </c>
      <c r="V19" s="266">
        <f>report_47_flagged!BD12</f>
        <v>1</v>
      </c>
      <c r="W19" s="116">
        <f>(report_47_flagged!N12/100)*report_47_flagged!H12</f>
        <v>3.381908010841312</v>
      </c>
      <c r="X19" s="116">
        <f t="shared" si="3"/>
        <v>7.1049050097156952E-2</v>
      </c>
      <c r="Y19" s="112">
        <f>report_47_flagged!AP12</f>
        <v>1</v>
      </c>
      <c r="Z19" s="116">
        <f>(report_47_flagged!P12/100)*report_47_flagged!H12</f>
        <v>0.38122630502586075</v>
      </c>
      <c r="AA19" s="116">
        <f t="shared" si="4"/>
        <v>1.4488405287259604E-2</v>
      </c>
      <c r="AB19" s="112">
        <f>report_47_flagged!AR12</f>
        <v>1</v>
      </c>
      <c r="AC19" s="116">
        <f>(report_47_flagged!R12/100)*report_47_flagged!H12</f>
        <v>2.1132433175819902</v>
      </c>
      <c r="AD19" s="116">
        <f t="shared" si="5"/>
        <v>5.9184396468748589E-2</v>
      </c>
      <c r="AE19" s="112">
        <f>report_47_flagged!AT12</f>
        <v>1</v>
      </c>
      <c r="AF19" s="116">
        <f>(report_47_flagged!L12/100)*report_47_flagged!H12</f>
        <v>1.2686646932593217</v>
      </c>
      <c r="AG19" s="116">
        <f t="shared" si="6"/>
        <v>2.4116645105684408E-2</v>
      </c>
      <c r="AH19" s="112">
        <f>report_47_flagged!AV12</f>
        <v>1</v>
      </c>
      <c r="AI19" s="116">
        <f>(report_47_flagged!T12/100)*report_47_flagged!H12</f>
        <v>0.88507117346773934</v>
      </c>
      <c r="AJ19" s="116">
        <f t="shared" si="7"/>
        <v>4.3371738659917794E-2</v>
      </c>
      <c r="AK19" s="112">
        <f>report_47_flagged!AX12</f>
        <v>1</v>
      </c>
    </row>
    <row r="20" spans="1:37" ht="15.5">
      <c r="A20">
        <f>report_47_flagged!A13</f>
        <v>2019</v>
      </c>
      <c r="B20" t="str">
        <f>LEFT(report_47_flagged!B13,2)</f>
        <v>47</v>
      </c>
      <c r="C20">
        <f>report_47_flagged!E13</f>
        <v>1000</v>
      </c>
      <c r="D20" s="112">
        <f>report_47_flagged!AM13</f>
        <v>858.95</v>
      </c>
      <c r="E20" t="str">
        <f>report_47_flagged!D13</f>
        <v>McLane-PARFLUX-Mark78H-21 ; controller sn ML11640-01, frame sn 2241, motor sn 11649-01, cup set D250x21</v>
      </c>
      <c r="H20">
        <f>report_47_flagged!C13</f>
        <v>8</v>
      </c>
      <c r="I20">
        <f>report_47_flagged!F13</f>
        <v>1</v>
      </c>
      <c r="J20" s="67">
        <f>report_47_flagged!AC13</f>
        <v>43683</v>
      </c>
      <c r="K20" s="67">
        <f>report_47_flagged!AD13</f>
        <v>43702</v>
      </c>
      <c r="L20" s="67">
        <f>report_47_flagged!AE13</f>
        <v>43692.5</v>
      </c>
      <c r="M20" s="67">
        <f>report_47_flagged!AF13</f>
        <v>19</v>
      </c>
      <c r="N20" s="105">
        <f>report_47_flagged!H13</f>
        <v>9.4210526315789469</v>
      </c>
      <c r="O20" s="105">
        <f t="shared" si="0"/>
        <v>5.6526315789473675E-3</v>
      </c>
      <c r="P20" s="105">
        <f>report_47_flagged!J13</f>
        <v>1</v>
      </c>
      <c r="Q20" s="265">
        <f>report_47_flagged!BA13</f>
        <v>37.549999999999997</v>
      </c>
      <c r="R20" s="265">
        <f t="shared" si="1"/>
        <v>0.82609999999999983</v>
      </c>
      <c r="S20" s="266">
        <f>report_47_flagged!BB13</f>
        <v>1</v>
      </c>
      <c r="T20" s="265">
        <f>report_47_flagged!BC13</f>
        <v>8.1969999999999992</v>
      </c>
      <c r="U20" s="265">
        <f t="shared" si="2"/>
        <v>0.23771299999999998</v>
      </c>
      <c r="V20" s="266">
        <f>report_47_flagged!BD13</f>
        <v>1</v>
      </c>
      <c r="W20" s="116">
        <f>(report_47_flagged!N13/100)*report_47_flagged!H13</f>
        <v>1.8400966011850457</v>
      </c>
      <c r="X20" s="116">
        <f t="shared" si="3"/>
        <v>3.865779766395281E-2</v>
      </c>
      <c r="Y20" s="112">
        <f>report_47_flagged!AP13</f>
        <v>1</v>
      </c>
      <c r="Z20" s="116">
        <f>(report_47_flagged!P13/100)*report_47_flagged!H13</f>
        <v>0.2702957798932728</v>
      </c>
      <c r="AA20" s="116">
        <f t="shared" si="4"/>
        <v>1.0272519904585276E-2</v>
      </c>
      <c r="AB20" s="112">
        <f>report_47_flagged!AR13</f>
        <v>3</v>
      </c>
      <c r="AC20" s="116">
        <f>(report_47_flagged!R13/100)*report_47_flagged!H13</f>
        <v>1.3114059627864274</v>
      </c>
      <c r="AD20" s="116">
        <f t="shared" si="5"/>
        <v>3.6727796457362537E-2</v>
      </c>
      <c r="AE20" s="112">
        <f>report_47_flagged!AT13</f>
        <v>1</v>
      </c>
      <c r="AF20" s="116">
        <f>(report_47_flagged!L13/100)*report_47_flagged!H13</f>
        <v>0.52869063839861807</v>
      </c>
      <c r="AG20" s="116">
        <f t="shared" si="6"/>
        <v>1.0050129529655777E-2</v>
      </c>
      <c r="AH20" s="112">
        <f>report_47_flagged!AV13</f>
        <v>1</v>
      </c>
      <c r="AI20" s="116">
        <f>(report_47_flagged!T13/100)*report_47_flagged!H13</f>
        <v>7.4712229894451809E-2</v>
      </c>
      <c r="AJ20" s="116">
        <f t="shared" si="7"/>
        <v>3.661173707630614E-3</v>
      </c>
      <c r="AK20" s="112">
        <f>report_47_flagged!AX13</f>
        <v>1</v>
      </c>
    </row>
    <row r="21" spans="1:37" ht="15.5">
      <c r="A21">
        <f>report_47_flagged!A14</f>
        <v>2019</v>
      </c>
      <c r="B21" t="str">
        <f>LEFT(report_47_flagged!B14,2)</f>
        <v>47</v>
      </c>
      <c r="C21">
        <f>report_47_flagged!E14</f>
        <v>1000</v>
      </c>
      <c r="D21" s="112">
        <f>report_47_flagged!AM14</f>
        <v>858.95</v>
      </c>
      <c r="E21" t="str">
        <f>report_47_flagged!D14</f>
        <v>McLane-PARFLUX-Mark78H-21 ; controller sn ML11640-01, frame sn 2241, motor sn 11649-01, cup set D250x21</v>
      </c>
      <c r="H21">
        <f>report_47_flagged!C14</f>
        <v>9</v>
      </c>
      <c r="I21">
        <f>report_47_flagged!F14</f>
        <v>1</v>
      </c>
      <c r="J21" s="67">
        <f>report_47_flagged!AC14</f>
        <v>43702</v>
      </c>
      <c r="K21" s="67">
        <f>report_47_flagged!AD14</f>
        <v>43721</v>
      </c>
      <c r="L21" s="67">
        <f>report_47_flagged!AE14</f>
        <v>43711.5</v>
      </c>
      <c r="M21" s="67">
        <f>report_47_flagged!AF14</f>
        <v>19</v>
      </c>
      <c r="N21" s="105">
        <f>report_47_flagged!H14</f>
        <v>9.3548872180451124</v>
      </c>
      <c r="O21" s="105">
        <f t="shared" si="0"/>
        <v>5.6129323308270673E-3</v>
      </c>
      <c r="P21" s="105">
        <f>report_47_flagged!J14</f>
        <v>1</v>
      </c>
      <c r="Q21" s="265">
        <f>report_47_flagged!BA14</f>
        <v>39.17</v>
      </c>
      <c r="R21" s="265">
        <f t="shared" si="1"/>
        <v>0.86173999999999995</v>
      </c>
      <c r="S21" s="266">
        <f>report_47_flagged!BB14</f>
        <v>1</v>
      </c>
      <c r="T21" s="265">
        <f>report_47_flagged!BC14</f>
        <v>8.5779999999999994</v>
      </c>
      <c r="U21" s="265">
        <f t="shared" si="2"/>
        <v>0.24876199999999998</v>
      </c>
      <c r="V21" s="266">
        <f>report_47_flagged!BD14</f>
        <v>1</v>
      </c>
      <c r="W21" s="116">
        <f>(report_47_flagged!N14/100)*report_47_flagged!H14</f>
        <v>2.121956808792917</v>
      </c>
      <c r="X21" s="116">
        <f t="shared" si="3"/>
        <v>4.4579277475505961E-2</v>
      </c>
      <c r="Y21" s="112">
        <f>report_47_flagged!AP14</f>
        <v>3</v>
      </c>
      <c r="Z21" s="116">
        <f>(report_47_flagged!P14/100)*report_47_flagged!H14</f>
        <v>0.32138566958276849</v>
      </c>
      <c r="AA21" s="116">
        <f t="shared" si="4"/>
        <v>1.2214177702445227E-2</v>
      </c>
      <c r="AB21" s="112">
        <f>report_47_flagged!AR14</f>
        <v>3</v>
      </c>
      <c r="AC21" s="116">
        <f>(report_47_flagged!R14/100)*report_47_flagged!H14</f>
        <v>1.6574441247585303</v>
      </c>
      <c r="AD21" s="116">
        <f t="shared" si="5"/>
        <v>4.6419089268314201E-2</v>
      </c>
      <c r="AE21" s="112">
        <f>report_47_flagged!AT14</f>
        <v>3</v>
      </c>
      <c r="AF21" s="116">
        <f>(report_47_flagged!L14/100)*report_47_flagged!H14</f>
        <v>0.46451268403438695</v>
      </c>
      <c r="AG21" s="116">
        <f t="shared" si="6"/>
        <v>8.8301405465662942E-3</v>
      </c>
      <c r="AH21" s="112">
        <f>report_47_flagged!AV14</f>
        <v>1</v>
      </c>
      <c r="AI21" s="116">
        <f>(report_47_flagged!T14/100)*report_47_flagged!H14</f>
        <v>0.34034114023143747</v>
      </c>
      <c r="AJ21" s="116">
        <f t="shared" si="7"/>
        <v>1.6677966057239781E-2</v>
      </c>
      <c r="AK21" s="112">
        <f>report_47_flagged!AX14</f>
        <v>1</v>
      </c>
    </row>
    <row r="22" spans="1:37" ht="15.5">
      <c r="A22">
        <f>report_47_flagged!A15</f>
        <v>2019</v>
      </c>
      <c r="B22" t="str">
        <f>LEFT(report_47_flagged!B15,2)</f>
        <v>47</v>
      </c>
      <c r="C22">
        <f>report_47_flagged!E15</f>
        <v>1000</v>
      </c>
      <c r="D22" s="112">
        <f>report_47_flagged!AM15</f>
        <v>858.95</v>
      </c>
      <c r="E22" t="str">
        <f>report_47_flagged!D15</f>
        <v>McLane-PARFLUX-Mark78H-21 ; controller sn ML11640-01, frame sn 2241, motor sn 11649-01, cup set D250x21</v>
      </c>
      <c r="H22">
        <f>report_47_flagged!C15</f>
        <v>10</v>
      </c>
      <c r="I22">
        <f>report_47_flagged!F15</f>
        <v>1</v>
      </c>
      <c r="J22" s="67">
        <f>report_47_flagged!AC15</f>
        <v>43721</v>
      </c>
      <c r="K22" s="67">
        <f>report_47_flagged!AD15</f>
        <v>43740</v>
      </c>
      <c r="L22" s="67">
        <f>report_47_flagged!AE15</f>
        <v>43730.5</v>
      </c>
      <c r="M22" s="67">
        <f>report_47_flagged!AF15</f>
        <v>19</v>
      </c>
      <c r="N22" s="105">
        <f>report_47_flagged!H15</f>
        <v>18.524812030075189</v>
      </c>
      <c r="O22" s="105">
        <f t="shared" si="0"/>
        <v>1.1114887218045112E-2</v>
      </c>
      <c r="P22" s="105">
        <f>report_47_flagged!J15</f>
        <v>1</v>
      </c>
      <c r="Q22" s="265">
        <f>report_47_flagged!BA15</f>
        <v>39.520000000000003</v>
      </c>
      <c r="R22" s="265">
        <f t="shared" si="1"/>
        <v>0.86943999999999999</v>
      </c>
      <c r="S22" s="266">
        <f>report_47_flagged!BB15</f>
        <v>1</v>
      </c>
      <c r="T22" s="265">
        <f>report_47_flagged!BC15</f>
        <v>8.5760000000000005</v>
      </c>
      <c r="U22" s="265">
        <f t="shared" si="2"/>
        <v>0.24870400000000004</v>
      </c>
      <c r="V22" s="266">
        <f>report_47_flagged!BD15</f>
        <v>1</v>
      </c>
      <c r="W22" s="116">
        <f>(report_47_flagged!N15/100)*report_47_flagged!H15</f>
        <v>2.9933693295242199</v>
      </c>
      <c r="X22" s="116">
        <f t="shared" si="3"/>
        <v>6.28864081373261E-2</v>
      </c>
      <c r="Y22" s="112">
        <f>report_47_flagged!AP15</f>
        <v>1</v>
      </c>
      <c r="Z22" s="116">
        <f>(report_47_flagged!P15/100)*report_47_flagged!H15</f>
        <v>0.30910036922218209</v>
      </c>
      <c r="AA22" s="116">
        <f t="shared" si="4"/>
        <v>1.1747278098841489E-2</v>
      </c>
      <c r="AB22" s="112">
        <f>report_47_flagged!AR15</f>
        <v>1</v>
      </c>
      <c r="AC22" s="116">
        <f>(report_47_flagged!R15/100)*report_47_flagged!H15</f>
        <v>1.7024369305354914</v>
      </c>
      <c r="AD22" s="116">
        <f t="shared" si="5"/>
        <v>4.7679177036338928E-2</v>
      </c>
      <c r="AE22" s="112">
        <f>report_47_flagged!AT15</f>
        <v>1</v>
      </c>
      <c r="AF22" s="116">
        <f>(report_47_flagged!L15/100)*report_47_flagged!H15</f>
        <v>1.2909323989887282</v>
      </c>
      <c r="AG22" s="116">
        <f t="shared" si="6"/>
        <v>2.4539942419188301E-2</v>
      </c>
      <c r="AH22" s="112">
        <f>report_47_flagged!AV15</f>
        <v>1</v>
      </c>
      <c r="AI22" s="116">
        <f>(report_47_flagged!T15/100)*report_47_flagged!H15</f>
        <v>1.0647460022435662</v>
      </c>
      <c r="AJ22" s="116">
        <f t="shared" si="7"/>
        <v>5.2176465275177608E-2</v>
      </c>
      <c r="AK22" s="112">
        <f>report_47_flagged!AX15</f>
        <v>1</v>
      </c>
    </row>
    <row r="23" spans="1:37" ht="15.5">
      <c r="A23">
        <f>report_47_flagged!A16</f>
        <v>2019</v>
      </c>
      <c r="B23" t="str">
        <f>LEFT(report_47_flagged!B16,2)</f>
        <v>47</v>
      </c>
      <c r="C23">
        <f>report_47_flagged!E16</f>
        <v>1000</v>
      </c>
      <c r="D23" s="112">
        <f>report_47_flagged!AM16</f>
        <v>858.95</v>
      </c>
      <c r="E23" t="str">
        <f>report_47_flagged!D16</f>
        <v>McLane-PARFLUX-Mark78H-21 ; controller sn ML11640-01, frame sn 2241, motor sn 11649-01, cup set D250x21</v>
      </c>
      <c r="H23">
        <f>report_47_flagged!C16</f>
        <v>11</v>
      </c>
      <c r="I23">
        <f>report_47_flagged!F16</f>
        <v>1</v>
      </c>
      <c r="J23" s="67">
        <f>report_47_flagged!AC16</f>
        <v>43740</v>
      </c>
      <c r="K23" s="67">
        <f>report_47_flagged!AD16</f>
        <v>43759</v>
      </c>
      <c r="L23" s="67">
        <f>report_47_flagged!AE16</f>
        <v>43749.5</v>
      </c>
      <c r="M23" s="67">
        <f>report_47_flagged!AF16</f>
        <v>19</v>
      </c>
      <c r="N23" s="105">
        <f>report_47_flagged!H16</f>
        <v>58.41503759398497</v>
      </c>
      <c r="O23" s="105">
        <f t="shared" si="0"/>
        <v>3.5049022556390981E-2</v>
      </c>
      <c r="P23" s="105">
        <f>report_47_flagged!J16</f>
        <v>1</v>
      </c>
      <c r="Q23" s="265">
        <f>report_47_flagged!BA16</f>
        <v>39.520000000000003</v>
      </c>
      <c r="R23" s="265">
        <f t="shared" si="1"/>
        <v>0.86943999999999999</v>
      </c>
      <c r="S23" s="266">
        <f>report_47_flagged!BB16</f>
        <v>1</v>
      </c>
      <c r="T23" s="265">
        <f>report_47_flagged!BC16</f>
        <v>8.4469999999999992</v>
      </c>
      <c r="U23" s="265">
        <f t="shared" si="2"/>
        <v>0.24496299999999999</v>
      </c>
      <c r="V23" s="266">
        <f>report_47_flagged!BD16</f>
        <v>1</v>
      </c>
      <c r="W23" s="116">
        <f>(report_47_flagged!N16/100)*report_47_flagged!H16</f>
        <v>8.7486593198274321</v>
      </c>
      <c r="X23" s="116">
        <f t="shared" si="3"/>
        <v>0.18379681892729774</v>
      </c>
      <c r="Y23" s="112">
        <f>report_47_flagged!AP16</f>
        <v>1</v>
      </c>
      <c r="Z23" s="116">
        <f>(report_47_flagged!P16/100)*report_47_flagged!H16</f>
        <v>0.72021321797550186</v>
      </c>
      <c r="AA23" s="116">
        <f t="shared" si="4"/>
        <v>2.7371513606760864E-2</v>
      </c>
      <c r="AB23" s="112">
        <f>report_47_flagged!AR16</f>
        <v>1</v>
      </c>
      <c r="AC23" s="116">
        <f>(report_47_flagged!R16/100)*report_47_flagged!H16</f>
        <v>4.420307675207451</v>
      </c>
      <c r="AD23" s="116">
        <f t="shared" si="5"/>
        <v>0.12379702790811263</v>
      </c>
      <c r="AE23" s="112">
        <f>report_47_flagged!AT16</f>
        <v>2</v>
      </c>
      <c r="AF23" s="116">
        <f>(report_47_flagged!L16/100)*report_47_flagged!H16</f>
        <v>4.328351644619981</v>
      </c>
      <c r="AG23" s="116">
        <f t="shared" si="6"/>
        <v>8.2279676466544979E-2</v>
      </c>
      <c r="AH23" s="112">
        <f>report_47_flagged!AV16</f>
        <v>2</v>
      </c>
      <c r="AI23" s="116">
        <f>(report_47_flagged!T16/100)*report_47_flagged!H16</f>
        <v>2.9955473499450784</v>
      </c>
      <c r="AJ23" s="116">
        <f t="shared" si="7"/>
        <v>0.14679282378634931</v>
      </c>
      <c r="AK23" s="112">
        <f>report_47_flagged!AX16</f>
        <v>1</v>
      </c>
    </row>
    <row r="24" spans="1:37" ht="15.5">
      <c r="A24">
        <f>report_47_flagged!A17</f>
        <v>2019</v>
      </c>
      <c r="B24" t="str">
        <f>LEFT(report_47_flagged!B17,2)</f>
        <v>47</v>
      </c>
      <c r="C24">
        <f>report_47_flagged!E17</f>
        <v>1000</v>
      </c>
      <c r="D24" s="112">
        <f>report_47_flagged!AM17</f>
        <v>858.95</v>
      </c>
      <c r="E24" t="str">
        <f>report_47_flagged!D17</f>
        <v>McLane-PARFLUX-Mark78H-21 ; controller sn ML11640-01, frame sn 2241, motor sn 11649-01, cup set D250x21</v>
      </c>
      <c r="H24">
        <f>report_47_flagged!C17</f>
        <v>12</v>
      </c>
      <c r="I24">
        <f>report_47_flagged!F17</f>
        <v>1</v>
      </c>
      <c r="J24" s="67">
        <f>report_47_flagged!AC17</f>
        <v>43759</v>
      </c>
      <c r="K24" s="67">
        <f>report_47_flagged!AD17</f>
        <v>43778</v>
      </c>
      <c r="L24" s="67">
        <f>report_47_flagged!AE17</f>
        <v>43768.5</v>
      </c>
      <c r="M24" s="67">
        <f>report_47_flagged!AF17</f>
        <v>19</v>
      </c>
      <c r="N24" s="105">
        <f>report_47_flagged!H17</f>
        <v>90.93834586466167</v>
      </c>
      <c r="O24" s="105">
        <f t="shared" si="0"/>
        <v>5.4563007518796995E-2</v>
      </c>
      <c r="P24" s="105">
        <f>report_47_flagged!J17</f>
        <v>1</v>
      </c>
      <c r="Q24" s="265">
        <f>report_47_flagged!BA17</f>
        <v>38.729999999999997</v>
      </c>
      <c r="R24" s="265">
        <f t="shared" si="1"/>
        <v>0.85205999999999993</v>
      </c>
      <c r="S24" s="266">
        <f>report_47_flagged!BB17</f>
        <v>1</v>
      </c>
      <c r="T24" s="265">
        <f>report_47_flagged!BC17</f>
        <v>8.275500000000001</v>
      </c>
      <c r="U24" s="265">
        <f t="shared" si="2"/>
        <v>0.23998950000000005</v>
      </c>
      <c r="V24" s="266">
        <f>report_47_flagged!BD17</f>
        <v>1</v>
      </c>
      <c r="W24" s="116">
        <f>(report_47_flagged!N17/100)*report_47_flagged!H17</f>
        <v>13.232583212372058</v>
      </c>
      <c r="X24" s="116">
        <f t="shared" si="3"/>
        <v>0.27799764646370073</v>
      </c>
      <c r="Y24" s="112">
        <f>report_47_flagged!AP17</f>
        <v>1</v>
      </c>
      <c r="Z24" s="116">
        <f>(report_47_flagged!P17/100)*report_47_flagged!H17</f>
        <v>0.88602213904552907</v>
      </c>
      <c r="AA24" s="116">
        <f t="shared" si="4"/>
        <v>3.3673037969154565E-2</v>
      </c>
      <c r="AB24" s="112">
        <f>report_47_flagged!AR17</f>
        <v>1</v>
      </c>
      <c r="AC24" s="116">
        <f>(report_47_flagged!R17/100)*report_47_flagged!H17</f>
        <v>5.7482929664512259</v>
      </c>
      <c r="AD24" s="116">
        <f t="shared" si="5"/>
        <v>0.16098915213144582</v>
      </c>
      <c r="AE24" s="112">
        <f>report_47_flagged!AT17</f>
        <v>1</v>
      </c>
      <c r="AF24" s="116">
        <f>(report_47_flagged!L17/100)*report_47_flagged!H17</f>
        <v>7.4842902459208318</v>
      </c>
      <c r="AG24" s="116">
        <f t="shared" si="6"/>
        <v>0.1422724008067858</v>
      </c>
      <c r="AH24" s="112">
        <f>report_47_flagged!AV17</f>
        <v>1</v>
      </c>
      <c r="AI24" s="116">
        <f>(report_47_flagged!T17/100)*report_47_flagged!H17</f>
        <v>3.5130848623037312</v>
      </c>
      <c r="AJ24" s="116">
        <f t="shared" si="7"/>
        <v>0.17215406297887356</v>
      </c>
      <c r="AK24" s="112">
        <f>report_47_flagged!AX17</f>
        <v>1</v>
      </c>
    </row>
    <row r="25" spans="1:37" s="541" customFormat="1" ht="15.5">
      <c r="A25" s="541">
        <f>report_47_flagged!A18</f>
        <v>2019</v>
      </c>
      <c r="B25" s="541" t="str">
        <f>LEFT(report_47_flagged!B18,2)</f>
        <v>47</v>
      </c>
      <c r="C25" s="541">
        <f>report_47_flagged!E18</f>
        <v>1000</v>
      </c>
      <c r="D25" s="551">
        <f>report_47_flagged!AM18</f>
        <v>858.95</v>
      </c>
      <c r="E25" s="541" t="str">
        <f>report_47_flagged!D18</f>
        <v>McLane-PARFLUX-Mark78H-21 ; controller sn ML11640-01, frame sn 2241, motor sn 11649-01, cup set D250x21</v>
      </c>
      <c r="H25" s="541">
        <f>report_47_flagged!C18</f>
        <v>13</v>
      </c>
      <c r="I25" s="541">
        <f>report_47_flagged!F18</f>
        <v>1</v>
      </c>
      <c r="J25" s="552">
        <f>report_47_flagged!AC18</f>
        <v>43778</v>
      </c>
      <c r="K25" s="552">
        <f>report_47_flagged!AD18</f>
        <v>43797</v>
      </c>
      <c r="L25" s="552">
        <f>report_47_flagged!AE18</f>
        <v>43787.5</v>
      </c>
      <c r="M25" s="552">
        <f>report_47_flagged!AF18</f>
        <v>19</v>
      </c>
      <c r="N25" s="540">
        <f>report_47_flagged!H18</f>
        <v>220.87067669172933</v>
      </c>
      <c r="O25" s="540">
        <f t="shared" si="0"/>
        <v>0.13252240601503759</v>
      </c>
      <c r="P25" s="540">
        <f>report_47_flagged!J18</f>
        <v>3</v>
      </c>
      <c r="Q25" s="553">
        <f>report_47_flagged!BA18</f>
        <v>39.090000000000003</v>
      </c>
      <c r="R25" s="553">
        <f t="shared" si="1"/>
        <v>0.85998000000000008</v>
      </c>
      <c r="S25" s="554">
        <f>report_47_flagged!BB18</f>
        <v>1</v>
      </c>
      <c r="T25" s="553">
        <f>report_47_flagged!BC18</f>
        <v>8.3469999999999995</v>
      </c>
      <c r="U25" s="553">
        <f t="shared" si="2"/>
        <v>0.242063</v>
      </c>
      <c r="V25" s="554">
        <f>report_47_flagged!BD18</f>
        <v>1</v>
      </c>
      <c r="W25" s="555">
        <f>(report_47_flagged!N18/100)*report_47_flagged!H18</f>
        <v>28.82648314978664</v>
      </c>
      <c r="X25" s="555">
        <f t="shared" si="3"/>
        <v>0.6056031798820396</v>
      </c>
      <c r="Y25" s="551">
        <f>report_47_flagged!AP18</f>
        <v>3</v>
      </c>
      <c r="Z25" s="555">
        <f>(report_47_flagged!P18/100)*report_47_flagged!H18</f>
        <v>1.2451132157225357</v>
      </c>
      <c r="AA25" s="555">
        <f t="shared" si="4"/>
        <v>4.7320199734610283E-2</v>
      </c>
      <c r="AB25" s="551">
        <f>report_47_flagged!AR18</f>
        <v>3</v>
      </c>
      <c r="AC25" s="555">
        <f>(report_47_flagged!R18/100)*report_47_flagged!H18</f>
        <v>9.2273613307384164</v>
      </c>
      <c r="AD25" s="555">
        <f t="shared" si="5"/>
        <v>0.2584254292041</v>
      </c>
      <c r="AE25" s="551">
        <f>report_47_flagged!AT18</f>
        <v>3</v>
      </c>
      <c r="AF25" s="555">
        <f>(report_47_flagged!L18/100)*report_47_flagged!H18</f>
        <v>19.599121819048225</v>
      </c>
      <c r="AG25" s="555">
        <f t="shared" si="6"/>
        <v>0.37256894418551195</v>
      </c>
      <c r="AH25" s="551">
        <f>report_47_flagged!AV18</f>
        <v>3</v>
      </c>
      <c r="AI25" s="555">
        <f>(report_47_flagged!T18/100)*report_47_flagged!H18</f>
        <v>9.4548512212428548</v>
      </c>
      <c r="AJ25" s="555">
        <f t="shared" si="7"/>
        <v>0.46332244064561301</v>
      </c>
      <c r="AK25" s="551">
        <f>report_47_flagged!AX18</f>
        <v>3</v>
      </c>
    </row>
    <row r="26" spans="1:37" s="541" customFormat="1" ht="15.5">
      <c r="A26" s="541">
        <f>report_47_flagged!A19</f>
        <v>2019</v>
      </c>
      <c r="B26" s="541" t="str">
        <f>LEFT(report_47_flagged!B19,2)</f>
        <v>47</v>
      </c>
      <c r="C26" s="541">
        <f>report_47_flagged!E19</f>
        <v>1000</v>
      </c>
      <c r="D26" s="551">
        <f>report_47_flagged!AM19</f>
        <v>858.95</v>
      </c>
      <c r="E26" s="541" t="str">
        <f>report_47_flagged!D19</f>
        <v>McLane-PARFLUX-Mark78H-21 ; controller sn ML11640-01, frame sn 2241, motor sn 11649-01, cup set D250x21</v>
      </c>
      <c r="H26" s="541">
        <f>report_47_flagged!C19</f>
        <v>14</v>
      </c>
      <c r="I26" s="541">
        <f>report_47_flagged!F19</f>
        <v>1</v>
      </c>
      <c r="J26" s="552">
        <f>report_47_flagged!AC19</f>
        <v>43797</v>
      </c>
      <c r="K26" s="552">
        <f>report_47_flagged!AD19</f>
        <v>43816</v>
      </c>
      <c r="L26" s="552">
        <f>report_47_flagged!AE19</f>
        <v>43806.5</v>
      </c>
      <c r="M26" s="552">
        <f>report_47_flagged!AF19</f>
        <v>19</v>
      </c>
      <c r="N26" s="540">
        <f>report_47_flagged!H19</f>
        <v>206.19398496240601</v>
      </c>
      <c r="O26" s="540">
        <f t="shared" si="0"/>
        <v>0.12371639097744359</v>
      </c>
      <c r="P26" s="540">
        <f>report_47_flagged!J19</f>
        <v>3</v>
      </c>
      <c r="Q26" s="553">
        <f>report_47_flagged!BA19</f>
        <v>38.979999999999997</v>
      </c>
      <c r="R26" s="553">
        <f t="shared" si="1"/>
        <v>0.85755999999999988</v>
      </c>
      <c r="S26" s="554">
        <f>report_47_flagged!BB19</f>
        <v>1</v>
      </c>
      <c r="T26" s="553">
        <f>report_47_flagged!BC19</f>
        <v>8.1660000000000004</v>
      </c>
      <c r="U26" s="553">
        <f t="shared" si="2"/>
        <v>0.23681400000000002</v>
      </c>
      <c r="V26" s="554">
        <f>report_47_flagged!BD19</f>
        <v>1</v>
      </c>
      <c r="W26" s="555">
        <f>(report_47_flagged!N19/100)*report_47_flagged!H19</f>
        <v>26.162294378402535</v>
      </c>
      <c r="X26" s="555">
        <f t="shared" si="3"/>
        <v>0.54963238443770601</v>
      </c>
      <c r="Y26" s="551">
        <f>report_47_flagged!AP19</f>
        <v>3</v>
      </c>
      <c r="Z26" s="555">
        <f>(report_47_flagged!P19/100)*report_47_flagged!H19</f>
        <v>1.2098367559291365</v>
      </c>
      <c r="AA26" s="555">
        <f t="shared" si="4"/>
        <v>4.5979527173854499E-2</v>
      </c>
      <c r="AB26" s="551">
        <f>report_47_flagged!AR19</f>
        <v>3</v>
      </c>
      <c r="AC26" s="555">
        <f>(report_47_flagged!R19/100)*report_47_flagged!H19</f>
        <v>8.3143327586799263</v>
      </c>
      <c r="AD26" s="555">
        <f t="shared" si="5"/>
        <v>0.23285476039070696</v>
      </c>
      <c r="AE26" s="551">
        <f>report_47_flagged!AT19</f>
        <v>3</v>
      </c>
      <c r="AF26" s="555">
        <f>(report_47_flagged!L19/100)*report_47_flagged!H19</f>
        <v>17.847961619722611</v>
      </c>
      <c r="AG26" s="555">
        <f t="shared" si="6"/>
        <v>0.33928031459352964</v>
      </c>
      <c r="AH26" s="551">
        <f>report_47_flagged!AV19</f>
        <v>3</v>
      </c>
      <c r="AI26" s="555">
        <f>(report_47_flagged!T19/100)*report_47_flagged!H19</f>
        <v>10.904268307655833</v>
      </c>
      <c r="AJ26" s="555">
        <f t="shared" si="7"/>
        <v>0.53434920206957948</v>
      </c>
      <c r="AK26" s="551">
        <f>report_47_flagged!AX19</f>
        <v>3</v>
      </c>
    </row>
    <row r="27" spans="1:37" ht="15.5">
      <c r="A27">
        <f>report_47_flagged!A20</f>
        <v>2019</v>
      </c>
      <c r="B27" t="str">
        <f>LEFT(report_47_flagged!B20,2)</f>
        <v>47</v>
      </c>
      <c r="C27">
        <f>report_47_flagged!E20</f>
        <v>1000</v>
      </c>
      <c r="D27" s="112">
        <f>report_47_flagged!AM20</f>
        <v>858.95</v>
      </c>
      <c r="E27" t="str">
        <f>report_47_flagged!D20</f>
        <v>McLane-PARFLUX-Mark78H-21 ; controller sn ML11640-01, frame sn 2241, motor sn 11649-01, cup set D250x21</v>
      </c>
      <c r="H27">
        <f>report_47_flagged!C20</f>
        <v>15</v>
      </c>
      <c r="I27">
        <f>report_47_flagged!F20</f>
        <v>1</v>
      </c>
      <c r="J27" s="67">
        <f>report_47_flagged!AC20</f>
        <v>43816</v>
      </c>
      <c r="K27" s="67">
        <f>report_47_flagged!AD20</f>
        <v>43835</v>
      </c>
      <c r="L27" s="67">
        <f>report_47_flagged!AE20</f>
        <v>43825.5</v>
      </c>
      <c r="M27" s="67">
        <f>report_47_flagged!AF20</f>
        <v>19</v>
      </c>
      <c r="N27" s="105">
        <f>report_47_flagged!H20</f>
        <v>91.175939849624072</v>
      </c>
      <c r="O27" s="105">
        <f t="shared" si="0"/>
        <v>5.4705563909774435E-2</v>
      </c>
      <c r="P27" s="105">
        <f>report_47_flagged!J20</f>
        <v>1</v>
      </c>
      <c r="Q27" s="265">
        <f>report_47_flagged!BA20</f>
        <v>39.25</v>
      </c>
      <c r="R27" s="265">
        <f t="shared" si="1"/>
        <v>0.86349999999999993</v>
      </c>
      <c r="S27" s="266">
        <f>report_47_flagged!BB20</f>
        <v>1</v>
      </c>
      <c r="T27" s="265">
        <f>report_47_flagged!BC20</f>
        <v>8.4149999999999991</v>
      </c>
      <c r="U27" s="265">
        <f t="shared" si="2"/>
        <v>0.24403499999999997</v>
      </c>
      <c r="V27" s="266">
        <f>report_47_flagged!BD20</f>
        <v>1</v>
      </c>
      <c r="W27" s="116">
        <f>(report_47_flagged!N20/100)*report_47_flagged!H20</f>
        <v>11.068114225803463</v>
      </c>
      <c r="X27" s="116">
        <f t="shared" si="3"/>
        <v>0.23252524893914531</v>
      </c>
      <c r="Y27" s="112">
        <f>report_47_flagged!AP20</f>
        <v>1</v>
      </c>
      <c r="Z27" s="116">
        <f>(report_47_flagged!P20/100)*report_47_flagged!H20</f>
        <v>0.59256690635537745</v>
      </c>
      <c r="AA27" s="116">
        <f t="shared" si="4"/>
        <v>2.252034916245332E-2</v>
      </c>
      <c r="AB27" s="112">
        <f>report_47_flagged!AR20</f>
        <v>1</v>
      </c>
      <c r="AC27" s="116">
        <f>(report_47_flagged!R20/100)*report_47_flagged!H20</f>
        <v>3.8416103697509913</v>
      </c>
      <c r="AD27" s="116">
        <f t="shared" si="5"/>
        <v>0.10758978358533351</v>
      </c>
      <c r="AE27" s="112">
        <f>report_47_flagged!AT20</f>
        <v>1</v>
      </c>
      <c r="AF27" s="116">
        <f>(report_47_flagged!L20/100)*report_47_flagged!H20</f>
        <v>7.2265038560524717</v>
      </c>
      <c r="AG27" s="116">
        <f t="shared" si="6"/>
        <v>0.13737201782098762</v>
      </c>
      <c r="AH27" s="112">
        <f>report_47_flagged!AV20</f>
        <v>1</v>
      </c>
      <c r="AI27" s="116">
        <f>(report_47_flagged!T20/100)*report_47_flagged!H20</f>
        <v>6.9766248782583897</v>
      </c>
      <c r="AJ27" s="116">
        <f t="shared" si="7"/>
        <v>0.34188024649198789</v>
      </c>
      <c r="AK27" s="112">
        <f>report_47_flagged!AX20</f>
        <v>1</v>
      </c>
    </row>
    <row r="28" spans="1:37" ht="15.5">
      <c r="A28">
        <f>report_47_flagged!A21</f>
        <v>2019</v>
      </c>
      <c r="B28" t="str">
        <f>LEFT(report_47_flagged!B21,2)</f>
        <v>47</v>
      </c>
      <c r="C28">
        <f>report_47_flagged!E21</f>
        <v>1000</v>
      </c>
      <c r="D28" s="112">
        <f>report_47_flagged!AM21</f>
        <v>858.95</v>
      </c>
      <c r="E28" t="str">
        <f>report_47_flagged!D21</f>
        <v>McLane-PARFLUX-Mark78H-21 ; controller sn ML11640-01, frame sn 2241, motor sn 11649-01, cup set D250x21</v>
      </c>
      <c r="H28">
        <f>report_47_flagged!C21</f>
        <v>16</v>
      </c>
      <c r="I28">
        <f>report_47_flagged!F21</f>
        <v>1</v>
      </c>
      <c r="J28" s="67">
        <f>report_47_flagged!AC21</f>
        <v>43835</v>
      </c>
      <c r="K28" s="67">
        <f>report_47_flagged!AD21</f>
        <v>43854</v>
      </c>
      <c r="L28" s="67">
        <f>report_47_flagged!AE21</f>
        <v>43844.5</v>
      </c>
      <c r="M28" s="67">
        <f>report_47_flagged!AF21</f>
        <v>19</v>
      </c>
      <c r="N28" s="105">
        <f>report_47_flagged!H21</f>
        <v>41.118796992481201</v>
      </c>
      <c r="O28" s="105">
        <f t="shared" si="0"/>
        <v>2.4671278195488717E-2</v>
      </c>
      <c r="P28" s="105">
        <f>report_47_flagged!J21</f>
        <v>1</v>
      </c>
      <c r="Q28" s="265">
        <f>report_47_flagged!BA21</f>
        <v>38.270000000000003</v>
      </c>
      <c r="R28" s="265">
        <f t="shared" si="1"/>
        <v>0.84194000000000002</v>
      </c>
      <c r="S28" s="266">
        <f>report_47_flagged!BB21</f>
        <v>1</v>
      </c>
      <c r="T28" s="265">
        <f>report_47_flagged!BC21</f>
        <v>8.2210000000000001</v>
      </c>
      <c r="U28" s="265">
        <f t="shared" si="2"/>
        <v>0.23840900000000001</v>
      </c>
      <c r="V28" s="266">
        <f>report_47_flagged!BD21</f>
        <v>2</v>
      </c>
      <c r="W28" s="116">
        <f>(report_47_flagged!N21/100)*report_47_flagged!H21</f>
        <v>10.686440618605832</v>
      </c>
      <c r="X28" s="116">
        <f t="shared" si="3"/>
        <v>0.22450683236731164</v>
      </c>
      <c r="Y28" s="112">
        <f>report_47_flagged!AP21</f>
        <v>3</v>
      </c>
      <c r="Z28" s="116">
        <f>(report_47_flagged!P21/100)*report_47_flagged!H21</f>
        <v>0.64037191782021574</v>
      </c>
      <c r="AA28" s="116">
        <f t="shared" si="4"/>
        <v>2.433716602879649E-2</v>
      </c>
      <c r="AB28" s="112">
        <f>report_47_flagged!AR21</f>
        <v>1</v>
      </c>
      <c r="AC28" s="116">
        <f>(report_47_flagged!R21/100)*report_47_flagged!H21</f>
        <v>8.2493978197810538</v>
      </c>
      <c r="AD28" s="116">
        <f t="shared" si="5"/>
        <v>0.23103616471055488</v>
      </c>
      <c r="AE28" s="112">
        <f>report_47_flagged!AT21</f>
        <v>3</v>
      </c>
      <c r="AF28" s="116">
        <f>(report_47_flagged!L21/100)*report_47_flagged!H21</f>
        <v>2.4370427988247787</v>
      </c>
      <c r="AG28" s="116">
        <f t="shared" si="6"/>
        <v>4.6326895198467909E-2</v>
      </c>
      <c r="AH28" s="112">
        <f>report_47_flagged!AV21</f>
        <v>1</v>
      </c>
      <c r="AI28" s="116">
        <f>(report_47_flagged!T21/100)*report_47_flagged!H21</f>
        <v>1.6093979156155045</v>
      </c>
      <c r="AJ28" s="116">
        <f t="shared" si="7"/>
        <v>7.8866409717541636E-2</v>
      </c>
      <c r="AK28" s="112">
        <f>report_47_flagged!AX21</f>
        <v>1</v>
      </c>
    </row>
    <row r="29" spans="1:37" ht="15.5">
      <c r="A29">
        <f>report_47_flagged!A22</f>
        <v>2019</v>
      </c>
      <c r="B29" t="str">
        <f>LEFT(report_47_flagged!B22,2)</f>
        <v>47</v>
      </c>
      <c r="C29">
        <f>report_47_flagged!E22</f>
        <v>1000</v>
      </c>
      <c r="D29" s="112">
        <f>report_47_flagged!AM22</f>
        <v>858.95</v>
      </c>
      <c r="E29" t="str">
        <f>report_47_flagged!D22</f>
        <v>McLane-PARFLUX-Mark78H-21 ; controller sn ML11640-01, frame sn 2241, motor sn 11649-01, cup set D250x21</v>
      </c>
      <c r="H29">
        <f>report_47_flagged!C22</f>
        <v>17</v>
      </c>
      <c r="I29">
        <f>report_47_flagged!F22</f>
        <v>1</v>
      </c>
      <c r="J29" s="67">
        <f>report_47_flagged!AC22</f>
        <v>43854</v>
      </c>
      <c r="K29" s="67">
        <f>report_47_flagged!AD22</f>
        <v>43873</v>
      </c>
      <c r="L29" s="67">
        <f>report_47_flagged!AE22</f>
        <v>43863.5</v>
      </c>
      <c r="M29" s="67">
        <f>report_47_flagged!AF22</f>
        <v>19</v>
      </c>
      <c r="N29" s="105">
        <f>report_47_flagged!H22</f>
        <v>24.657142857142855</v>
      </c>
      <c r="O29" s="105">
        <f t="shared" si="0"/>
        <v>1.4794285714285711E-2</v>
      </c>
      <c r="P29" s="105">
        <f>report_47_flagged!J22</f>
        <v>1</v>
      </c>
      <c r="Q29" s="265">
        <f>report_47_flagged!BA22</f>
        <v>38.770000000000003</v>
      </c>
      <c r="R29" s="265">
        <f t="shared" si="1"/>
        <v>0.85294000000000003</v>
      </c>
      <c r="S29" s="266">
        <f>report_47_flagged!BB22</f>
        <v>1</v>
      </c>
      <c r="T29" s="265">
        <f>report_47_flagged!BC22</f>
        <v>8.4359999999999999</v>
      </c>
      <c r="U29" s="265">
        <f t="shared" si="2"/>
        <v>0.244644</v>
      </c>
      <c r="V29" s="266">
        <f>report_47_flagged!BD22</f>
        <v>1</v>
      </c>
      <c r="W29" s="116">
        <f>(report_47_flagged!N22/100)*report_47_flagged!H22</f>
        <v>4.6862304120744973</v>
      </c>
      <c r="X29" s="116">
        <f t="shared" si="3"/>
        <v>9.8450998148667396E-2</v>
      </c>
      <c r="Y29" s="112">
        <f>report_47_flagged!AP22</f>
        <v>1</v>
      </c>
      <c r="Z29" s="116">
        <f>(report_47_flagged!P22/100)*report_47_flagged!H22</f>
        <v>0.47128321535246709</v>
      </c>
      <c r="AA29" s="116">
        <f t="shared" si="4"/>
        <v>1.7910994438450935E-2</v>
      </c>
      <c r="AB29" s="112">
        <f>report_47_flagged!AR22</f>
        <v>1</v>
      </c>
      <c r="AC29" s="116">
        <f>(report_47_flagged!R22/100)*report_47_flagged!H22</f>
        <v>2.9904293834925846</v>
      </c>
      <c r="AD29" s="116">
        <f t="shared" si="5"/>
        <v>8.3751244720334378E-2</v>
      </c>
      <c r="AE29" s="112">
        <f>report_47_flagged!AT22</f>
        <v>1</v>
      </c>
      <c r="AF29" s="116">
        <f>(report_47_flagged!L22/100)*report_47_flagged!H22</f>
        <v>1.6958010285819127</v>
      </c>
      <c r="AG29" s="116">
        <f t="shared" si="6"/>
        <v>3.2236281023235669E-2</v>
      </c>
      <c r="AH29" s="112">
        <f>report_47_flagged!AV22</f>
        <v>1</v>
      </c>
      <c r="AI29" s="116">
        <f>(report_47_flagged!T22/100)*report_47_flagged!H22</f>
        <v>0.59931520635337254</v>
      </c>
      <c r="AJ29" s="116">
        <f t="shared" si="7"/>
        <v>2.9368646594861256E-2</v>
      </c>
      <c r="AK29" s="112">
        <f>report_47_flagged!AX22</f>
        <v>1</v>
      </c>
    </row>
    <row r="30" spans="1:37" ht="15.5">
      <c r="A30">
        <f>report_47_flagged!A23</f>
        <v>2019</v>
      </c>
      <c r="B30" t="str">
        <f>LEFT(report_47_flagged!B23,2)</f>
        <v>47</v>
      </c>
      <c r="C30">
        <f>report_47_flagged!E23</f>
        <v>1000</v>
      </c>
      <c r="D30" s="112">
        <f>report_47_flagged!AM23</f>
        <v>858.95</v>
      </c>
      <c r="E30" t="str">
        <f>report_47_flagged!D23</f>
        <v>McLane-PARFLUX-Mark78H-21 ; controller sn ML11640-01, frame sn 2241, motor sn 11649-01, cup set D250x21</v>
      </c>
      <c r="H30">
        <f>report_47_flagged!C23</f>
        <v>18</v>
      </c>
      <c r="I30">
        <f>report_47_flagged!F23</f>
        <v>1</v>
      </c>
      <c r="J30" s="67">
        <f>report_47_flagged!AC23</f>
        <v>43873</v>
      </c>
      <c r="K30" s="67">
        <f>report_47_flagged!AD23</f>
        <v>43892</v>
      </c>
      <c r="L30" s="67">
        <f>report_47_flagged!AE23</f>
        <v>43882.5</v>
      </c>
      <c r="M30" s="67">
        <f>report_47_flagged!AF23</f>
        <v>19</v>
      </c>
      <c r="N30" s="105">
        <f>report_47_flagged!H23</f>
        <v>26.350375939849631</v>
      </c>
      <c r="O30" s="105">
        <f t="shared" si="0"/>
        <v>1.5810225563909777E-2</v>
      </c>
      <c r="P30" s="105">
        <f>report_47_flagged!J23</f>
        <v>1</v>
      </c>
      <c r="Q30" s="265">
        <f>report_47_flagged!BA23</f>
        <v>37.840000000000003</v>
      </c>
      <c r="R30" s="265">
        <f t="shared" si="1"/>
        <v>0.83248</v>
      </c>
      <c r="S30" s="266">
        <f>report_47_flagged!BB23</f>
        <v>1</v>
      </c>
      <c r="T30" s="265">
        <f>report_47_flagged!BC23</f>
        <v>8.3320000000000007</v>
      </c>
      <c r="U30" s="265">
        <f t="shared" si="2"/>
        <v>0.24162800000000004</v>
      </c>
      <c r="V30" s="266">
        <f>report_47_flagged!BD23</f>
        <v>1</v>
      </c>
      <c r="W30" s="116">
        <f>(report_47_flagged!N23/100)*report_47_flagged!H23</f>
        <v>5.7840037151996375</v>
      </c>
      <c r="X30" s="116">
        <f t="shared" si="3"/>
        <v>0.12151364508023094</v>
      </c>
      <c r="Y30" s="112">
        <f>report_47_flagged!AP23</f>
        <v>1</v>
      </c>
      <c r="Z30" s="116">
        <f>(report_47_flagged!P23/100)*report_47_flagged!H23</f>
        <v>0.64876055140961397</v>
      </c>
      <c r="AA30" s="116">
        <f t="shared" si="4"/>
        <v>2.4655973838350127E-2</v>
      </c>
      <c r="AB30" s="112">
        <f>report_47_flagged!AR23</f>
        <v>1</v>
      </c>
      <c r="AC30" s="116">
        <f>(report_47_flagged!R23/100)*report_47_flagged!H23</f>
        <v>4.156564768901406</v>
      </c>
      <c r="AD30" s="116">
        <f t="shared" si="5"/>
        <v>0.11641053123602207</v>
      </c>
      <c r="AE30" s="112">
        <f>report_47_flagged!AT23</f>
        <v>1</v>
      </c>
      <c r="AF30" s="116">
        <f>(report_47_flagged!L23/100)*report_47_flagged!H23</f>
        <v>1.6274389462982299</v>
      </c>
      <c r="AG30" s="116">
        <f t="shared" si="6"/>
        <v>3.0936753980447398E-2</v>
      </c>
      <c r="AH30" s="112">
        <f>report_47_flagged!AV23</f>
        <v>1</v>
      </c>
      <c r="AI30" s="116">
        <f>(report_47_flagged!T23/100)*report_47_flagged!H23</f>
        <v>0.63202629408185707</v>
      </c>
      <c r="AJ30" s="116">
        <f t="shared" si="7"/>
        <v>3.0971610052232503E-2</v>
      </c>
      <c r="AK30" s="112">
        <f>report_47_flagged!AX23</f>
        <v>1</v>
      </c>
    </row>
    <row r="31" spans="1:37" ht="15.5">
      <c r="A31">
        <f>report_47_flagged!A24</f>
        <v>2019</v>
      </c>
      <c r="B31" t="str">
        <f>LEFT(report_47_flagged!B24,2)</f>
        <v>47</v>
      </c>
      <c r="C31">
        <f>report_47_flagged!E24</f>
        <v>1000</v>
      </c>
      <c r="D31" s="112">
        <f>report_47_flagged!AM24</f>
        <v>858.95</v>
      </c>
      <c r="E31" t="str">
        <f>report_47_flagged!D24</f>
        <v>McLane-PARFLUX-Mark78H-21 ; controller sn ML11640-01, frame sn 2241, motor sn 11649-01, cup set D250x21</v>
      </c>
      <c r="H31">
        <f>report_47_flagged!C24</f>
        <v>19</v>
      </c>
      <c r="I31">
        <f>report_47_flagged!F24</f>
        <v>1</v>
      </c>
      <c r="J31" s="67">
        <f>report_47_flagged!AC24</f>
        <v>43892</v>
      </c>
      <c r="K31" s="67">
        <f>report_47_flagged!AD24</f>
        <v>43911</v>
      </c>
      <c r="L31" s="67">
        <f>report_47_flagged!AE24</f>
        <v>43901.5</v>
      </c>
      <c r="M31" s="67">
        <f>report_47_flagged!AF24</f>
        <v>19</v>
      </c>
      <c r="N31" s="105">
        <f>report_47_flagged!H24</f>
        <v>34.114285714285714</v>
      </c>
      <c r="O31" s="105">
        <f t="shared" si="0"/>
        <v>2.0468571428571426E-2</v>
      </c>
      <c r="P31" s="105">
        <f>report_47_flagged!J24</f>
        <v>1</v>
      </c>
      <c r="Q31" s="265">
        <f>report_47_flagged!BA24</f>
        <v>37.85</v>
      </c>
      <c r="R31" s="265">
        <f t="shared" si="1"/>
        <v>0.8327</v>
      </c>
      <c r="S31" s="266">
        <f>report_47_flagged!BB24</f>
        <v>1</v>
      </c>
      <c r="T31" s="265">
        <f>report_47_flagged!BC24</f>
        <v>8.2759999999999998</v>
      </c>
      <c r="U31" s="265">
        <f t="shared" si="2"/>
        <v>0.240004</v>
      </c>
      <c r="V31" s="266">
        <f>report_47_flagged!BD24</f>
        <v>1</v>
      </c>
      <c r="W31" s="116">
        <f>(report_47_flagged!N24/100)*report_47_flagged!H24</f>
        <v>7.0117360578264503</v>
      </c>
      <c r="X31" s="116">
        <f t="shared" si="3"/>
        <v>0.14730654554871306</v>
      </c>
      <c r="Y31" s="112">
        <f>report_47_flagged!AP24</f>
        <v>1</v>
      </c>
      <c r="Z31" s="116">
        <f>(report_47_flagged!P24/100)*report_47_flagged!H24</f>
        <v>0.77902784115927559</v>
      </c>
      <c r="AA31" s="116">
        <f t="shared" si="4"/>
        <v>2.9606747865965941E-2</v>
      </c>
      <c r="AB31" s="112">
        <f>report_47_flagged!AR24</f>
        <v>1</v>
      </c>
      <c r="AC31" s="116">
        <f>(report_47_flagged!R24/100)*report_47_flagged!H24</f>
        <v>4.6497660375108341</v>
      </c>
      <c r="AD31" s="116">
        <f t="shared" si="5"/>
        <v>0.13022333697278393</v>
      </c>
      <c r="AE31" s="112">
        <f>report_47_flagged!AT24</f>
        <v>1</v>
      </c>
      <c r="AF31" s="116">
        <f>(report_47_flagged!L24/100)*report_47_flagged!H24</f>
        <v>2.3619700203156166</v>
      </c>
      <c r="AG31" s="116">
        <f t="shared" si="6"/>
        <v>4.4899801368220485E-2</v>
      </c>
      <c r="AH31" s="112">
        <f>report_47_flagged!AV24</f>
        <v>1</v>
      </c>
      <c r="AI31" s="116">
        <f>(report_47_flagged!T24/100)*report_47_flagged!H24</f>
        <v>0.53530719978103602</v>
      </c>
      <c r="AJ31" s="116">
        <f t="shared" si="7"/>
        <v>2.6232019150177147E-2</v>
      </c>
      <c r="AK31" s="112">
        <f>report_47_flagged!AX24</f>
        <v>1</v>
      </c>
    </row>
    <row r="32" spans="1:37" ht="15.5">
      <c r="A32">
        <f>report_47_flagged!A25</f>
        <v>2019</v>
      </c>
      <c r="B32" t="str">
        <f>LEFT(report_47_flagged!B25,2)</f>
        <v>47</v>
      </c>
      <c r="C32">
        <f>report_47_flagged!E25</f>
        <v>1000</v>
      </c>
      <c r="D32" s="112">
        <f>report_47_flagged!AM25</f>
        <v>858.95</v>
      </c>
      <c r="E32" t="str">
        <f>report_47_flagged!D25</f>
        <v>McLane-PARFLUX-Mark78H-21 ; controller sn ML11640-01, frame sn 2241, motor sn 11649-01, cup set D250x21</v>
      </c>
      <c r="H32">
        <f>report_47_flagged!C25</f>
        <v>20</v>
      </c>
      <c r="I32">
        <f>report_47_flagged!F25</f>
        <v>1</v>
      </c>
      <c r="J32" s="67">
        <f>report_47_flagged!AC25</f>
        <v>43911</v>
      </c>
      <c r="K32" s="67">
        <f>report_47_flagged!AD25</f>
        <v>43930</v>
      </c>
      <c r="L32" s="67">
        <f>report_47_flagged!AE25</f>
        <v>43920.5</v>
      </c>
      <c r="M32" s="67">
        <f>report_47_flagged!AF25</f>
        <v>19</v>
      </c>
      <c r="N32" s="105">
        <f>report_47_flagged!H25</f>
        <v>25.099248120300754</v>
      </c>
      <c r="O32" s="105">
        <f t="shared" si="0"/>
        <v>1.505954887218045E-2</v>
      </c>
      <c r="P32" s="105">
        <f>report_47_flagged!J25</f>
        <v>2</v>
      </c>
      <c r="Q32" s="265">
        <f>report_47_flagged!BA25</f>
        <v>37.33</v>
      </c>
      <c r="R32" s="265">
        <f t="shared" si="1"/>
        <v>0.82125999999999988</v>
      </c>
      <c r="S32" s="266">
        <f>report_47_flagged!BB25</f>
        <v>1</v>
      </c>
      <c r="T32" s="265">
        <f>report_47_flagged!BC25</f>
        <v>8.2949999999999999</v>
      </c>
      <c r="U32" s="265">
        <f t="shared" si="2"/>
        <v>0.24055500000000002</v>
      </c>
      <c r="V32" s="266">
        <f>report_47_flagged!BD25</f>
        <v>1</v>
      </c>
      <c r="W32" s="116">
        <f>(report_47_flagged!N25/100)*report_47_flagged!H25</f>
        <v>5.1664013748168953</v>
      </c>
      <c r="X32" s="116">
        <f t="shared" si="3"/>
        <v>0.10853870327776043</v>
      </c>
      <c r="Y32" s="112">
        <f>report_47_flagged!AP25</f>
        <v>2</v>
      </c>
      <c r="Z32" s="116">
        <f>(report_47_flagged!P25/100)*report_47_flagged!H25</f>
        <v>0.6157109037843862</v>
      </c>
      <c r="AA32" s="116">
        <f t="shared" si="4"/>
        <v>2.3399930687385152E-2</v>
      </c>
      <c r="AB32" s="112">
        <f>report_47_flagged!AR25</f>
        <v>2</v>
      </c>
      <c r="AC32" s="116">
        <f>(report_47_flagged!R25/100)*report_47_flagged!H25</f>
        <v>3.5880172083556294</v>
      </c>
      <c r="AD32" s="116">
        <f t="shared" si="5"/>
        <v>0.10048754501161369</v>
      </c>
      <c r="AE32" s="112">
        <f>report_47_flagged!AT25</f>
        <v>2</v>
      </c>
      <c r="AF32" s="116">
        <f>(report_47_flagged!L25/100)*report_47_flagged!H25</f>
        <v>1.5783841664612657</v>
      </c>
      <c r="AG32" s="116">
        <f t="shared" si="6"/>
        <v>3.000424854985469E-2</v>
      </c>
      <c r="AH32" s="112">
        <f>report_47_flagged!AV25</f>
        <v>2</v>
      </c>
      <c r="AI32" s="116">
        <f>(report_47_flagged!T25/100)*report_47_flagged!H25</f>
        <v>0.18954109231629038</v>
      </c>
      <c r="AJ32" s="116">
        <f t="shared" si="7"/>
        <v>9.2882097708011525E-3</v>
      </c>
      <c r="AK32" s="112">
        <f>report_47_flagged!AX25</f>
        <v>2</v>
      </c>
    </row>
    <row r="33" spans="1:37" ht="15.5">
      <c r="A33">
        <f>report_47_flagged!A26</f>
        <v>2019</v>
      </c>
      <c r="B33" t="str">
        <f>LEFT(report_47_flagged!B26,2)</f>
        <v>47</v>
      </c>
      <c r="C33">
        <f>report_47_flagged!E26</f>
        <v>1000</v>
      </c>
      <c r="D33" s="112">
        <f>report_47_flagged!AM26</f>
        <v>858.95</v>
      </c>
      <c r="E33" t="str">
        <f>report_47_flagged!D26</f>
        <v>McLane-PARFLUX-Mark78H-21 ; controller sn ML11640-01, frame sn 2241, motor sn 11649-01, cup set D250x21</v>
      </c>
      <c r="H33">
        <f>report_47_flagged!C26</f>
        <v>21</v>
      </c>
      <c r="I33">
        <f>report_47_flagged!F26</f>
        <v>1</v>
      </c>
      <c r="J33" s="67">
        <f>report_47_flagged!AC26</f>
        <v>43930</v>
      </c>
      <c r="K33" s="67">
        <f>report_47_flagged!AD26</f>
        <v>43949</v>
      </c>
      <c r="L33" s="67">
        <f>report_47_flagged!AE26</f>
        <v>43939.5</v>
      </c>
      <c r="M33" s="67">
        <f>report_47_flagged!AF26</f>
        <v>19</v>
      </c>
      <c r="N33" s="105">
        <f>report_47_flagged!H26</f>
        <v>43.771428571428579</v>
      </c>
      <c r="O33" s="105">
        <f t="shared" si="0"/>
        <v>2.6262857142857147E-2</v>
      </c>
      <c r="P33" s="105">
        <f>report_47_flagged!J26</f>
        <v>1</v>
      </c>
      <c r="Q33" s="265">
        <f>report_47_flagged!BA26</f>
        <v>37.64</v>
      </c>
      <c r="R33" s="265">
        <f t="shared" si="1"/>
        <v>0.82807999999999993</v>
      </c>
      <c r="S33" s="266">
        <f>report_47_flagged!BB26</f>
        <v>1</v>
      </c>
      <c r="T33" s="265">
        <f>report_47_flagged!BC26</f>
        <v>8.1739999999999995</v>
      </c>
      <c r="U33" s="265">
        <f t="shared" si="2"/>
        <v>0.23704600000000001</v>
      </c>
      <c r="V33" s="266">
        <f>report_47_flagged!BD26</f>
        <v>1</v>
      </c>
      <c r="W33" s="116">
        <f>(report_47_flagged!N26/100)*report_47_flagged!H26</f>
        <v>8.2388597106933599</v>
      </c>
      <c r="X33" s="116">
        <f t="shared" si="3"/>
        <v>0.17308665831596073</v>
      </c>
      <c r="Y33" s="112">
        <f>report_47_flagged!AP26</f>
        <v>1</v>
      </c>
      <c r="Z33" s="116">
        <f>(report_47_flagged!P26/100)*report_47_flagged!H26</f>
        <v>0.85901881490434928</v>
      </c>
      <c r="AA33" s="116">
        <f t="shared" si="4"/>
        <v>3.2646783749278221E-2</v>
      </c>
      <c r="AB33" s="112">
        <f>report_47_flagged!AR26</f>
        <v>1</v>
      </c>
      <c r="AC33" s="116">
        <f>(report_47_flagged!R26/100)*report_47_flagged!H26</f>
        <v>4.8059417350757041</v>
      </c>
      <c r="AD33" s="116">
        <f t="shared" si="5"/>
        <v>0.13459726037600037</v>
      </c>
      <c r="AE33" s="112">
        <f>report_47_flagged!AT26</f>
        <v>1</v>
      </c>
      <c r="AF33" s="116">
        <f>(report_47_flagged!L26/100)*report_47_flagged!H26</f>
        <v>3.4329179756176562</v>
      </c>
      <c r="AG33" s="116">
        <f t="shared" si="6"/>
        <v>6.5257955813524615E-2</v>
      </c>
      <c r="AH33" s="112">
        <f>report_47_flagged!AV26</f>
        <v>1</v>
      </c>
      <c r="AI33" s="116">
        <f>(report_47_flagged!T26/100)*report_47_flagged!H26</f>
        <v>0.44662220634272498</v>
      </c>
      <c r="AJ33" s="116">
        <f t="shared" si="7"/>
        <v>2.1886128702302166E-2</v>
      </c>
      <c r="AK33" s="112">
        <f>report_47_flagged!AX26</f>
        <v>1</v>
      </c>
    </row>
    <row r="34" spans="1:37" ht="15.5">
      <c r="A34">
        <f>report_47_flagged!A27</f>
        <v>2019</v>
      </c>
      <c r="B34" t="str">
        <f>LEFT(report_47_flagged!B27,2)</f>
        <v>47</v>
      </c>
      <c r="C34">
        <f>report_47_flagged!E27</f>
        <v>2000</v>
      </c>
      <c r="D34" s="112">
        <f>report_47_flagged!AM27</f>
        <v>1887.9</v>
      </c>
      <c r="E34" t="str">
        <f>report_47_flagged!D27</f>
        <v>McLane-PARFLUX-Mark78H-21 ; controller sn ML11741-01, frame sn 14182-01, motor sn 14182-01, cup set E250x21</v>
      </c>
      <c r="H34">
        <f>report_47_flagged!C27</f>
        <v>1</v>
      </c>
      <c r="I34">
        <f>report_47_flagged!F27</f>
        <v>1</v>
      </c>
      <c r="J34" s="67">
        <f>report_47_flagged!AC27</f>
        <v>43550</v>
      </c>
      <c r="K34" s="67">
        <f>report_47_flagged!AD27</f>
        <v>43569</v>
      </c>
      <c r="L34" s="67">
        <f>report_47_flagged!AE27</f>
        <v>43559.5</v>
      </c>
      <c r="M34" s="67">
        <f>report_47_flagged!AF27</f>
        <v>19</v>
      </c>
      <c r="N34" s="105">
        <f>report_47_flagged!H27</f>
        <v>77.547368421052639</v>
      </c>
      <c r="O34" s="105">
        <f t="shared" ref="O34:O56" si="8">N34*$N$5</f>
        <v>4.652842105263158E-2</v>
      </c>
      <c r="P34" s="105">
        <f>report_47_flagged!J27</f>
        <v>1</v>
      </c>
      <c r="Q34" s="265">
        <f>report_47_flagged!BA27</f>
        <v>39.31</v>
      </c>
      <c r="R34" s="265">
        <f t="shared" ref="R34:R56" si="9">Q34*$Q$5</f>
        <v>0.86482000000000003</v>
      </c>
      <c r="S34" s="266">
        <f>report_47_flagged!BB27</f>
        <v>1</v>
      </c>
      <c r="T34" s="265">
        <f>report_47_flagged!BC27</f>
        <v>8.59</v>
      </c>
      <c r="U34" s="265">
        <f t="shared" ref="U34:U56" si="10">T34*$T$5</f>
        <v>0.24911</v>
      </c>
      <c r="V34" s="266">
        <f>report_47_flagged!BD27</f>
        <v>1</v>
      </c>
      <c r="W34" s="116">
        <f>(report_47_flagged!N27/100)*report_47_flagged!H27</f>
        <v>11.010900830820988</v>
      </c>
      <c r="X34" s="116">
        <f t="shared" ref="X34:X56" si="11">W34*SQRT(($W$5)^2+($N$5)^2)</f>
        <v>0.23132327734402583</v>
      </c>
      <c r="Y34" s="112">
        <f>report_47_flagged!AP27</f>
        <v>1</v>
      </c>
      <c r="Z34" s="116">
        <f>(report_47_flagged!P27/100)*report_47_flagged!H27</f>
        <v>0.72221365214649003</v>
      </c>
      <c r="AA34" s="116">
        <f t="shared" ref="AA34:AA56" si="12">Z34*SQRT(($Z$5)^2+($N$5)^2)</f>
        <v>2.7447539580408704E-2</v>
      </c>
      <c r="AB34" s="112">
        <f>report_47_flagged!AR27</f>
        <v>1</v>
      </c>
      <c r="AC34" s="116">
        <f>(report_47_flagged!R27/100)*report_47_flagged!H27</f>
        <v>4.9271281485330034</v>
      </c>
      <c r="AD34" s="116">
        <f t="shared" ref="AD34:AD56" si="13">AC34*SQRT(($AC$5)^2+($N$5)^2)</f>
        <v>0.13799125891890796</v>
      </c>
      <c r="AE34" s="112">
        <f>report_47_flagged!AT27</f>
        <v>1</v>
      </c>
      <c r="AF34" s="116">
        <f>(report_47_flagged!L27/100)*report_47_flagged!H27</f>
        <v>6.083772682287985</v>
      </c>
      <c r="AG34" s="116">
        <f t="shared" ref="AG34:AG56" si="14">AF34*SQRT(($AF$5)^2+($N$5)^2)</f>
        <v>0.11564930234281112</v>
      </c>
      <c r="AH34" s="112">
        <f>report_47_flagged!AV27</f>
        <v>1</v>
      </c>
      <c r="AI34" s="116">
        <f>(report_47_flagged!T27/100)*report_47_flagged!H27</f>
        <v>4.8578978448208137</v>
      </c>
      <c r="AJ34" s="116">
        <f t="shared" ref="AJ34:AJ56" si="15">AI34*SQRT(($AI$5)^2+($N$5)^2)</f>
        <v>0.23805483906637032</v>
      </c>
      <c r="AK34" s="112">
        <f>report_47_flagged!AX27</f>
        <v>1</v>
      </c>
    </row>
    <row r="35" spans="1:37" ht="15.5">
      <c r="A35">
        <f>report_47_flagged!A28</f>
        <v>2019</v>
      </c>
      <c r="B35" t="str">
        <f>LEFT(report_47_flagged!B28,2)</f>
        <v>47</v>
      </c>
      <c r="C35">
        <f>report_47_flagged!E28</f>
        <v>2000</v>
      </c>
      <c r="D35" s="112">
        <f>report_47_flagged!AM28</f>
        <v>1887.9</v>
      </c>
      <c r="E35" t="str">
        <f>report_47_flagged!D28</f>
        <v>McLane-PARFLUX-Mark78H-21 ; controller sn ML11741-01, frame sn 14182-01, motor sn 14182-01, cup set E250x21</v>
      </c>
      <c r="H35">
        <f>report_47_flagged!C28</f>
        <v>2</v>
      </c>
      <c r="I35">
        <f>report_47_flagged!F28</f>
        <v>1</v>
      </c>
      <c r="J35" s="67">
        <f>report_47_flagged!AC28</f>
        <v>43569</v>
      </c>
      <c r="K35" s="67">
        <f>report_47_flagged!AD28</f>
        <v>43588</v>
      </c>
      <c r="L35" s="67">
        <f>report_47_flagged!AE28</f>
        <v>43578.5</v>
      </c>
      <c r="M35" s="67">
        <f>report_47_flagged!AF28</f>
        <v>19</v>
      </c>
      <c r="N35" s="105">
        <f>report_47_flagged!H28</f>
        <v>75.309774436090223</v>
      </c>
      <c r="O35" s="105">
        <f t="shared" si="8"/>
        <v>4.5185864661654127E-2</v>
      </c>
      <c r="P35" s="105">
        <f>report_47_flagged!J28</f>
        <v>1</v>
      </c>
      <c r="Q35" s="265">
        <f>report_47_flagged!BA28</f>
        <v>38.46</v>
      </c>
      <c r="R35" s="265">
        <f t="shared" si="9"/>
        <v>0.84611999999999998</v>
      </c>
      <c r="S35" s="266">
        <f>report_47_flagged!BB28</f>
        <v>1</v>
      </c>
      <c r="T35" s="265">
        <f>report_47_flagged!BC28</f>
        <v>8.4640000000000004</v>
      </c>
      <c r="U35" s="265">
        <f t="shared" si="10"/>
        <v>0.24545600000000004</v>
      </c>
      <c r="V35" s="266">
        <f>report_47_flagged!BD28</f>
        <v>1</v>
      </c>
      <c r="W35" s="116">
        <f>(report_47_flagged!N28/100)*report_47_flagged!H28</f>
        <v>10.39581002674246</v>
      </c>
      <c r="X35" s="116">
        <f t="shared" si="11"/>
        <v>0.21840109932700627</v>
      </c>
      <c r="Y35" s="112">
        <f>report_47_flagged!AP28</f>
        <v>1</v>
      </c>
      <c r="Z35" s="116">
        <f>(report_47_flagged!P28/100)*report_47_flagged!H28</f>
        <v>0.71652976918847933</v>
      </c>
      <c r="AA35" s="116">
        <f t="shared" si="12"/>
        <v>2.7231525106026038E-2</v>
      </c>
      <c r="AB35" s="112">
        <f>report_47_flagged!AR28</f>
        <v>1</v>
      </c>
      <c r="AC35" s="116">
        <f>(report_47_flagged!R28/100)*report_47_flagged!H28</f>
        <v>4.5686034595433807</v>
      </c>
      <c r="AD35" s="116">
        <f t="shared" si="13"/>
        <v>0.12795026309014754</v>
      </c>
      <c r="AE35" s="112">
        <f>report_47_flagged!AT28</f>
        <v>1</v>
      </c>
      <c r="AF35" s="116">
        <f>(report_47_flagged!L28/100)*report_47_flagged!H28</f>
        <v>5.8272065671990809</v>
      </c>
      <c r="AG35" s="116">
        <f t="shared" si="14"/>
        <v>0.11077211613543984</v>
      </c>
      <c r="AH35" s="112">
        <f>report_47_flagged!AV28</f>
        <v>1</v>
      </c>
      <c r="AI35" s="116">
        <f>(report_47_flagged!T28/100)*report_47_flagged!H28</f>
        <v>4.5137531517285865</v>
      </c>
      <c r="AJ35" s="116">
        <f t="shared" si="15"/>
        <v>0.22119048494724056</v>
      </c>
      <c r="AK35" s="112">
        <f>report_47_flagged!AX28</f>
        <v>1</v>
      </c>
    </row>
    <row r="36" spans="1:37" ht="15.5">
      <c r="A36">
        <f>report_47_flagged!A29</f>
        <v>2019</v>
      </c>
      <c r="B36" t="str">
        <f>LEFT(report_47_flagged!B29,2)</f>
        <v>47</v>
      </c>
      <c r="C36">
        <f>report_47_flagged!E29</f>
        <v>2000</v>
      </c>
      <c r="D36" s="112">
        <f>report_47_flagged!AM29</f>
        <v>1887.9</v>
      </c>
      <c r="E36" t="str">
        <f>report_47_flagged!D29</f>
        <v>McLane-PARFLUX-Mark78H-21 ; controller sn ML11741-01, frame sn 14182-01, motor sn 14182-01, cup set E250x21</v>
      </c>
      <c r="H36">
        <f>report_47_flagged!C29</f>
        <v>3</v>
      </c>
      <c r="I36">
        <f>report_47_flagged!F29</f>
        <v>1</v>
      </c>
      <c r="J36" s="67">
        <f>report_47_flagged!AC29</f>
        <v>43588</v>
      </c>
      <c r="K36" s="67">
        <f>report_47_flagged!AD29</f>
        <v>43607</v>
      </c>
      <c r="L36" s="67">
        <f>report_47_flagged!AE29</f>
        <v>43597.5</v>
      </c>
      <c r="M36" s="67">
        <f>report_47_flagged!AF29</f>
        <v>19</v>
      </c>
      <c r="N36" s="105">
        <f>report_47_flagged!H29</f>
        <v>50.172932330827066</v>
      </c>
      <c r="O36" s="105">
        <f t="shared" si="8"/>
        <v>3.0103759398496237E-2</v>
      </c>
      <c r="P36" s="105">
        <f>report_47_flagged!J29</f>
        <v>1</v>
      </c>
      <c r="Q36" s="265">
        <f>report_47_flagged!BA29</f>
        <v>36.72</v>
      </c>
      <c r="R36" s="265">
        <f t="shared" si="9"/>
        <v>0.80783999999999989</v>
      </c>
      <c r="S36" s="266">
        <f>report_47_flagged!BB29</f>
        <v>1</v>
      </c>
      <c r="T36" s="265">
        <f>report_47_flagged!BC29</f>
        <v>8.5419999999999998</v>
      </c>
      <c r="U36" s="265">
        <f t="shared" si="10"/>
        <v>0.24771799999999999</v>
      </c>
      <c r="V36" s="266">
        <f>report_47_flagged!BD29</f>
        <v>1</v>
      </c>
      <c r="W36" s="116">
        <f>(report_47_flagged!N29/100)*report_47_flagged!H29</f>
        <v>6.8061975425705867</v>
      </c>
      <c r="X36" s="116">
        <f t="shared" si="11"/>
        <v>0.14298847532903364</v>
      </c>
      <c r="Y36" s="112">
        <f>report_47_flagged!AP29</f>
        <v>1</v>
      </c>
      <c r="Z36" s="116">
        <f>(report_47_flagged!P29/100)*report_47_flagged!H29</f>
        <v>0.37517847078187128</v>
      </c>
      <c r="AA36" s="116">
        <f t="shared" si="12"/>
        <v>1.4258558940137406E-2</v>
      </c>
      <c r="AB36" s="112">
        <f>report_47_flagged!AR29</f>
        <v>1</v>
      </c>
      <c r="AC36" s="116">
        <f>(report_47_flagged!R29/100)*report_47_flagged!H29</f>
        <v>2.5588315107375688</v>
      </c>
      <c r="AD36" s="116">
        <f t="shared" si="13"/>
        <v>7.1663730043875301E-2</v>
      </c>
      <c r="AE36" s="112">
        <f>report_47_flagged!AT29</f>
        <v>1</v>
      </c>
      <c r="AF36" s="116">
        <f>(report_47_flagged!L29/100)*report_47_flagged!H29</f>
        <v>4.2473660318330184</v>
      </c>
      <c r="AG36" s="116">
        <f t="shared" si="14"/>
        <v>8.074018278265295E-2</v>
      </c>
      <c r="AH36" s="112">
        <f>report_47_flagged!AV29</f>
        <v>1</v>
      </c>
      <c r="AI36" s="116">
        <f>(report_47_flagged!T29/100)*report_47_flagged!H29</f>
        <v>2.5587070497679876</v>
      </c>
      <c r="AJ36" s="116">
        <f t="shared" si="15"/>
        <v>0.12538604441834922</v>
      </c>
      <c r="AK36" s="112">
        <f>report_47_flagged!AX29</f>
        <v>1</v>
      </c>
    </row>
    <row r="37" spans="1:37" ht="15.5">
      <c r="A37">
        <f>report_47_flagged!A30</f>
        <v>2019</v>
      </c>
      <c r="B37" t="str">
        <f>LEFT(report_47_flagged!B30,2)</f>
        <v>47</v>
      </c>
      <c r="C37">
        <f>report_47_flagged!E30</f>
        <v>2000</v>
      </c>
      <c r="D37" s="112">
        <f>report_47_flagged!AM30</f>
        <v>1887.9</v>
      </c>
      <c r="E37" t="str">
        <f>report_47_flagged!D30</f>
        <v>McLane-PARFLUX-Mark78H-21 ; controller sn ML11741-01, frame sn 14182-01, motor sn 14182-01, cup set E250x21</v>
      </c>
      <c r="H37">
        <f>report_47_flagged!C30</f>
        <v>4</v>
      </c>
      <c r="I37">
        <f>report_47_flagged!F30</f>
        <v>1</v>
      </c>
      <c r="J37" s="67">
        <f>report_47_flagged!AC30</f>
        <v>43607</v>
      </c>
      <c r="K37" s="67">
        <f>report_47_flagged!AD30</f>
        <v>43626</v>
      </c>
      <c r="L37" s="67">
        <f>report_47_flagged!AE30</f>
        <v>43616.5</v>
      </c>
      <c r="M37" s="67">
        <f>report_47_flagged!AF30</f>
        <v>19</v>
      </c>
      <c r="N37" s="105">
        <f>report_47_flagged!H30</f>
        <v>104.11278195488721</v>
      </c>
      <c r="O37" s="105">
        <f t="shared" si="8"/>
        <v>6.2467669172932318E-2</v>
      </c>
      <c r="P37" s="105">
        <f>report_47_flagged!J30</f>
        <v>3</v>
      </c>
      <c r="Q37" s="265">
        <f>report_47_flagged!BA30</f>
        <v>37.83</v>
      </c>
      <c r="R37" s="265">
        <f t="shared" si="9"/>
        <v>0.83225999999999989</v>
      </c>
      <c r="S37" s="266">
        <f>report_47_flagged!BB30</f>
        <v>1</v>
      </c>
      <c r="T37" s="265">
        <f>report_47_flagged!BC30</f>
        <v>8.4610000000000003</v>
      </c>
      <c r="U37" s="265">
        <f t="shared" si="10"/>
        <v>0.24536900000000003</v>
      </c>
      <c r="V37" s="266">
        <f>report_47_flagged!BD30</f>
        <v>1</v>
      </c>
      <c r="W37" s="116">
        <f>(report_47_flagged!N30/100)*report_47_flagged!H30</f>
        <v>14.1770351437877</v>
      </c>
      <c r="X37" s="116">
        <f t="shared" si="11"/>
        <v>0.29783923067426998</v>
      </c>
      <c r="Y37" s="112">
        <f>report_47_flagged!AP30</f>
        <v>3</v>
      </c>
      <c r="Z37" s="116">
        <f>(report_47_flagged!P30/100)*report_47_flagged!H30</f>
        <v>0.99323004055292086</v>
      </c>
      <c r="AA37" s="116">
        <f t="shared" si="12"/>
        <v>3.7747446021690008E-2</v>
      </c>
      <c r="AB37" s="112">
        <f>report_47_flagged!AR30</f>
        <v>3</v>
      </c>
      <c r="AC37" s="116">
        <f>(report_47_flagged!R30/100)*report_47_flagged!H30</f>
        <v>6.807783955753604</v>
      </c>
      <c r="AD37" s="116">
        <f t="shared" si="13"/>
        <v>0.19066171006371799</v>
      </c>
      <c r="AE37" s="112">
        <f>report_47_flagged!AT30</f>
        <v>3</v>
      </c>
      <c r="AF37" s="116">
        <f>(report_47_flagged!L30/100)*report_47_flagged!H30</f>
        <v>7.3692511880340943</v>
      </c>
      <c r="AG37" s="116">
        <f t="shared" si="14"/>
        <v>0.1400855691348023</v>
      </c>
      <c r="AH37" s="112">
        <f>report_47_flagged!AV30</f>
        <v>1</v>
      </c>
      <c r="AI37" s="116">
        <f>(report_47_flagged!T30/100)*report_47_flagged!H30</f>
        <v>7.6182432074746922</v>
      </c>
      <c r="AJ37" s="116">
        <f t="shared" si="15"/>
        <v>0.3733219015005349</v>
      </c>
      <c r="AK37" s="112">
        <f>report_47_flagged!AX30</f>
        <v>3</v>
      </c>
    </row>
    <row r="38" spans="1:37" ht="15.5">
      <c r="A38">
        <f>report_47_flagged!A31</f>
        <v>2019</v>
      </c>
      <c r="B38" t="str">
        <f>LEFT(report_47_flagged!B31,2)</f>
        <v>47</v>
      </c>
      <c r="C38">
        <f>report_47_flagged!E31</f>
        <v>2000</v>
      </c>
      <c r="D38" s="112">
        <f>report_47_flagged!AM31</f>
        <v>1887.9</v>
      </c>
      <c r="E38" t="str">
        <f>report_47_flagged!D31</f>
        <v>McLane-PARFLUX-Mark78H-21 ; controller sn ML11741-01, frame sn 14182-01, motor sn 14182-01, cup set E250x21</v>
      </c>
      <c r="H38">
        <f>report_47_flagged!C31</f>
        <v>5</v>
      </c>
      <c r="I38">
        <f>report_47_flagged!F31</f>
        <v>1</v>
      </c>
      <c r="J38" s="67">
        <f>report_47_flagged!AC31</f>
        <v>43626</v>
      </c>
      <c r="K38" s="67">
        <f>report_47_flagged!AD31</f>
        <v>43645</v>
      </c>
      <c r="L38" s="67">
        <f>report_47_flagged!AE31</f>
        <v>43635.5</v>
      </c>
      <c r="M38" s="67">
        <f>report_47_flagged!AF31</f>
        <v>19</v>
      </c>
      <c r="N38" s="105">
        <f>report_47_flagged!H31</f>
        <v>42.917293233082702</v>
      </c>
      <c r="O38" s="105">
        <f t="shared" si="8"/>
        <v>2.5750375939849621E-2</v>
      </c>
      <c r="P38" s="105">
        <f>report_47_flagged!J31</f>
        <v>1</v>
      </c>
      <c r="Q38" s="265">
        <f>report_47_flagged!BA31</f>
        <v>39.18</v>
      </c>
      <c r="R38" s="265">
        <f t="shared" si="9"/>
        <v>0.86195999999999995</v>
      </c>
      <c r="S38" s="266">
        <f>report_47_flagged!BB31</f>
        <v>1</v>
      </c>
      <c r="T38" s="265">
        <f>report_47_flagged!BC31</f>
        <v>8.5920000000000005</v>
      </c>
      <c r="U38" s="265">
        <f t="shared" si="10"/>
        <v>0.24916800000000003</v>
      </c>
      <c r="V38" s="266">
        <f>report_47_flagged!BD31</f>
        <v>1</v>
      </c>
      <c r="W38" s="116">
        <f>(report_47_flagged!N31/100)*report_47_flagged!H31</f>
        <v>5.3454699896332016</v>
      </c>
      <c r="X38" s="116">
        <f t="shared" si="11"/>
        <v>0.11230067874963237</v>
      </c>
      <c r="Y38" s="112">
        <f>report_47_flagged!AP31</f>
        <v>1</v>
      </c>
      <c r="Z38" s="116">
        <f>(report_47_flagged!P31/100)*report_47_flagged!H31</f>
        <v>0.36230577506517103</v>
      </c>
      <c r="AA38" s="116">
        <f t="shared" si="12"/>
        <v>1.3769335530775684E-2</v>
      </c>
      <c r="AB38" s="112">
        <f>report_47_flagged!AR31</f>
        <v>1</v>
      </c>
      <c r="AC38" s="116">
        <f>(report_47_flagged!R31/100)*report_47_flagged!H31</f>
        <v>2.4630638312293738</v>
      </c>
      <c r="AD38" s="116">
        <f t="shared" si="13"/>
        <v>6.8981619438935382E-2</v>
      </c>
      <c r="AE38" s="112">
        <f>report_47_flagged!AT31</f>
        <v>1</v>
      </c>
      <c r="AF38" s="116">
        <f>(report_47_flagged!L31/100)*report_47_flagged!H31</f>
        <v>2.8824061584038279</v>
      </c>
      <c r="AG38" s="116">
        <f t="shared" si="14"/>
        <v>5.4793017210935539E-2</v>
      </c>
      <c r="AH38" s="112">
        <f>report_47_flagged!AV31</f>
        <v>1</v>
      </c>
      <c r="AI38" s="116">
        <f>(report_47_flagged!T31/100)*report_47_flagged!H31</f>
        <v>4.1642457881939956</v>
      </c>
      <c r="AJ38" s="116">
        <f t="shared" si="15"/>
        <v>0.20406334027756762</v>
      </c>
      <c r="AK38" s="112">
        <f>report_47_flagged!AX31</f>
        <v>3</v>
      </c>
    </row>
    <row r="39" spans="1:37" ht="15.5">
      <c r="A39">
        <f>report_47_flagged!A32</f>
        <v>2019</v>
      </c>
      <c r="B39" t="str">
        <f>LEFT(report_47_flagged!B32,2)</f>
        <v>47</v>
      </c>
      <c r="C39">
        <f>report_47_flagged!E32</f>
        <v>2000</v>
      </c>
      <c r="D39" s="112">
        <f>report_47_flagged!AM32</f>
        <v>1887.9</v>
      </c>
      <c r="E39" t="str">
        <f>report_47_flagged!D32</f>
        <v>McLane-PARFLUX-Mark78H-21 ; controller sn ML11741-01, frame sn 14182-01, motor sn 14182-01, cup set E250x21</v>
      </c>
      <c r="H39">
        <f>report_47_flagged!C32</f>
        <v>6</v>
      </c>
      <c r="I39">
        <f>report_47_flagged!F32</f>
        <v>1</v>
      </c>
      <c r="J39" s="67">
        <f>report_47_flagged!AC32</f>
        <v>43645</v>
      </c>
      <c r="K39" s="67">
        <f>report_47_flagged!AD32</f>
        <v>43664</v>
      </c>
      <c r="L39" s="67">
        <f>report_47_flagged!AE32</f>
        <v>43654.5</v>
      </c>
      <c r="M39" s="67">
        <f>report_47_flagged!AF32</f>
        <v>19</v>
      </c>
      <c r="N39" s="105">
        <f>report_47_flagged!H32</f>
        <v>44.013533834586461</v>
      </c>
      <c r="O39" s="105">
        <f t="shared" si="8"/>
        <v>2.6408120300751875E-2</v>
      </c>
      <c r="P39" s="105">
        <f>report_47_flagged!J32</f>
        <v>1</v>
      </c>
      <c r="Q39" s="265">
        <f>report_47_flagged!BA32</f>
        <v>39.04</v>
      </c>
      <c r="R39" s="265">
        <f t="shared" si="9"/>
        <v>0.85887999999999998</v>
      </c>
      <c r="S39" s="266">
        <f>report_47_flagged!BB32</f>
        <v>1</v>
      </c>
      <c r="T39" s="265">
        <f>report_47_flagged!BC32</f>
        <v>8.6199999999999992</v>
      </c>
      <c r="U39" s="265">
        <f t="shared" si="10"/>
        <v>0.24997999999999998</v>
      </c>
      <c r="V39" s="266">
        <f>report_47_flagged!BD32</f>
        <v>1</v>
      </c>
      <c r="W39" s="116">
        <f>(report_47_flagged!N32/100)*report_47_flagged!H32</f>
        <v>5.5020850311078515</v>
      </c>
      <c r="X39" s="116">
        <f t="shared" si="11"/>
        <v>0.11559093676139083</v>
      </c>
      <c r="Y39" s="112">
        <f>report_47_flagged!AP32</f>
        <v>1</v>
      </c>
      <c r="Z39" s="116">
        <f>(report_47_flagged!P32/100)*report_47_flagged!H32</f>
        <v>0.33269894303952835</v>
      </c>
      <c r="AA39" s="116">
        <f t="shared" si="12"/>
        <v>1.2644135679652529E-2</v>
      </c>
      <c r="AB39" s="112">
        <f>report_47_flagged!AR32</f>
        <v>1</v>
      </c>
      <c r="AC39" s="116">
        <f>(report_47_flagged!R32/100)*report_47_flagged!H32</f>
        <v>2.3470576004465444</v>
      </c>
      <c r="AD39" s="116">
        <f t="shared" si="13"/>
        <v>6.5732699308265322E-2</v>
      </c>
      <c r="AE39" s="112">
        <f>report_47_flagged!AT32</f>
        <v>1</v>
      </c>
      <c r="AF39" s="116">
        <f>(report_47_flagged!L32/100)*report_47_flagged!H32</f>
        <v>3.1550274306613071</v>
      </c>
      <c r="AG39" s="116">
        <f t="shared" si="14"/>
        <v>5.9975403468097571E-2</v>
      </c>
      <c r="AH39" s="112">
        <f>report_47_flagged!AV32</f>
        <v>1</v>
      </c>
      <c r="AI39" s="116">
        <f>(report_47_flagged!T32/100)*report_47_flagged!H32</f>
        <v>3.5697040378718121</v>
      </c>
      <c r="AJ39" s="116">
        <f t="shared" si="15"/>
        <v>0.17492861056272199</v>
      </c>
      <c r="AK39" s="112">
        <f>report_47_flagged!AX32</f>
        <v>2</v>
      </c>
    </row>
    <row r="40" spans="1:37" ht="15.5">
      <c r="A40">
        <f>report_47_flagged!A33</f>
        <v>2019</v>
      </c>
      <c r="B40" t="str">
        <f>LEFT(report_47_flagged!B33,2)</f>
        <v>47</v>
      </c>
      <c r="C40">
        <f>report_47_flagged!E33</f>
        <v>2000</v>
      </c>
      <c r="D40" s="112">
        <f>report_47_flagged!AM33</f>
        <v>1887.9</v>
      </c>
      <c r="E40" t="str">
        <f>report_47_flagged!D33</f>
        <v>McLane-PARFLUX-Mark78H-21 ; controller sn ML11741-01, frame sn 14182-01, motor sn 14182-01, cup set E250x21</v>
      </c>
      <c r="H40">
        <f>report_47_flagged!C33</f>
        <v>7</v>
      </c>
      <c r="I40">
        <f>report_47_flagged!F33</f>
        <v>1</v>
      </c>
      <c r="J40" s="67">
        <f>report_47_flagged!AC33</f>
        <v>43664</v>
      </c>
      <c r="K40" s="67">
        <f>report_47_flagged!AD33</f>
        <v>43683</v>
      </c>
      <c r="L40" s="67">
        <f>report_47_flagged!AE33</f>
        <v>43673.5</v>
      </c>
      <c r="M40" s="67">
        <f>report_47_flagged!AF33</f>
        <v>19</v>
      </c>
      <c r="N40" s="105">
        <f>report_47_flagged!H33</f>
        <v>29.222556390977449</v>
      </c>
      <c r="O40" s="105">
        <f t="shared" si="8"/>
        <v>1.7533533834586466E-2</v>
      </c>
      <c r="P40" s="105">
        <f>report_47_flagged!J33</f>
        <v>1</v>
      </c>
      <c r="Q40" s="265">
        <f>report_47_flagged!BA33</f>
        <v>38.479999999999997</v>
      </c>
      <c r="R40" s="265">
        <f t="shared" si="9"/>
        <v>0.84655999999999987</v>
      </c>
      <c r="S40" s="266">
        <f>report_47_flagged!BB33</f>
        <v>1</v>
      </c>
      <c r="T40" s="265">
        <f>report_47_flagged!BC33</f>
        <v>8.6470000000000002</v>
      </c>
      <c r="U40" s="265">
        <f t="shared" si="10"/>
        <v>0.25076300000000001</v>
      </c>
      <c r="V40" s="266">
        <f>report_47_flagged!BD33</f>
        <v>1</v>
      </c>
      <c r="W40" s="116">
        <f>(report_47_flagged!N33/100)*report_47_flagged!H33</f>
        <v>3.8978350843702052</v>
      </c>
      <c r="X40" s="116">
        <f t="shared" si="11"/>
        <v>8.1887939971194368E-2</v>
      </c>
      <c r="Y40" s="112">
        <f>report_47_flagged!AP33</f>
        <v>1</v>
      </c>
      <c r="Z40" s="116">
        <f>(report_47_flagged!P33/100)*report_47_flagged!H33</f>
        <v>0.26055275810661177</v>
      </c>
      <c r="AA40" s="116">
        <f t="shared" si="12"/>
        <v>9.9022389284124223E-3</v>
      </c>
      <c r="AB40" s="112">
        <f>report_47_flagged!AR33</f>
        <v>1</v>
      </c>
      <c r="AC40" s="116">
        <f>(report_47_flagged!R33/100)*report_47_flagged!H33</f>
        <v>1.7987025762759616</v>
      </c>
      <c r="AD40" s="116">
        <f t="shared" si="13"/>
        <v>5.0375233896626646E-2</v>
      </c>
      <c r="AE40" s="112">
        <f>report_47_flagged!AT33</f>
        <v>1</v>
      </c>
      <c r="AF40" s="116">
        <f>(report_47_flagged!L33/100)*report_47_flagged!H33</f>
        <v>2.0991325080942436</v>
      </c>
      <c r="AG40" s="116">
        <f t="shared" si="14"/>
        <v>3.9903399216901086E-2</v>
      </c>
      <c r="AH40" s="112">
        <f>report_47_flagged!AV33</f>
        <v>1</v>
      </c>
      <c r="AI40" s="116">
        <f>(report_47_flagged!T33/100)*report_47_flagged!H33</f>
        <v>2.3560780332969937</v>
      </c>
      <c r="AJ40" s="116">
        <f t="shared" si="15"/>
        <v>0.11545647828768091</v>
      </c>
      <c r="AK40" s="112">
        <f>report_47_flagged!AX33</f>
        <v>3</v>
      </c>
    </row>
    <row r="41" spans="1:37" ht="15.5">
      <c r="A41">
        <f>report_47_flagged!A34</f>
        <v>2019</v>
      </c>
      <c r="B41" t="str">
        <f>LEFT(report_47_flagged!B34,2)</f>
        <v>47</v>
      </c>
      <c r="C41">
        <f>report_47_flagged!E34</f>
        <v>2000</v>
      </c>
      <c r="D41" s="112">
        <f>report_47_flagged!AM34</f>
        <v>1887.9</v>
      </c>
      <c r="E41" t="str">
        <f>report_47_flagged!D34</f>
        <v>McLane-PARFLUX-Mark78H-21 ; controller sn ML11741-01, frame sn 14182-01, motor sn 14182-01, cup set E250x21</v>
      </c>
      <c r="H41">
        <f>report_47_flagged!C34</f>
        <v>8</v>
      </c>
      <c r="I41">
        <f>report_47_flagged!F34</f>
        <v>1</v>
      </c>
      <c r="J41" s="67">
        <f>report_47_flagged!AC34</f>
        <v>43683</v>
      </c>
      <c r="K41" s="67">
        <f>report_47_flagged!AD34</f>
        <v>43702</v>
      </c>
      <c r="L41" s="67">
        <f>report_47_flagged!AE34</f>
        <v>43692.5</v>
      </c>
      <c r="M41" s="67">
        <f>report_47_flagged!AF34</f>
        <v>19</v>
      </c>
      <c r="N41" s="105">
        <f>report_47_flagged!H34</f>
        <v>18.130827067669173</v>
      </c>
      <c r="O41" s="105">
        <f t="shared" si="8"/>
        <v>1.0878496240601504E-2</v>
      </c>
      <c r="P41" s="105">
        <f>report_47_flagged!J34</f>
        <v>1</v>
      </c>
      <c r="Q41" s="265">
        <f>report_47_flagged!BA34</f>
        <v>35.619999999999997</v>
      </c>
      <c r="R41" s="265">
        <f t="shared" si="9"/>
        <v>0.78363999999999989</v>
      </c>
      <c r="S41" s="266">
        <f>report_47_flagged!BB34</f>
        <v>1</v>
      </c>
      <c r="T41" s="265">
        <f>report_47_flagged!BC34</f>
        <v>8.5459999999999994</v>
      </c>
      <c r="U41" s="265">
        <f t="shared" si="10"/>
        <v>0.247834</v>
      </c>
      <c r="V41" s="266">
        <f>report_47_flagged!BD34</f>
        <v>1</v>
      </c>
      <c r="W41" s="116">
        <f>(report_47_flagged!N34/100)*report_47_flagged!H34</f>
        <v>2.6889387571722048</v>
      </c>
      <c r="X41" s="116">
        <f t="shared" si="11"/>
        <v>5.6490757245342277E-2</v>
      </c>
      <c r="Y41" s="112">
        <f>report_47_flagged!AP34</f>
        <v>1</v>
      </c>
      <c r="Z41" s="116">
        <f>(report_47_flagged!P34/100)*report_47_flagged!H34</f>
        <v>0.2066156053632722</v>
      </c>
      <c r="AA41" s="116">
        <f t="shared" si="12"/>
        <v>7.8523716483113841E-3</v>
      </c>
      <c r="AB41" s="112">
        <f>report_47_flagged!AR34</f>
        <v>1</v>
      </c>
      <c r="AC41" s="116">
        <f>(report_47_flagged!R34/100)*report_47_flagged!H34</f>
        <v>1.3416860592471971</v>
      </c>
      <c r="AD41" s="116">
        <f t="shared" si="13"/>
        <v>3.7575833793686265E-2</v>
      </c>
      <c r="AE41" s="112">
        <f>report_47_flagged!AT34</f>
        <v>1</v>
      </c>
      <c r="AF41" s="116">
        <f>(report_47_flagged!L34/100)*report_47_flagged!H34</f>
        <v>1.3472526979250075</v>
      </c>
      <c r="AG41" s="116">
        <f t="shared" si="14"/>
        <v>2.5610561526749977E-2</v>
      </c>
      <c r="AH41" s="112">
        <f>report_47_flagged!AV34</f>
        <v>1</v>
      </c>
      <c r="AI41" s="116">
        <f>(report_47_flagged!T34/100)*report_47_flagged!H34</f>
        <v>0.87248310656063199</v>
      </c>
      <c r="AJ41" s="116">
        <f t="shared" si="15"/>
        <v>4.2754877141324317E-2</v>
      </c>
      <c r="AK41" s="112">
        <f>report_47_flagged!AX34</f>
        <v>1</v>
      </c>
    </row>
    <row r="42" spans="1:37" ht="15.5">
      <c r="A42">
        <f>report_47_flagged!A35</f>
        <v>2019</v>
      </c>
      <c r="B42" t="str">
        <f>LEFT(report_47_flagged!B35,2)</f>
        <v>47</v>
      </c>
      <c r="C42">
        <f>report_47_flagged!E35</f>
        <v>2000</v>
      </c>
      <c r="D42" s="112">
        <f>report_47_flagged!AM35</f>
        <v>1887.9</v>
      </c>
      <c r="E42" t="str">
        <f>report_47_flagged!D35</f>
        <v>McLane-PARFLUX-Mark78H-21 ; controller sn ML11741-01, frame sn 14182-01, motor sn 14182-01, cup set E250x21</v>
      </c>
      <c r="H42">
        <f>report_47_flagged!C35</f>
        <v>9</v>
      </c>
      <c r="I42">
        <f>report_47_flagged!F35</f>
        <v>1</v>
      </c>
      <c r="J42" s="67">
        <f>report_47_flagged!AC35</f>
        <v>43702</v>
      </c>
      <c r="K42" s="67">
        <f>report_47_flagged!AD35</f>
        <v>43721</v>
      </c>
      <c r="L42" s="67">
        <f>report_47_flagged!AE35</f>
        <v>43711.5</v>
      </c>
      <c r="M42" s="67">
        <f>report_47_flagged!AF35</f>
        <v>19</v>
      </c>
      <c r="N42" s="105">
        <f>report_47_flagged!H35</f>
        <v>15.436090225563909</v>
      </c>
      <c r="O42" s="105">
        <f t="shared" si="8"/>
        <v>9.2616541353383441E-3</v>
      </c>
      <c r="P42" s="105">
        <f>report_47_flagged!J35</f>
        <v>1</v>
      </c>
      <c r="Q42" s="265">
        <f>report_47_flagged!BA35</f>
        <v>37.47</v>
      </c>
      <c r="R42" s="265">
        <f t="shared" si="9"/>
        <v>0.82433999999999996</v>
      </c>
      <c r="S42" s="266">
        <f>report_47_flagged!BB35</f>
        <v>1</v>
      </c>
      <c r="T42" s="265">
        <f>report_47_flagged!BC35</f>
        <v>8.6379999999999999</v>
      </c>
      <c r="U42" s="265">
        <f t="shared" si="10"/>
        <v>0.250502</v>
      </c>
      <c r="V42" s="266">
        <f>report_47_flagged!BD35</f>
        <v>1</v>
      </c>
      <c r="W42" s="116">
        <f>(report_47_flagged!N35/100)*report_47_flagged!H35</f>
        <v>2.2347679058591225</v>
      </c>
      <c r="X42" s="116">
        <f t="shared" si="11"/>
        <v>4.694927726890015E-2</v>
      </c>
      <c r="Y42" s="112">
        <f>report_47_flagged!AP35</f>
        <v>1</v>
      </c>
      <c r="Z42" s="116">
        <f>(report_47_flagged!P35/100)*report_47_flagged!H35</f>
        <v>0.20294326608342336</v>
      </c>
      <c r="AA42" s="116">
        <f t="shared" si="12"/>
        <v>7.7128053614698624E-3</v>
      </c>
      <c r="AB42" s="112">
        <f>report_47_flagged!AR35</f>
        <v>1</v>
      </c>
      <c r="AC42" s="116">
        <f>(report_47_flagged!R35/100)*report_47_flagged!H35</f>
        <v>1.1507139431411275</v>
      </c>
      <c r="AD42" s="116">
        <f t="shared" si="13"/>
        <v>3.2227387005727123E-2</v>
      </c>
      <c r="AE42" s="112">
        <f>report_47_flagged!AT35</f>
        <v>1</v>
      </c>
      <c r="AF42" s="116">
        <f>(report_47_flagged!L35/100)*report_47_flagged!H35</f>
        <v>1.0840539627179948</v>
      </c>
      <c r="AG42" s="116">
        <f t="shared" si="14"/>
        <v>2.0607292717443663E-2</v>
      </c>
      <c r="AH42" s="112">
        <f>report_47_flagged!AV35</f>
        <v>1</v>
      </c>
      <c r="AI42" s="116">
        <f>(report_47_flagged!T35/100)*report_47_flagged!H35</f>
        <v>0.98326026588113402</v>
      </c>
      <c r="AJ42" s="116">
        <f t="shared" si="15"/>
        <v>4.8183364869279925E-2</v>
      </c>
      <c r="AK42" s="112">
        <f>report_47_flagged!AX35</f>
        <v>3</v>
      </c>
    </row>
    <row r="43" spans="1:37" ht="15.5">
      <c r="A43">
        <f>report_47_flagged!A36</f>
        <v>2019</v>
      </c>
      <c r="B43" t="str">
        <f>LEFT(report_47_flagged!B36,2)</f>
        <v>47</v>
      </c>
      <c r="C43">
        <f>report_47_flagged!E36</f>
        <v>2000</v>
      </c>
      <c r="D43" s="112">
        <f>report_47_flagged!AM36</f>
        <v>1887.9</v>
      </c>
      <c r="E43" t="str">
        <f>report_47_flagged!D36</f>
        <v>McLane-PARFLUX-Mark78H-21 ; controller sn ML11741-01, frame sn 14182-01, motor sn 14182-01, cup set E250x21</v>
      </c>
      <c r="H43">
        <f>report_47_flagged!C36</f>
        <v>10</v>
      </c>
      <c r="I43">
        <f>report_47_flagged!F36</f>
        <v>1</v>
      </c>
      <c r="J43" s="67">
        <f>report_47_flagged!AC36</f>
        <v>43721</v>
      </c>
      <c r="K43" s="67">
        <f>report_47_flagged!AD36</f>
        <v>43740</v>
      </c>
      <c r="L43" s="67">
        <f>report_47_flagged!AE36</f>
        <v>43730.5</v>
      </c>
      <c r="M43" s="67">
        <f>report_47_flagged!AF36</f>
        <v>19</v>
      </c>
      <c r="N43" s="105">
        <f>report_47_flagged!H36</f>
        <v>19.968421052631577</v>
      </c>
      <c r="O43" s="105">
        <f t="shared" si="8"/>
        <v>1.1981052631578944E-2</v>
      </c>
      <c r="P43" s="105">
        <f>report_47_flagged!J36</f>
        <v>1</v>
      </c>
      <c r="Q43" s="265">
        <f>report_47_flagged!BA36</f>
        <v>37.43</v>
      </c>
      <c r="R43" s="265">
        <f t="shared" si="9"/>
        <v>0.82345999999999997</v>
      </c>
      <c r="S43" s="266">
        <f>report_47_flagged!BB36</f>
        <v>1</v>
      </c>
      <c r="T43" s="265">
        <f>report_47_flagged!BC36</f>
        <v>8.5950000000000006</v>
      </c>
      <c r="U43" s="265">
        <f t="shared" si="10"/>
        <v>0.24925500000000003</v>
      </c>
      <c r="V43" s="266">
        <f>report_47_flagged!BD36</f>
        <v>1</v>
      </c>
      <c r="W43" s="116">
        <f>(report_47_flagged!N36/100)*report_47_flagged!H36</f>
        <v>3.4139575528596575</v>
      </c>
      <c r="X43" s="116">
        <f t="shared" si="11"/>
        <v>7.1722365133861904E-2</v>
      </c>
      <c r="Y43" s="112">
        <f>report_47_flagged!AP36</f>
        <v>1</v>
      </c>
      <c r="Z43" s="116">
        <f>(report_47_flagged!P36/100)*report_47_flagged!H36</f>
        <v>0.37139080597224983</v>
      </c>
      <c r="AA43" s="116">
        <f t="shared" si="12"/>
        <v>1.4114609736919744E-2</v>
      </c>
      <c r="AB43" s="112">
        <f>report_47_flagged!AR36</f>
        <v>3</v>
      </c>
      <c r="AC43" s="116">
        <f>(report_47_flagged!R36/100)*report_47_flagged!H36</f>
        <v>2.0729307212711201</v>
      </c>
      <c r="AD43" s="116">
        <f t="shared" si="13"/>
        <v>5.8055384649382182E-2</v>
      </c>
      <c r="AE43" s="112">
        <f>report_47_flagged!AT36</f>
        <v>3</v>
      </c>
      <c r="AF43" s="116">
        <f>(report_47_flagged!L36/100)*report_47_flagged!H36</f>
        <v>1.3410268315885372</v>
      </c>
      <c r="AG43" s="116">
        <f t="shared" si="14"/>
        <v>2.5492211099162734E-2</v>
      </c>
      <c r="AH43" s="112">
        <f>report_47_flagged!AV36</f>
        <v>3</v>
      </c>
      <c r="AI43" s="116">
        <f>(report_47_flagged!T36/100)*report_47_flagged!H36</f>
        <v>1.0296809119323143</v>
      </c>
      <c r="AJ43" s="116">
        <f t="shared" si="15"/>
        <v>5.045814704421845E-2</v>
      </c>
      <c r="AK43" s="112">
        <f>report_47_flagged!AX36</f>
        <v>1</v>
      </c>
    </row>
    <row r="44" spans="1:37" ht="15.5">
      <c r="A44">
        <f>report_47_flagged!A37</f>
        <v>2019</v>
      </c>
      <c r="B44" t="str">
        <f>LEFT(report_47_flagged!B37,2)</f>
        <v>47</v>
      </c>
      <c r="C44">
        <f>report_47_flagged!E37</f>
        <v>2000</v>
      </c>
      <c r="D44" s="112">
        <f>report_47_flagged!AM37</f>
        <v>1887.9</v>
      </c>
      <c r="E44" t="str">
        <f>report_47_flagged!D37</f>
        <v>McLane-PARFLUX-Mark78H-21 ; controller sn ML11741-01, frame sn 14182-01, motor sn 14182-01, cup set E250x21</v>
      </c>
      <c r="H44">
        <f>report_47_flagged!C37</f>
        <v>11</v>
      </c>
      <c r="I44">
        <f>report_47_flagged!F37</f>
        <v>1</v>
      </c>
      <c r="J44" s="67">
        <f>report_47_flagged!AC37</f>
        <v>43740</v>
      </c>
      <c r="K44" s="67">
        <f>report_47_flagged!AD37</f>
        <v>43759</v>
      </c>
      <c r="L44" s="67">
        <f>report_47_flagged!AE37</f>
        <v>43749.5</v>
      </c>
      <c r="M44" s="67">
        <f>report_47_flagged!AF37</f>
        <v>19</v>
      </c>
      <c r="N44" s="105">
        <f>report_47_flagged!H37</f>
        <v>20.777443609022551</v>
      </c>
      <c r="O44" s="105">
        <f t="shared" si="8"/>
        <v>1.2466466165413529E-2</v>
      </c>
      <c r="P44" s="105">
        <f>report_47_flagged!J37</f>
        <v>1</v>
      </c>
      <c r="Q44" s="265">
        <f>report_47_flagged!BA37</f>
        <v>37.75</v>
      </c>
      <c r="R44" s="265">
        <f t="shared" si="9"/>
        <v>0.8304999999999999</v>
      </c>
      <c r="S44" s="266">
        <f>report_47_flagged!BB37</f>
        <v>1</v>
      </c>
      <c r="T44" s="265">
        <f>report_47_flagged!BC37</f>
        <v>8.4849999999999994</v>
      </c>
      <c r="U44" s="265">
        <f t="shared" si="10"/>
        <v>0.24606500000000001</v>
      </c>
      <c r="V44" s="266">
        <f>report_47_flagged!BD37</f>
        <v>1</v>
      </c>
      <c r="W44" s="116">
        <f>(report_47_flagged!N37/100)*report_47_flagged!H37</f>
        <v>3.2378037648021718</v>
      </c>
      <c r="X44" s="116">
        <f t="shared" si="11"/>
        <v>6.8021626003057806E-2</v>
      </c>
      <c r="Y44" s="112">
        <f>report_47_flagged!AP37</f>
        <v>1</v>
      </c>
      <c r="Z44" s="116">
        <f>(report_47_flagged!P37/100)*report_47_flagged!H37</f>
        <v>0.28920154781628366</v>
      </c>
      <c r="AA44" s="116">
        <f t="shared" si="12"/>
        <v>1.0991028633716315E-2</v>
      </c>
      <c r="AB44" s="112">
        <f>report_47_flagged!AR37</f>
        <v>1</v>
      </c>
      <c r="AC44" s="116">
        <f>(report_47_flagged!R37/100)*report_47_flagged!H37</f>
        <v>1.7103619254425111</v>
      </c>
      <c r="AD44" s="116">
        <f t="shared" si="13"/>
        <v>4.790112783428422E-2</v>
      </c>
      <c r="AE44" s="112">
        <f>report_47_flagged!AT37</f>
        <v>2</v>
      </c>
      <c r="AF44" s="116">
        <f>(report_47_flagged!L37/100)*report_47_flagged!H37</f>
        <v>1.5274418393596609</v>
      </c>
      <c r="AG44" s="116">
        <f t="shared" si="14"/>
        <v>2.9035861843662997E-2</v>
      </c>
      <c r="AH44" s="112">
        <f>report_47_flagged!AV37</f>
        <v>2</v>
      </c>
      <c r="AI44" s="116">
        <f>(report_47_flagged!T37/100)*report_47_flagged!H37</f>
        <v>1.0341790983049963</v>
      </c>
      <c r="AJ44" s="116">
        <f t="shared" si="15"/>
        <v>5.0678574699810464E-2</v>
      </c>
      <c r="AK44" s="112">
        <f>report_47_flagged!AX37</f>
        <v>1</v>
      </c>
    </row>
    <row r="45" spans="1:37" ht="15.5">
      <c r="A45">
        <f>report_47_flagged!A38</f>
        <v>2019</v>
      </c>
      <c r="B45" t="str">
        <f>LEFT(report_47_flagged!B38,2)</f>
        <v>47</v>
      </c>
      <c r="C45">
        <f>report_47_flagged!E38</f>
        <v>2000</v>
      </c>
      <c r="D45" s="112">
        <f>report_47_flagged!AM38</f>
        <v>1887.9</v>
      </c>
      <c r="E45" t="str">
        <f>report_47_flagged!D38</f>
        <v>McLane-PARFLUX-Mark78H-21 ; controller sn ML11741-01, frame sn 14182-01, motor sn 14182-01, cup set E250x21</v>
      </c>
      <c r="H45">
        <f>report_47_flagged!C38</f>
        <v>12</v>
      </c>
      <c r="I45">
        <f>report_47_flagged!F38</f>
        <v>1</v>
      </c>
      <c r="J45" s="67">
        <f>report_47_flagged!AC38</f>
        <v>43759</v>
      </c>
      <c r="K45" s="67">
        <f>report_47_flagged!AD38</f>
        <v>43778</v>
      </c>
      <c r="L45" s="67">
        <f>report_47_flagged!AE38</f>
        <v>43768.5</v>
      </c>
      <c r="M45" s="67">
        <f>report_47_flagged!AF38</f>
        <v>19</v>
      </c>
      <c r="N45" s="105">
        <f>report_47_flagged!H38</f>
        <v>37.724812030075185</v>
      </c>
      <c r="O45" s="105">
        <f t="shared" si="8"/>
        <v>2.2634887218045109E-2</v>
      </c>
      <c r="P45" s="105">
        <f>report_47_flagged!J38</f>
        <v>1</v>
      </c>
      <c r="Q45" s="265">
        <f>report_47_flagged!BA38</f>
        <v>37.299999999999997</v>
      </c>
      <c r="R45" s="265">
        <f t="shared" si="9"/>
        <v>0.82059999999999989</v>
      </c>
      <c r="S45" s="266">
        <f>report_47_flagged!BB38</f>
        <v>1</v>
      </c>
      <c r="T45" s="265">
        <f>report_47_flagged!BC38</f>
        <v>8.6095000000000006</v>
      </c>
      <c r="U45" s="265">
        <f t="shared" si="10"/>
        <v>0.24967550000000002</v>
      </c>
      <c r="V45" s="266">
        <f>report_47_flagged!BD38</f>
        <v>1</v>
      </c>
      <c r="W45" s="116">
        <f>(report_47_flagged!N38/100)*report_47_flagged!H38</f>
        <v>5.2185747728562886</v>
      </c>
      <c r="X45" s="116">
        <f t="shared" si="11"/>
        <v>0.10963479174591413</v>
      </c>
      <c r="Y45" s="112">
        <f>report_47_flagged!AP38</f>
        <v>1</v>
      </c>
      <c r="Z45" s="116">
        <f>(report_47_flagged!P38/100)*report_47_flagged!H38</f>
        <v>0.33856630617335326</v>
      </c>
      <c r="AA45" s="116">
        <f t="shared" si="12"/>
        <v>1.2867123269778595E-2</v>
      </c>
      <c r="AB45" s="112">
        <f>report_47_flagged!AR38</f>
        <v>1</v>
      </c>
      <c r="AC45" s="116">
        <f>(report_47_flagged!R38/100)*report_47_flagged!H38</f>
        <v>2.1426163675853434</v>
      </c>
      <c r="AD45" s="116">
        <f t="shared" si="13"/>
        <v>6.0007030673920936E-2</v>
      </c>
      <c r="AE45" s="112">
        <f>report_47_flagged!AT38</f>
        <v>1</v>
      </c>
      <c r="AF45" s="116">
        <f>(report_47_flagged!L38/100)*report_47_flagged!H38</f>
        <v>3.0759584052709452</v>
      </c>
      <c r="AG45" s="116">
        <f t="shared" si="14"/>
        <v>5.8472343097360248E-2</v>
      </c>
      <c r="AH45" s="112">
        <f>report_47_flagged!AV38</f>
        <v>1</v>
      </c>
      <c r="AI45" s="116">
        <f>(report_47_flagged!T38/100)*report_47_flagged!H38</f>
        <v>1.689499772534939</v>
      </c>
      <c r="AJ45" s="116">
        <f t="shared" si="15"/>
        <v>8.2791694947284195E-2</v>
      </c>
      <c r="AK45" s="112">
        <f>report_47_flagged!AX38</f>
        <v>1</v>
      </c>
    </row>
    <row r="46" spans="1:37" ht="15.5">
      <c r="A46">
        <f>report_47_flagged!A39</f>
        <v>2019</v>
      </c>
      <c r="B46" t="str">
        <f>LEFT(report_47_flagged!B39,2)</f>
        <v>47</v>
      </c>
      <c r="C46">
        <f>report_47_flagged!E39</f>
        <v>2000</v>
      </c>
      <c r="D46" s="112">
        <f>report_47_flagged!AM39</f>
        <v>1887.9</v>
      </c>
      <c r="E46" t="str">
        <f>report_47_flagged!D39</f>
        <v>McLane-PARFLUX-Mark78H-21 ; controller sn ML11741-01, frame sn 14182-01, motor sn 14182-01, cup set E250x21</v>
      </c>
      <c r="H46">
        <f>report_47_flagged!C39</f>
        <v>13</v>
      </c>
      <c r="I46">
        <f>report_47_flagged!F39</f>
        <v>2</v>
      </c>
      <c r="J46" s="67">
        <f>report_47_flagged!AC39</f>
        <v>43778</v>
      </c>
      <c r="K46" s="67">
        <f>report_47_flagged!AD39</f>
        <v>43797</v>
      </c>
      <c r="L46" s="67">
        <f>report_47_flagged!AE39</f>
        <v>43787.5</v>
      </c>
      <c r="M46" s="67">
        <f>report_47_flagged!AF39</f>
        <v>19</v>
      </c>
      <c r="N46" s="105">
        <f>report_47_flagged!H39</f>
        <v>77.863157894736844</v>
      </c>
      <c r="O46" s="105">
        <f t="shared" si="8"/>
        <v>4.6717894736842104E-2</v>
      </c>
      <c r="P46" s="105">
        <f>report_47_flagged!J39</f>
        <v>2</v>
      </c>
      <c r="Q46" s="265">
        <f>report_47_flagged!BA39</f>
        <v>37.86</v>
      </c>
      <c r="R46" s="265">
        <f t="shared" si="9"/>
        <v>0.83291999999999999</v>
      </c>
      <c r="S46" s="266">
        <f>report_47_flagged!BB39</f>
        <v>1</v>
      </c>
      <c r="T46" s="265">
        <f>report_47_flagged!BC39</f>
        <v>8.0850000000000009</v>
      </c>
      <c r="U46" s="265">
        <f t="shared" si="10"/>
        <v>0.23446500000000003</v>
      </c>
      <c r="V46" s="266">
        <f>report_47_flagged!BD39</f>
        <v>1</v>
      </c>
      <c r="W46" s="116">
        <f>(report_47_flagged!N39/100)*report_47_flagged!H39</f>
        <v>10.814139204928749</v>
      </c>
      <c r="X46" s="116">
        <f t="shared" si="11"/>
        <v>0.22718959701611588</v>
      </c>
      <c r="Y46" s="112">
        <f>report_47_flagged!AP39</f>
        <v>2</v>
      </c>
      <c r="Z46" s="116">
        <f>(report_47_flagged!P39/100)*report_47_flagged!H39</f>
        <v>0.60439294977564562</v>
      </c>
      <c r="AA46" s="116">
        <f t="shared" si="12"/>
        <v>2.2969794827032926E-2</v>
      </c>
      <c r="AB46" s="112">
        <f>report_47_flagged!AR39</f>
        <v>2</v>
      </c>
      <c r="AC46" s="116">
        <f>(report_47_flagged!R39/100)*report_47_flagged!H39</f>
        <v>4.1632691700791957</v>
      </c>
      <c r="AD46" s="116">
        <f t="shared" si="13"/>
        <v>0.1165982975637755</v>
      </c>
      <c r="AE46" s="112">
        <f>report_47_flagged!AT39</f>
        <v>2</v>
      </c>
      <c r="AF46" s="116">
        <f>(report_47_flagged!L39/100)*report_47_flagged!H39</f>
        <v>6.6508700348495537</v>
      </c>
      <c r="AG46" s="116">
        <f t="shared" si="14"/>
        <v>0.12642952320397843</v>
      </c>
      <c r="AH46" s="112">
        <f>report_47_flagged!AV39</f>
        <v>2</v>
      </c>
      <c r="AI46" s="116">
        <f>(report_47_flagged!T39/100)*report_47_flagged!H39</f>
        <v>3.105594373249263</v>
      </c>
      <c r="AJ46" s="116">
        <f t="shared" si="15"/>
        <v>0.15218553216747358</v>
      </c>
      <c r="AK46" s="112">
        <f>report_47_flagged!AX39</f>
        <v>2</v>
      </c>
    </row>
    <row r="47" spans="1:37" ht="15.5">
      <c r="A47">
        <f>report_47_flagged!A40</f>
        <v>2019</v>
      </c>
      <c r="B47" t="str">
        <f>LEFT(report_47_flagged!B40,2)</f>
        <v>47</v>
      </c>
      <c r="C47">
        <f>report_47_flagged!E40</f>
        <v>2000</v>
      </c>
      <c r="D47" s="112">
        <f>report_47_flagged!AM40</f>
        <v>1887.9</v>
      </c>
      <c r="E47" t="str">
        <f>report_47_flagged!D40</f>
        <v>McLane-PARFLUX-Mark78H-21 ; controller sn ML11741-01, frame sn 14182-01, motor sn 14182-01, cup set E250x21</v>
      </c>
      <c r="H47">
        <f>report_47_flagged!C40</f>
        <v>14</v>
      </c>
      <c r="I47">
        <f>report_47_flagged!F40</f>
        <v>2</v>
      </c>
      <c r="J47" s="67">
        <f>report_47_flagged!AC40</f>
        <v>43797</v>
      </c>
      <c r="K47" s="67">
        <f>report_47_flagged!AD40</f>
        <v>43816</v>
      </c>
      <c r="L47" s="67">
        <f>report_47_flagged!AE40</f>
        <v>43806.5</v>
      </c>
      <c r="M47" s="67">
        <f>report_47_flagged!AF40</f>
        <v>19</v>
      </c>
      <c r="N47" s="105">
        <f>report_47_flagged!H40</f>
        <v>155.36390977443605</v>
      </c>
      <c r="O47" s="105">
        <f t="shared" si="8"/>
        <v>9.3218345864661628E-2</v>
      </c>
      <c r="P47" s="105">
        <f>report_47_flagged!J40</f>
        <v>2</v>
      </c>
      <c r="Q47" s="265">
        <f>report_47_flagged!BA40</f>
        <v>36.950000000000003</v>
      </c>
      <c r="R47" s="265">
        <f t="shared" si="9"/>
        <v>0.81290000000000007</v>
      </c>
      <c r="S47" s="266">
        <f>report_47_flagged!BB40</f>
        <v>1</v>
      </c>
      <c r="T47" s="265">
        <f>report_47_flagged!BC40</f>
        <v>8.4030000000000005</v>
      </c>
      <c r="U47" s="265">
        <f t="shared" si="10"/>
        <v>0.24368700000000001</v>
      </c>
      <c r="V47" s="266">
        <f>report_47_flagged!BD40</f>
        <v>1</v>
      </c>
      <c r="W47" s="116">
        <f>(report_47_flagged!N40/100)*report_47_flagged!H40</f>
        <v>23.754044571790473</v>
      </c>
      <c r="X47" s="116">
        <f t="shared" si="11"/>
        <v>0.49903850056861643</v>
      </c>
      <c r="Y47" s="112">
        <f>report_47_flagged!AP40</f>
        <v>2</v>
      </c>
      <c r="Z47" s="116">
        <f>(report_47_flagged!P40/100)*report_47_flagged!H40</f>
        <v>1.776765543889282</v>
      </c>
      <c r="AA47" s="116">
        <f t="shared" si="12"/>
        <v>6.7525506401138552E-2</v>
      </c>
      <c r="AB47" s="112">
        <f>report_47_flagged!AR40</f>
        <v>2</v>
      </c>
      <c r="AC47" s="116">
        <f>(report_47_flagged!R40/100)*report_47_flagged!H40</f>
        <v>10.887862272734223</v>
      </c>
      <c r="AD47" s="116">
        <f t="shared" si="13"/>
        <v>0.30493012900377053</v>
      </c>
      <c r="AE47" s="112">
        <f>report_47_flagged!AT40</f>
        <v>2</v>
      </c>
      <c r="AF47" s="116">
        <f>(report_47_flagged!L40/100)*report_47_flagged!H40</f>
        <v>12.86618229905625</v>
      </c>
      <c r="AG47" s="116">
        <f t="shared" si="14"/>
        <v>0.24457932345718203</v>
      </c>
      <c r="AH47" s="112">
        <f>report_47_flagged!AV40</f>
        <v>2</v>
      </c>
      <c r="AI47" s="116">
        <f>(report_47_flagged!T40/100)*report_47_flagged!H40</f>
        <v>4.875392757280971</v>
      </c>
      <c r="AJ47" s="116">
        <f t="shared" si="15"/>
        <v>0.23891215404153457</v>
      </c>
      <c r="AK47" s="112">
        <f>report_47_flagged!AX40</f>
        <v>2</v>
      </c>
    </row>
    <row r="48" spans="1:37" ht="15.5">
      <c r="A48">
        <f>report_47_flagged!A41</f>
        <v>2019</v>
      </c>
      <c r="B48" t="str">
        <f>LEFT(report_47_flagged!B41,2)</f>
        <v>47</v>
      </c>
      <c r="C48">
        <f>report_47_flagged!E41</f>
        <v>2000</v>
      </c>
      <c r="D48" s="112">
        <f>report_47_flagged!AM41</f>
        <v>1887.9</v>
      </c>
      <c r="E48" t="str">
        <f>report_47_flagged!D41</f>
        <v>McLane-PARFLUX-Mark78H-21 ; controller sn ML11741-01, frame sn 14182-01, motor sn 14182-01, cup set E250x21</v>
      </c>
      <c r="H48">
        <f>report_47_flagged!C41</f>
        <v>15</v>
      </c>
      <c r="I48">
        <f>report_47_flagged!F41</f>
        <v>1</v>
      </c>
      <c r="J48" s="67">
        <f>report_47_flagged!AC41</f>
        <v>43816</v>
      </c>
      <c r="K48" s="67">
        <f>report_47_flagged!AD41</f>
        <v>43835</v>
      </c>
      <c r="L48" s="67">
        <f>report_47_flagged!AE41</f>
        <v>43825.5</v>
      </c>
      <c r="M48" s="67">
        <f>report_47_flagged!AF41</f>
        <v>19</v>
      </c>
      <c r="N48" s="105">
        <f>report_47_flagged!H41</f>
        <v>87.562406015037581</v>
      </c>
      <c r="O48" s="105">
        <f t="shared" si="8"/>
        <v>5.2537443609022544E-2</v>
      </c>
      <c r="P48" s="105">
        <f>report_47_flagged!J41</f>
        <v>1</v>
      </c>
      <c r="Q48" s="265">
        <f>report_47_flagged!BA41</f>
        <v>36.68</v>
      </c>
      <c r="R48" s="265">
        <f t="shared" si="9"/>
        <v>0.8069599999999999</v>
      </c>
      <c r="S48" s="266">
        <f>report_47_flagged!BB41</f>
        <v>1</v>
      </c>
      <c r="T48" s="265">
        <f>report_47_flagged!BC41</f>
        <v>8.5139999999999993</v>
      </c>
      <c r="U48" s="265">
        <f t="shared" si="10"/>
        <v>0.24690599999999999</v>
      </c>
      <c r="V48" s="266">
        <f>report_47_flagged!BD41</f>
        <v>1</v>
      </c>
      <c r="W48" s="116">
        <f>(report_47_flagged!N41/100)*report_47_flagged!H41</f>
        <v>11.348911222285793</v>
      </c>
      <c r="X48" s="116">
        <f t="shared" si="11"/>
        <v>0.23842439220568296</v>
      </c>
      <c r="Y48" s="112">
        <f>report_47_flagged!AP41</f>
        <v>1</v>
      </c>
      <c r="Z48" s="116">
        <f>(report_47_flagged!P41/100)*report_47_flagged!H41</f>
        <v>0.60682586129177774</v>
      </c>
      <c r="AA48" s="116">
        <f t="shared" si="12"/>
        <v>2.3062256988245468E-2</v>
      </c>
      <c r="AB48" s="112">
        <f>report_47_flagged!AR41</f>
        <v>1</v>
      </c>
      <c r="AC48" s="116">
        <f>(report_47_flagged!R41/100)*report_47_flagged!H41</f>
        <v>4.1822941771452919</v>
      </c>
      <c r="AD48" s="116">
        <f t="shared" si="13"/>
        <v>0.11713112005120632</v>
      </c>
      <c r="AE48" s="112">
        <f>report_47_flagged!AT41</f>
        <v>1</v>
      </c>
      <c r="AF48" s="116">
        <f>(report_47_flagged!L41/100)*report_47_flagged!H41</f>
        <v>7.1666170451405007</v>
      </c>
      <c r="AG48" s="116">
        <f t="shared" si="14"/>
        <v>0.13623360120629902</v>
      </c>
      <c r="AH48" s="112">
        <f>report_47_flagged!AV41</f>
        <v>1</v>
      </c>
      <c r="AI48" s="116">
        <f>(report_47_flagged!T41/100)*report_47_flagged!H41</f>
        <v>3.8380150772814066</v>
      </c>
      <c r="AJ48" s="116">
        <f t="shared" si="15"/>
        <v>0.18807683708923872</v>
      </c>
      <c r="AK48" s="112">
        <f>report_47_flagged!AX41</f>
        <v>1</v>
      </c>
    </row>
    <row r="49" spans="1:37" ht="15.5">
      <c r="A49">
        <f>report_47_flagged!A42</f>
        <v>2019</v>
      </c>
      <c r="B49" t="str">
        <f>LEFT(report_47_flagged!B42,2)</f>
        <v>47</v>
      </c>
      <c r="C49">
        <f>report_47_flagged!E42</f>
        <v>2000</v>
      </c>
      <c r="D49" s="112">
        <f>report_47_flagged!AM42</f>
        <v>1887.9</v>
      </c>
      <c r="E49" t="str">
        <f>report_47_flagged!D42</f>
        <v>McLane-PARFLUX-Mark78H-21 ; controller sn ML11741-01, frame sn 14182-01, motor sn 14182-01, cup set E250x21</v>
      </c>
      <c r="H49">
        <f>report_47_flagged!C42</f>
        <v>16</v>
      </c>
      <c r="I49">
        <f>report_47_flagged!F42</f>
        <v>1</v>
      </c>
      <c r="J49" s="67">
        <f>report_47_flagged!AC42</f>
        <v>43835</v>
      </c>
      <c r="K49" s="67">
        <f>report_47_flagged!AD42</f>
        <v>43854</v>
      </c>
      <c r="L49" s="67">
        <f>report_47_flagged!AE42</f>
        <v>43844.5</v>
      </c>
      <c r="M49" s="67">
        <f>report_47_flagged!AF42</f>
        <v>19</v>
      </c>
      <c r="N49" s="105">
        <f>report_47_flagged!H42</f>
        <v>13.181954887218046</v>
      </c>
      <c r="O49" s="105">
        <f t="shared" si="8"/>
        <v>7.9091729323308262E-3</v>
      </c>
      <c r="P49" s="105">
        <f>report_47_flagged!J42</f>
        <v>1</v>
      </c>
      <c r="Q49" s="265">
        <f>report_47_flagged!BA42</f>
        <v>39.450000000000003</v>
      </c>
      <c r="R49" s="265">
        <f t="shared" si="9"/>
        <v>0.8679</v>
      </c>
      <c r="S49" s="266">
        <f>report_47_flagged!BB42</f>
        <v>1</v>
      </c>
      <c r="T49" s="265">
        <f>report_47_flagged!BC42</f>
        <v>8.657</v>
      </c>
      <c r="U49" s="265">
        <f t="shared" si="10"/>
        <v>0.25105300000000003</v>
      </c>
      <c r="V49" s="266">
        <f>report_47_flagged!BD42</f>
        <v>1</v>
      </c>
      <c r="W49" s="116">
        <f>(report_47_flagged!N42/100)*report_47_flagged!H42</f>
        <v>1.7128214129684565</v>
      </c>
      <c r="X49" s="116">
        <f t="shared" si="11"/>
        <v>3.5983928003767707E-2</v>
      </c>
      <c r="Y49" s="112">
        <f>report_47_flagged!AP42</f>
        <v>1</v>
      </c>
      <c r="Z49" s="116">
        <f>(report_47_flagged!P42/100)*report_47_flagged!H42</f>
        <v>9.4169708441970951E-2</v>
      </c>
      <c r="AA49" s="116">
        <f t="shared" si="12"/>
        <v>3.5788949600363868E-3</v>
      </c>
      <c r="AB49" s="112">
        <f>report_47_flagged!AR42</f>
        <v>1</v>
      </c>
      <c r="AC49" s="116">
        <f>(report_47_flagged!R42/100)*report_47_flagged!H42</f>
        <v>0.57681057125823298</v>
      </c>
      <c r="AD49" s="116">
        <f t="shared" si="13"/>
        <v>1.615440363761525E-2</v>
      </c>
      <c r="AE49" s="112">
        <f>report_47_flagged!AT42</f>
        <v>1</v>
      </c>
      <c r="AF49" s="116">
        <f>(report_47_flagged!L42/100)*report_47_flagged!H42</f>
        <v>1.1360108417102235</v>
      </c>
      <c r="AG49" s="116">
        <f t="shared" si="14"/>
        <v>2.1594965518706401E-2</v>
      </c>
      <c r="AH49" s="112">
        <f>report_47_flagged!AV42</f>
        <v>1</v>
      </c>
      <c r="AI49" s="116">
        <f>(report_47_flagged!T42/100)*report_47_flagged!H42</f>
        <v>0.51691208999139782</v>
      </c>
      <c r="AJ49" s="116">
        <f t="shared" si="15"/>
        <v>2.5330591199144954E-2</v>
      </c>
      <c r="AK49" s="112">
        <f>report_47_flagged!AX42</f>
        <v>1</v>
      </c>
    </row>
    <row r="50" spans="1:37" ht="15.5">
      <c r="A50">
        <f>report_47_flagged!A43</f>
        <v>2019</v>
      </c>
      <c r="B50" t="str">
        <f>LEFT(report_47_flagged!B43,2)</f>
        <v>47</v>
      </c>
      <c r="C50">
        <f>report_47_flagged!E43</f>
        <v>2000</v>
      </c>
      <c r="D50" s="112">
        <f>report_47_flagged!AM43</f>
        <v>1887.9</v>
      </c>
      <c r="E50" t="str">
        <f>report_47_flagged!D43</f>
        <v>McLane-PARFLUX-Mark78H-21 ; controller sn ML11741-01, frame sn 14182-01, motor sn 14182-01, cup set E250x21</v>
      </c>
      <c r="H50">
        <f>report_47_flagged!C43</f>
        <v>17</v>
      </c>
      <c r="I50">
        <f>report_47_flagged!F43</f>
        <v>1</v>
      </c>
      <c r="J50" s="67">
        <f>report_47_flagged!AC43</f>
        <v>43854</v>
      </c>
      <c r="K50" s="67">
        <f>report_47_flagged!AD43</f>
        <v>43873</v>
      </c>
      <c r="L50" s="67">
        <f>report_47_flagged!AE43</f>
        <v>43863.5</v>
      </c>
      <c r="M50" s="67">
        <f>report_47_flagged!AF43</f>
        <v>19</v>
      </c>
      <c r="N50" s="105">
        <f>report_47_flagged!H43</f>
        <v>7.8992481203007507</v>
      </c>
      <c r="O50" s="105">
        <f t="shared" si="8"/>
        <v>4.7395488721804499E-3</v>
      </c>
      <c r="P50" s="105">
        <f>report_47_flagged!J43</f>
        <v>1</v>
      </c>
      <c r="Q50" s="265">
        <f>report_47_flagged!BA43</f>
        <v>39.46</v>
      </c>
      <c r="R50" s="265">
        <f t="shared" si="9"/>
        <v>0.86812</v>
      </c>
      <c r="S50" s="266">
        <f>report_47_flagged!BB43</f>
        <v>1</v>
      </c>
      <c r="T50" s="265">
        <f>report_47_flagged!BC43</f>
        <v>8.6980000000000004</v>
      </c>
      <c r="U50" s="265">
        <f t="shared" si="10"/>
        <v>0.25224200000000002</v>
      </c>
      <c r="V50" s="266">
        <f>report_47_flagged!BD43</f>
        <v>1</v>
      </c>
      <c r="W50" s="116">
        <f>(report_47_flagged!N43/100)*report_47_flagged!H43</f>
        <v>1.0184326304815763</v>
      </c>
      <c r="X50" s="116">
        <f t="shared" si="11"/>
        <v>2.1395812881872058E-2</v>
      </c>
      <c r="Y50" s="112">
        <f>report_47_flagged!AP43</f>
        <v>1</v>
      </c>
      <c r="Z50" s="116">
        <f>(report_47_flagged!P43/100)*report_47_flagged!H43</f>
        <v>5.0718457210332822E-2</v>
      </c>
      <c r="AA50" s="116">
        <f t="shared" si="12"/>
        <v>1.9275416043444023E-3</v>
      </c>
      <c r="AB50" s="112">
        <f>report_47_flagged!AR43</f>
        <v>1</v>
      </c>
      <c r="AC50" s="116">
        <f>(report_47_flagged!R43/100)*report_47_flagged!H43</f>
        <v>0.33607566579997827</v>
      </c>
      <c r="AD50" s="116">
        <f t="shared" si="13"/>
        <v>9.4122788808642961E-3</v>
      </c>
      <c r="AE50" s="112">
        <f>report_47_flagged!AT43</f>
        <v>1</v>
      </c>
      <c r="AF50" s="116">
        <f>(report_47_flagged!L43/100)*report_47_flagged!H43</f>
        <v>0.68235696468159812</v>
      </c>
      <c r="AG50" s="116">
        <f t="shared" si="14"/>
        <v>1.2971245152523849E-2</v>
      </c>
      <c r="AH50" s="112">
        <f>report_47_flagged!AV43</f>
        <v>1</v>
      </c>
      <c r="AI50" s="116">
        <f>(report_47_flagged!T43/100)*report_47_flagged!H43</f>
        <v>0.30774542877863947</v>
      </c>
      <c r="AJ50" s="116">
        <f t="shared" si="15"/>
        <v>1.5080656461192506E-2</v>
      </c>
      <c r="AK50" s="112">
        <f>report_47_flagged!AX43</f>
        <v>1</v>
      </c>
    </row>
    <row r="51" spans="1:37" ht="15.5">
      <c r="A51">
        <f>report_47_flagged!A44</f>
        <v>2019</v>
      </c>
      <c r="B51" t="str">
        <f>LEFT(report_47_flagged!B44,2)</f>
        <v>47</v>
      </c>
      <c r="C51">
        <f>report_47_flagged!E44</f>
        <v>2000</v>
      </c>
      <c r="D51" s="112">
        <f>report_47_flagged!AM44</f>
        <v>1887.9</v>
      </c>
      <c r="E51" t="str">
        <f>report_47_flagged!D44</f>
        <v>McLane-PARFLUX-Mark78H-21 ; controller sn ML11741-01, frame sn 14182-01, motor sn 14182-01, cup set E250x21</v>
      </c>
      <c r="H51">
        <f>report_47_flagged!C44</f>
        <v>18</v>
      </c>
      <c r="I51">
        <f>report_47_flagged!F44</f>
        <v>1</v>
      </c>
      <c r="J51" s="67">
        <f>report_47_flagged!AC44</f>
        <v>43873</v>
      </c>
      <c r="K51" s="67">
        <f>report_47_flagged!AD44</f>
        <v>43892</v>
      </c>
      <c r="L51" s="67">
        <f>report_47_flagged!AE44</f>
        <v>43882.5</v>
      </c>
      <c r="M51" s="67">
        <f>report_47_flagged!AF44</f>
        <v>19</v>
      </c>
      <c r="N51" s="105">
        <f>report_47_flagged!H44</f>
        <v>12.190977443609023</v>
      </c>
      <c r="O51" s="105">
        <f t="shared" si="8"/>
        <v>7.3145864661654132E-3</v>
      </c>
      <c r="P51" s="105">
        <f>report_47_flagged!J44</f>
        <v>1</v>
      </c>
      <c r="Q51" s="265">
        <f>report_47_flagged!BA44</f>
        <v>39.869999999999997</v>
      </c>
      <c r="R51" s="265">
        <f t="shared" si="9"/>
        <v>0.87713999999999992</v>
      </c>
      <c r="S51" s="266">
        <f>report_47_flagged!BB44</f>
        <v>1</v>
      </c>
      <c r="T51" s="265">
        <f>report_47_flagged!BC44</f>
        <v>8.6669999999999998</v>
      </c>
      <c r="U51" s="265">
        <f t="shared" si="10"/>
        <v>0.25134299999999998</v>
      </c>
      <c r="V51" s="266">
        <f>report_47_flagged!BD44</f>
        <v>1</v>
      </c>
      <c r="W51" s="116">
        <f>(report_47_flagged!N44/100)*report_47_flagged!H44</f>
        <v>1.5439168336767901</v>
      </c>
      <c r="X51" s="116">
        <f t="shared" si="11"/>
        <v>3.2435484380445301E-2</v>
      </c>
      <c r="Y51" s="112">
        <f>report_47_flagged!AP44</f>
        <v>1</v>
      </c>
      <c r="Z51" s="116">
        <f>(report_47_flagged!P44/100)*report_47_flagged!H44</f>
        <v>7.305887436149712E-2</v>
      </c>
      <c r="AA51" s="116">
        <f t="shared" si="12"/>
        <v>2.7765832725224603E-3</v>
      </c>
      <c r="AB51" s="112">
        <f>report_47_flagged!AR44</f>
        <v>1</v>
      </c>
      <c r="AC51" s="116">
        <f>(report_47_flagged!R44/100)*report_47_flagged!H44</f>
        <v>0.46950094889087857</v>
      </c>
      <c r="AD51" s="116">
        <f t="shared" si="13"/>
        <v>1.3149044442930474E-2</v>
      </c>
      <c r="AE51" s="112">
        <f>report_47_flagged!AT44</f>
        <v>1</v>
      </c>
      <c r="AF51" s="116">
        <f>(report_47_flagged!L44/100)*report_47_flagged!H44</f>
        <v>1.0744158847859115</v>
      </c>
      <c r="AG51" s="116">
        <f t="shared" si="14"/>
        <v>2.0424077951379807E-2</v>
      </c>
      <c r="AH51" s="112">
        <f>report_47_flagged!AV44</f>
        <v>1</v>
      </c>
      <c r="AI51" s="116">
        <f>(report_47_flagged!T44/100)*report_47_flagged!H44</f>
        <v>0.46359059015998083</v>
      </c>
      <c r="AJ51" s="116">
        <f t="shared" si="15"/>
        <v>2.2717641839849881E-2</v>
      </c>
      <c r="AK51" s="112">
        <f>report_47_flagged!AX44</f>
        <v>1</v>
      </c>
    </row>
    <row r="52" spans="1:37" ht="15.5">
      <c r="A52">
        <f>report_47_flagged!A45</f>
        <v>2019</v>
      </c>
      <c r="B52" t="str">
        <f>LEFT(report_47_flagged!B45,2)</f>
        <v>47</v>
      </c>
      <c r="C52">
        <f>report_47_flagged!E45</f>
        <v>2000</v>
      </c>
      <c r="D52" s="112">
        <f>report_47_flagged!AM45</f>
        <v>1887.9</v>
      </c>
      <c r="E52" t="str">
        <f>report_47_flagged!D45</f>
        <v>McLane-PARFLUX-Mark78H-21 ; controller sn ML11741-01, frame sn 14182-01, motor sn 14182-01, cup set E250x21</v>
      </c>
      <c r="H52">
        <f>report_47_flagged!C45</f>
        <v>19</v>
      </c>
      <c r="I52">
        <f>report_47_flagged!F45</f>
        <v>1</v>
      </c>
      <c r="J52" s="67">
        <f>report_47_flagged!AC45</f>
        <v>43892</v>
      </c>
      <c r="K52" s="67">
        <f>report_47_flagged!AD45</f>
        <v>43911</v>
      </c>
      <c r="L52" s="67">
        <f>report_47_flagged!AE45</f>
        <v>43901.5</v>
      </c>
      <c r="M52" s="67">
        <f>report_47_flagged!AF45</f>
        <v>19</v>
      </c>
      <c r="N52" s="105">
        <f>report_47_flagged!H45</f>
        <v>3.3639097744360895</v>
      </c>
      <c r="O52" s="105">
        <f t="shared" si="8"/>
        <v>2.0183458646616534E-3</v>
      </c>
      <c r="P52" s="105">
        <f>report_47_flagged!J45</f>
        <v>1</v>
      </c>
      <c r="Q52" s="265">
        <f>report_47_flagged!BA45</f>
        <v>39.83</v>
      </c>
      <c r="R52" s="265">
        <f t="shared" si="9"/>
        <v>0.87625999999999993</v>
      </c>
      <c r="S52" s="266">
        <f>report_47_flagged!BB45</f>
        <v>1</v>
      </c>
      <c r="T52" s="265">
        <f>report_47_flagged!BC45</f>
        <v>8.6869999999999994</v>
      </c>
      <c r="U52" s="265">
        <f t="shared" si="10"/>
        <v>0.25192300000000001</v>
      </c>
      <c r="V52" s="266">
        <f>report_47_flagged!BD45</f>
        <v>1</v>
      </c>
      <c r="W52" s="116">
        <f>(report_47_flagged!N45/100)*report_47_flagged!H45</f>
        <v>0.43705563482126786</v>
      </c>
      <c r="X52" s="116">
        <f t="shared" si="11"/>
        <v>9.1819137581853217E-3</v>
      </c>
      <c r="Y52" s="112">
        <f>report_47_flagged!AP45</f>
        <v>1</v>
      </c>
      <c r="Z52" s="116">
        <f>(report_47_flagged!P45/100)*report_47_flagged!H45</f>
        <v>1.6594298943989255E-2</v>
      </c>
      <c r="AA52" s="116">
        <f t="shared" si="12"/>
        <v>6.3066195954697044E-4</v>
      </c>
      <c r="AB52" s="112">
        <f>report_47_flagged!AR45</f>
        <v>1</v>
      </c>
      <c r="AC52" s="116">
        <f>(report_47_flagged!R45/100)*report_47_flagged!H45</f>
        <v>0.12071915024138992</v>
      </c>
      <c r="AD52" s="116">
        <f t="shared" si="13"/>
        <v>3.3809121693719238E-3</v>
      </c>
      <c r="AE52" s="112">
        <f>report_47_flagged!AT45</f>
        <v>1</v>
      </c>
      <c r="AF52" s="116">
        <f>(report_47_flagged!L45/100)*report_47_flagged!H45</f>
        <v>0.31633648457987795</v>
      </c>
      <c r="AG52" s="116">
        <f t="shared" si="14"/>
        <v>6.0133893322065696E-3</v>
      </c>
      <c r="AH52" s="112">
        <f>report_47_flagged!AV45</f>
        <v>1</v>
      </c>
      <c r="AI52" s="116">
        <f>(report_47_flagged!T45/100)*report_47_flagged!H45</f>
        <v>9.295396699924996E-2</v>
      </c>
      <c r="AJ52" s="116">
        <f t="shared" si="15"/>
        <v>4.5550858337168997E-3</v>
      </c>
      <c r="AK52" s="112">
        <f>report_47_flagged!AX45</f>
        <v>1</v>
      </c>
    </row>
    <row r="53" spans="1:37" ht="15.5">
      <c r="A53">
        <f>report_47_flagged!A46</f>
        <v>2019</v>
      </c>
      <c r="B53" t="str">
        <f>LEFT(report_47_flagged!B46,2)</f>
        <v>47</v>
      </c>
      <c r="C53">
        <f>report_47_flagged!E46</f>
        <v>2000</v>
      </c>
      <c r="D53" s="112">
        <f>report_47_flagged!AM46</f>
        <v>1887.9</v>
      </c>
      <c r="E53" t="str">
        <f>report_47_flagged!D46</f>
        <v>McLane-PARFLUX-Mark78H-21 ; controller sn ML11741-01, frame sn 14182-01, motor sn 14182-01, cup set E250x21</v>
      </c>
      <c r="H53">
        <f>report_47_flagged!C46</f>
        <v>20</v>
      </c>
      <c r="I53">
        <f>report_47_flagged!F46</f>
        <v>1</v>
      </c>
      <c r="J53" s="67">
        <f>report_47_flagged!AC46</f>
        <v>43911</v>
      </c>
      <c r="K53" s="67">
        <f>report_47_flagged!AD46</f>
        <v>43930</v>
      </c>
      <c r="L53" s="67">
        <f>report_47_flagged!AE46</f>
        <v>43920.5</v>
      </c>
      <c r="M53" s="67">
        <f>report_47_flagged!AF46</f>
        <v>19</v>
      </c>
      <c r="N53" s="105">
        <f>report_47_flagged!H46</f>
        <v>24.711278195488717</v>
      </c>
      <c r="O53" s="105">
        <f t="shared" si="8"/>
        <v>1.4826766917293229E-2</v>
      </c>
      <c r="P53" s="105">
        <f>report_47_flagged!J46</f>
        <v>1</v>
      </c>
      <c r="Q53" s="265">
        <f>report_47_flagged!BA46</f>
        <v>39.26</v>
      </c>
      <c r="R53" s="265">
        <f t="shared" si="9"/>
        <v>0.86371999999999993</v>
      </c>
      <c r="S53" s="266">
        <f>report_47_flagged!BB46</f>
        <v>1</v>
      </c>
      <c r="T53" s="265">
        <f>report_47_flagged!BC46</f>
        <v>8.6300000000000008</v>
      </c>
      <c r="U53" s="265">
        <f t="shared" si="10"/>
        <v>0.25027000000000005</v>
      </c>
      <c r="V53" s="266">
        <f>report_47_flagged!BD46</f>
        <v>1</v>
      </c>
      <c r="W53" s="116">
        <f>(report_47_flagged!N46/100)*report_47_flagged!H46</f>
        <v>3.2553991644436251</v>
      </c>
      <c r="X53" s="116">
        <f t="shared" si="11"/>
        <v>6.839128018247298E-2</v>
      </c>
      <c r="Y53" s="112">
        <f>report_47_flagged!AP46</f>
        <v>1</v>
      </c>
      <c r="Z53" s="116">
        <f>(report_47_flagged!P46/100)*report_47_flagged!H46</f>
        <v>0.16951774563108168</v>
      </c>
      <c r="AA53" s="116">
        <f t="shared" si="12"/>
        <v>6.4424772627352809E-3</v>
      </c>
      <c r="AB53" s="112">
        <f>report_47_flagged!AR46</f>
        <v>1</v>
      </c>
      <c r="AC53" s="116">
        <f>(report_47_flagged!R46/100)*report_47_flagged!H46</f>
        <v>1.0234311916621412</v>
      </c>
      <c r="AD53" s="116">
        <f t="shared" si="13"/>
        <v>2.8662651811965773E-2</v>
      </c>
      <c r="AE53" s="112">
        <f>report_47_flagged!AT46</f>
        <v>1</v>
      </c>
      <c r="AF53" s="116">
        <f>(report_47_flagged!L46/100)*report_47_flagged!H46</f>
        <v>2.2319679727814838</v>
      </c>
      <c r="AG53" s="116">
        <f t="shared" si="14"/>
        <v>4.2428531173620582E-2</v>
      </c>
      <c r="AH53" s="112">
        <f>report_47_flagged!AV46</f>
        <v>1</v>
      </c>
      <c r="AI53" s="116">
        <f>(report_47_flagged!T46/100)*report_47_flagged!H46</f>
        <v>0.90315239303343897</v>
      </c>
      <c r="AJ53" s="116">
        <f t="shared" si="15"/>
        <v>4.4257784836954091E-2</v>
      </c>
      <c r="AK53" s="112">
        <f>report_47_flagged!AX46</f>
        <v>1</v>
      </c>
    </row>
    <row r="54" spans="1:37" ht="15.5">
      <c r="A54">
        <f>report_47_flagged!A47</f>
        <v>2019</v>
      </c>
      <c r="B54" t="str">
        <f>LEFT(report_47_flagged!B47,2)</f>
        <v>47</v>
      </c>
      <c r="C54">
        <f>report_47_flagged!E47</f>
        <v>2000</v>
      </c>
      <c r="D54" s="112">
        <f>report_47_flagged!AM47</f>
        <v>1887.9</v>
      </c>
      <c r="E54" t="str">
        <f>report_47_flagged!D47</f>
        <v>McLane-PARFLUX-Mark78H-21 ; controller sn ML11741-01, frame sn 14182-01, motor sn 14182-01, cup set E250x21</v>
      </c>
      <c r="H54">
        <f>report_47_flagged!C47</f>
        <v>21</v>
      </c>
      <c r="I54">
        <f>report_47_flagged!F47</f>
        <v>1</v>
      </c>
      <c r="J54" s="67">
        <f>report_47_flagged!AC47</f>
        <v>43930</v>
      </c>
      <c r="K54" s="67">
        <f>report_47_flagged!AD47</f>
        <v>43949</v>
      </c>
      <c r="L54" s="67">
        <f>report_47_flagged!AE47</f>
        <v>43939.5</v>
      </c>
      <c r="M54" s="67">
        <f>report_47_flagged!AF47</f>
        <v>19</v>
      </c>
      <c r="N54" s="105">
        <f>report_47_flagged!H47</f>
        <v>13.386466165413536</v>
      </c>
      <c r="O54" s="105">
        <f t="shared" si="8"/>
        <v>8.0318796992481199E-3</v>
      </c>
      <c r="P54" s="105">
        <f>report_47_flagged!J47</f>
        <v>1</v>
      </c>
      <c r="Q54" s="265">
        <f>report_47_flagged!BA47</f>
        <v>39.520000000000003</v>
      </c>
      <c r="R54" s="265">
        <f t="shared" si="9"/>
        <v>0.86943999999999999</v>
      </c>
      <c r="S54" s="266">
        <f>report_47_flagged!BB47</f>
        <v>1</v>
      </c>
      <c r="T54" s="265">
        <f>report_47_flagged!BC47</f>
        <v>8.6950000000000003</v>
      </c>
      <c r="U54" s="265">
        <f t="shared" si="10"/>
        <v>0.25215500000000002</v>
      </c>
      <c r="V54" s="266">
        <f>report_47_flagged!BD47</f>
        <v>1</v>
      </c>
      <c r="W54" s="116">
        <f>(report_47_flagged!N47/100)*report_47_flagged!H47</f>
        <v>1.7446723049421957</v>
      </c>
      <c r="X54" s="116">
        <f t="shared" si="11"/>
        <v>3.6653069687168603E-2</v>
      </c>
      <c r="Y54" s="112">
        <f>report_47_flagged!AP47</f>
        <v>1</v>
      </c>
      <c r="Z54" s="116">
        <f>(report_47_flagged!P47/100)*report_47_flagged!H47</f>
        <v>8.6028149846801197E-2</v>
      </c>
      <c r="AA54" s="116">
        <f t="shared" si="12"/>
        <v>3.2694771705457336E-3</v>
      </c>
      <c r="AB54" s="112">
        <f>report_47_flagged!AR47</f>
        <v>1</v>
      </c>
      <c r="AC54" s="116">
        <f>(report_47_flagged!R47/100)*report_47_flagged!H47</f>
        <v>0.48203035321291726</v>
      </c>
      <c r="AD54" s="116">
        <f t="shared" si="13"/>
        <v>1.3499948300873948E-2</v>
      </c>
      <c r="AE54" s="112">
        <f>report_47_flagged!AT47</f>
        <v>1</v>
      </c>
      <c r="AF54" s="116">
        <f>(report_47_flagged!L47/100)*report_47_flagged!H47</f>
        <v>1.2626419517292786</v>
      </c>
      <c r="AG54" s="116">
        <f t="shared" si="14"/>
        <v>2.4002155973280037E-2</v>
      </c>
      <c r="AH54" s="112">
        <f>report_47_flagged!AV47</f>
        <v>1</v>
      </c>
      <c r="AI54" s="116">
        <f>(report_47_flagged!T47/100)*report_47_flagged!H47</f>
        <v>0.34604512686053507</v>
      </c>
      <c r="AJ54" s="116">
        <f t="shared" si="15"/>
        <v>1.6957482354700466E-2</v>
      </c>
      <c r="AK54" s="112">
        <f>report_47_flagged!AX47</f>
        <v>1</v>
      </c>
    </row>
    <row r="55" spans="1:37" ht="15.5">
      <c r="A55">
        <f>report_47_flagged!A48</f>
        <v>2019</v>
      </c>
      <c r="B55" t="str">
        <f>LEFT(report_47_flagged!B48,2)</f>
        <v>47</v>
      </c>
      <c r="C55">
        <f>report_47_flagged!E48</f>
        <v>3800</v>
      </c>
      <c r="D55" s="112">
        <f>report_47_flagged!AM48</f>
        <v>3841.1</v>
      </c>
      <c r="E55" t="str">
        <f>report_47_flagged!D48</f>
        <v>McLane-PARFLUX-Mark78H-21 ; controller sn ML11649-01, frame sn 10705-01, funnel says 10583, motor sn 11640-01, cup set L250x21</v>
      </c>
      <c r="H55">
        <f>report_47_flagged!C48</f>
        <v>1</v>
      </c>
      <c r="I55">
        <f>report_47_flagged!F48</f>
        <v>1</v>
      </c>
      <c r="J55" s="67">
        <f>report_47_flagged!AC48</f>
        <v>43550</v>
      </c>
      <c r="K55" s="67">
        <f>report_47_flagged!AD48</f>
        <v>43569</v>
      </c>
      <c r="L55" s="67">
        <f>report_47_flagged!AE48</f>
        <v>43559.5</v>
      </c>
      <c r="M55" s="67">
        <f>report_47_flagged!AF48</f>
        <v>19</v>
      </c>
      <c r="N55" s="105">
        <f>report_47_flagged!H48</f>
        <v>64.633082706766913</v>
      </c>
      <c r="O55" s="105">
        <f t="shared" si="8"/>
        <v>3.8779849624060142E-2</v>
      </c>
      <c r="P55" s="105">
        <f>report_47_flagged!J48</f>
        <v>1</v>
      </c>
      <c r="Q55" s="265">
        <f>report_47_flagged!BA48</f>
        <v>39.840000000000003</v>
      </c>
      <c r="R55" s="265">
        <f t="shared" si="9"/>
        <v>0.87648000000000004</v>
      </c>
      <c r="S55" s="266">
        <f>report_47_flagged!BB48</f>
        <v>1</v>
      </c>
      <c r="T55" s="265">
        <f>report_47_flagged!BC48</f>
        <v>8.5830000000000002</v>
      </c>
      <c r="U55" s="265">
        <f t="shared" si="10"/>
        <v>0.24890700000000002</v>
      </c>
      <c r="V55" s="266">
        <f>report_47_flagged!BD48</f>
        <v>1</v>
      </c>
      <c r="W55" s="116">
        <f>(report_47_flagged!N48/100)*report_47_flagged!H48</f>
        <v>8.4380359105131681</v>
      </c>
      <c r="X55" s="116">
        <f t="shared" si="11"/>
        <v>0.17727106538847553</v>
      </c>
      <c r="Y55" s="112">
        <f>report_47_flagged!AP48</f>
        <v>1</v>
      </c>
      <c r="Z55" s="116">
        <f>(report_47_flagged!P48/100)*report_47_flagged!H48</f>
        <v>0.3887161224130401</v>
      </c>
      <c r="AA55" s="116">
        <f t="shared" si="12"/>
        <v>1.4773053823843817E-2</v>
      </c>
      <c r="AB55" s="112">
        <f>report_47_flagged!AR48</f>
        <v>1</v>
      </c>
      <c r="AC55" s="116">
        <f>(report_47_flagged!R48/100)*report_47_flagged!H48</f>
        <v>2.8035678599889575</v>
      </c>
      <c r="AD55" s="116">
        <f t="shared" si="13"/>
        <v>7.8517920947448971E-2</v>
      </c>
      <c r="AE55" s="112">
        <f>report_47_flagged!AT48</f>
        <v>1</v>
      </c>
      <c r="AF55" s="116">
        <f>(report_47_flagged!L48/100)*report_47_flagged!H48</f>
        <v>5.6344680505242106</v>
      </c>
      <c r="AG55" s="116">
        <f t="shared" si="14"/>
        <v>0.10710825882976975</v>
      </c>
      <c r="AH55" s="112">
        <f>report_47_flagged!AV48</f>
        <v>1</v>
      </c>
      <c r="AI55" s="116">
        <f>(report_47_flagged!T48/100)*report_47_flagged!H48</f>
        <v>3.3394445395875074</v>
      </c>
      <c r="AJ55" s="116">
        <f t="shared" si="15"/>
        <v>0.16364504932727669</v>
      </c>
      <c r="AK55" s="112">
        <f>report_47_flagged!AX48</f>
        <v>1</v>
      </c>
    </row>
    <row r="56" spans="1:37" ht="15.5">
      <c r="A56">
        <f>report_47_flagged!A49</f>
        <v>2019</v>
      </c>
      <c r="B56" t="str">
        <f>LEFT(report_47_flagged!B49,2)</f>
        <v>47</v>
      </c>
      <c r="C56">
        <f>report_47_flagged!E49</f>
        <v>3800</v>
      </c>
      <c r="D56" s="112">
        <f>report_47_flagged!AM49</f>
        <v>3841.1</v>
      </c>
      <c r="E56" t="str">
        <f>report_47_flagged!D49</f>
        <v>McLane-PARFLUX-Mark78H-21 ; controller sn ML11649-01, frame sn 10705-01, funnel says 10583, motor sn 11640-01, cup set L250x21</v>
      </c>
      <c r="H56">
        <f>report_47_flagged!C49</f>
        <v>2</v>
      </c>
      <c r="I56">
        <f>report_47_flagged!F49</f>
        <v>1</v>
      </c>
      <c r="J56" s="67">
        <f>report_47_flagged!AC49</f>
        <v>43569</v>
      </c>
      <c r="K56" s="67">
        <f>report_47_flagged!AD49</f>
        <v>43588</v>
      </c>
      <c r="L56" s="67">
        <f>report_47_flagged!AE49</f>
        <v>43578.5</v>
      </c>
      <c r="M56" s="67">
        <f>report_47_flagged!AF49</f>
        <v>19</v>
      </c>
      <c r="N56" s="105">
        <f>report_47_flagged!H49</f>
        <v>60.485714285714288</v>
      </c>
      <c r="O56" s="105">
        <f t="shared" si="8"/>
        <v>3.6291428571428572E-2</v>
      </c>
      <c r="P56" s="105">
        <f>report_47_flagged!J49</f>
        <v>1</v>
      </c>
      <c r="Q56" s="265">
        <f>report_47_flagged!BA49</f>
        <v>39.57</v>
      </c>
      <c r="R56" s="265">
        <f t="shared" si="9"/>
        <v>0.87053999999999998</v>
      </c>
      <c r="S56" s="266">
        <f>report_47_flagged!BB49</f>
        <v>1</v>
      </c>
      <c r="T56" s="265">
        <f>report_47_flagged!BC49</f>
        <v>8.5850000000000009</v>
      </c>
      <c r="U56" s="265">
        <f t="shared" si="10"/>
        <v>0.24896500000000005</v>
      </c>
      <c r="V56" s="266">
        <f>report_47_flagged!BD49</f>
        <v>1</v>
      </c>
      <c r="W56" s="116">
        <f>(report_47_flagged!N49/100)*report_47_flagged!H49</f>
        <v>7.7406538865225665</v>
      </c>
      <c r="X56" s="116">
        <f t="shared" si="11"/>
        <v>0.16262006654387987</v>
      </c>
      <c r="Y56" s="112">
        <f>report_47_flagged!AP49</f>
        <v>1</v>
      </c>
      <c r="Z56" s="116">
        <f>(report_47_flagged!P49/100)*report_47_flagged!H49</f>
        <v>0.35164936394350871</v>
      </c>
      <c r="AA56" s="116">
        <f t="shared" si="12"/>
        <v>1.336434143356135E-2</v>
      </c>
      <c r="AB56" s="112">
        <f>report_47_flagged!AR49</f>
        <v>1</v>
      </c>
      <c r="AC56" s="116">
        <f>(report_47_flagged!R49/100)*report_47_flagged!H49</f>
        <v>2.5125205095484575</v>
      </c>
      <c r="AD56" s="116">
        <f t="shared" si="13"/>
        <v>7.0366724331169569E-2</v>
      </c>
      <c r="AE56" s="112">
        <f>report_47_flagged!AT49</f>
        <v>1</v>
      </c>
      <c r="AF56" s="116">
        <f>(report_47_flagged!L49/100)*report_47_flagged!H49</f>
        <v>5.2281333769741085</v>
      </c>
      <c r="AG56" s="116">
        <f t="shared" si="14"/>
        <v>9.9384051505164328E-2</v>
      </c>
      <c r="AH56" s="112">
        <f>report_47_flagged!AV49</f>
        <v>1</v>
      </c>
      <c r="AI56" s="116">
        <f>(report_47_flagged!T49/100)*report_47_flagged!H49</f>
        <v>3.425828514108368</v>
      </c>
      <c r="AJ56" s="116">
        <f t="shared" si="15"/>
        <v>0.16787818139579089</v>
      </c>
      <c r="AK56" s="112">
        <f>report_47_flagged!AX49</f>
        <v>1</v>
      </c>
    </row>
    <row r="57" spans="1:37" ht="15.5">
      <c r="A57">
        <f>report_47_flagged!A50</f>
        <v>2019</v>
      </c>
      <c r="B57" t="str">
        <f>LEFT(report_47_flagged!B50,2)</f>
        <v>47</v>
      </c>
      <c r="C57">
        <f>report_47_flagged!E50</f>
        <v>3800</v>
      </c>
      <c r="D57" s="112">
        <f>report_47_flagged!AM50</f>
        <v>3841.1</v>
      </c>
      <c r="E57" t="str">
        <f>report_47_flagged!D50</f>
        <v>McLane-PARFLUX-Mark78H-21 ; controller sn ML11649-01, frame sn 10705-01, funnel says 10583, motor sn 11640-01, cup set L250x21</v>
      </c>
      <c r="H57">
        <f>report_47_flagged!C50</f>
        <v>3</v>
      </c>
      <c r="I57">
        <f>report_47_flagged!F50</f>
        <v>1</v>
      </c>
      <c r="J57" s="67">
        <f>report_47_flagged!AC50</f>
        <v>43588</v>
      </c>
      <c r="K57" s="67">
        <f>report_47_flagged!AD50</f>
        <v>43607</v>
      </c>
      <c r="L57" s="67">
        <f>report_47_flagged!AE50</f>
        <v>43597.5</v>
      </c>
      <c r="M57" s="67">
        <f>report_47_flagged!AF50</f>
        <v>19</v>
      </c>
      <c r="N57" s="105">
        <f>report_47_flagged!H50</f>
        <v>48.757894736842104</v>
      </c>
      <c r="O57" s="105">
        <f t="shared" ref="O57:O75" si="16">N57*$N$5</f>
        <v>2.925473684210526E-2</v>
      </c>
      <c r="P57" s="105">
        <f>report_47_flagged!J50</f>
        <v>1</v>
      </c>
      <c r="Q57" s="265">
        <f>report_47_flagged!BA50</f>
        <v>38.290000000000006</v>
      </c>
      <c r="R57" s="265">
        <f t="shared" ref="R57:R75" si="17">Q57*$Q$5</f>
        <v>0.84238000000000013</v>
      </c>
      <c r="S57" s="266">
        <f>report_47_flagged!BB50</f>
        <v>1</v>
      </c>
      <c r="T57" s="265">
        <f>report_47_flagged!BC50</f>
        <v>8.5940000000000012</v>
      </c>
      <c r="U57" s="265">
        <f t="shared" ref="U57:U75" si="18">T57*$T$5</f>
        <v>0.24922600000000006</v>
      </c>
      <c r="V57" s="266">
        <f>report_47_flagged!BD50</f>
        <v>1</v>
      </c>
      <c r="W57" s="116">
        <f>(report_47_flagged!N50/100)*report_47_flagged!H50</f>
        <v>6.0886036039653577</v>
      </c>
      <c r="X57" s="116">
        <f t="shared" ref="X57:X75" si="19">W57*SQRT(($W$5)^2+($N$5)^2)</f>
        <v>0.12791285306789005</v>
      </c>
      <c r="Y57" s="112">
        <f>report_47_flagged!AP50</f>
        <v>1</v>
      </c>
      <c r="Z57" s="116">
        <f>(report_47_flagged!P50/100)*report_47_flagged!H50</f>
        <v>0.22541257291091113</v>
      </c>
      <c r="AA57" s="116">
        <f t="shared" ref="AA57:AA75" si="20">Z57*SQRT(($Z$5)^2+($N$5)^2)</f>
        <v>8.56674544784021E-3</v>
      </c>
      <c r="AB57" s="112">
        <f>report_47_flagged!AR50</f>
        <v>1</v>
      </c>
      <c r="AC57" s="116">
        <f>(report_47_flagged!R50/100)*report_47_flagged!H50</f>
        <v>1.6347427012597355</v>
      </c>
      <c r="AD57" s="116">
        <f t="shared" ref="AD57:AD75" si="21">AC57*SQRT(($AC$5)^2+($N$5)^2)</f>
        <v>4.5783303489374663E-2</v>
      </c>
      <c r="AE57" s="112">
        <f>report_47_flagged!AT50</f>
        <v>1</v>
      </c>
      <c r="AF57" s="116">
        <f>(report_47_flagged!L50/100)*report_47_flagged!H50</f>
        <v>4.453860902705622</v>
      </c>
      <c r="AG57" s="116">
        <f t="shared" ref="AG57:AG75" si="22">AF57*SQRT(($AF$5)^2+($N$5)^2)</f>
        <v>8.4665541108961143E-2</v>
      </c>
      <c r="AH57" s="112">
        <f>report_47_flagged!AV50</f>
        <v>1</v>
      </c>
      <c r="AI57" s="116">
        <f>(report_47_flagged!T50/100)*report_47_flagged!H50</f>
        <v>2.2065656071453437</v>
      </c>
      <c r="AJ57" s="116">
        <f t="shared" ref="AJ57:AJ75" si="23">AI57*SQRT(($AI$5)^2+($N$5)^2)</f>
        <v>0.10812982019751548</v>
      </c>
      <c r="AK57" s="112">
        <f>report_47_flagged!AX50</f>
        <v>1</v>
      </c>
    </row>
    <row r="58" spans="1:37" ht="15.5">
      <c r="A58">
        <f>report_47_flagged!A51</f>
        <v>2019</v>
      </c>
      <c r="B58" t="str">
        <f>LEFT(report_47_flagged!B51,2)</f>
        <v>47</v>
      </c>
      <c r="C58">
        <f>report_47_flagged!E51</f>
        <v>3800</v>
      </c>
      <c r="D58" s="112">
        <f>report_47_flagged!AM51</f>
        <v>3841.1</v>
      </c>
      <c r="E58" t="str">
        <f>report_47_flagged!D51</f>
        <v>McLane-PARFLUX-Mark78H-21 ; controller sn ML11649-01, frame sn 10705-01, funnel says 10583, motor sn 11640-01, cup set L250x21</v>
      </c>
      <c r="H58">
        <f>report_47_flagged!C51</f>
        <v>4</v>
      </c>
      <c r="I58">
        <f>report_47_flagged!F51</f>
        <v>1</v>
      </c>
      <c r="J58" s="67">
        <f>report_47_flagged!AC51</f>
        <v>43607</v>
      </c>
      <c r="K58" s="67">
        <f>report_47_flagged!AD51</f>
        <v>43626</v>
      </c>
      <c r="L58" s="67">
        <f>report_47_flagged!AE51</f>
        <v>43616.5</v>
      </c>
      <c r="M58" s="67">
        <f>report_47_flagged!AF51</f>
        <v>19</v>
      </c>
      <c r="N58" s="105">
        <f>report_47_flagged!H51</f>
        <v>52.306766917293231</v>
      </c>
      <c r="O58" s="105">
        <f t="shared" si="16"/>
        <v>3.1384060150375939E-2</v>
      </c>
      <c r="P58" s="105">
        <f>report_47_flagged!J51</f>
        <v>1</v>
      </c>
      <c r="Q58" s="265">
        <f>report_47_flagged!BA51</f>
        <v>38.229999999999997</v>
      </c>
      <c r="R58" s="265">
        <f t="shared" si="17"/>
        <v>0.84105999999999992</v>
      </c>
      <c r="S58" s="266">
        <f>report_47_flagged!BB51</f>
        <v>1</v>
      </c>
      <c r="T58" s="265">
        <f>report_47_flagged!BC51</f>
        <v>8.5359999999999996</v>
      </c>
      <c r="U58" s="265">
        <f t="shared" si="18"/>
        <v>0.24754400000000001</v>
      </c>
      <c r="V58" s="266">
        <f>report_47_flagged!BD51</f>
        <v>1</v>
      </c>
      <c r="W58" s="116">
        <f>(report_47_flagged!N51/100)*report_47_flagged!H51</f>
        <v>7.095024618277872</v>
      </c>
      <c r="X58" s="116">
        <f t="shared" si="19"/>
        <v>0.14905631907450481</v>
      </c>
      <c r="Y58" s="112">
        <f>report_47_flagged!AP51</f>
        <v>1</v>
      </c>
      <c r="Z58" s="116">
        <f>(report_47_flagged!P51/100)*report_47_flagged!H51</f>
        <v>0.37127885901659052</v>
      </c>
      <c r="AA58" s="116">
        <f t="shared" si="20"/>
        <v>1.4110355222362684E-2</v>
      </c>
      <c r="AB58" s="112">
        <f>report_47_flagged!AR51</f>
        <v>1</v>
      </c>
      <c r="AC58" s="116">
        <f>(report_47_flagged!R51/100)*report_47_flagged!H51</f>
        <v>2.506841757664874</v>
      </c>
      <c r="AD58" s="116">
        <f t="shared" si="21"/>
        <v>7.0207682776356931E-2</v>
      </c>
      <c r="AE58" s="112">
        <f>report_47_flagged!AT51</f>
        <v>1</v>
      </c>
      <c r="AF58" s="116">
        <f>(report_47_flagged!L51/100)*report_47_flagged!H51</f>
        <v>4.5881828606129975</v>
      </c>
      <c r="AG58" s="116">
        <f t="shared" si="22"/>
        <v>8.7218930515921417E-2</v>
      </c>
      <c r="AH58" s="112">
        <f>report_47_flagged!AV51</f>
        <v>1</v>
      </c>
      <c r="AI58" s="116">
        <f>(report_47_flagged!T51/100)*report_47_flagged!H51</f>
        <v>1.9796101508934925</v>
      </c>
      <c r="AJ58" s="116">
        <f t="shared" si="23"/>
        <v>9.7008169158502744E-2</v>
      </c>
      <c r="AK58" s="112">
        <f>report_47_flagged!AX51</f>
        <v>1</v>
      </c>
    </row>
    <row r="59" spans="1:37" ht="15.5">
      <c r="A59">
        <f>report_47_flagged!A52</f>
        <v>2019</v>
      </c>
      <c r="B59" t="str">
        <f>LEFT(report_47_flagged!B52,2)</f>
        <v>47</v>
      </c>
      <c r="C59">
        <f>report_47_flagged!E52</f>
        <v>3800</v>
      </c>
      <c r="D59" s="112">
        <f>report_47_flagged!AM52</f>
        <v>3841.1</v>
      </c>
      <c r="E59" t="str">
        <f>report_47_flagged!D52</f>
        <v>McLane-PARFLUX-Mark78H-21 ; controller sn ML11649-01, frame sn 10705-01, funnel says 10583, motor sn 11640-01, cup set L250x21</v>
      </c>
      <c r="H59">
        <f>report_47_flagged!C52</f>
        <v>5</v>
      </c>
      <c r="I59">
        <f>report_47_flagged!F52</f>
        <v>1</v>
      </c>
      <c r="J59" s="67">
        <f>report_47_flagged!AC52</f>
        <v>43626</v>
      </c>
      <c r="K59" s="67">
        <f>report_47_flagged!AD52</f>
        <v>43645</v>
      </c>
      <c r="L59" s="67">
        <f>report_47_flagged!AE52</f>
        <v>43635.5</v>
      </c>
      <c r="M59" s="67">
        <f>report_47_flagged!AF52</f>
        <v>19</v>
      </c>
      <c r="N59" s="105">
        <f>report_47_flagged!H52</f>
        <v>55.387969924812033</v>
      </c>
      <c r="O59" s="105">
        <f t="shared" si="16"/>
        <v>3.3232781954887214E-2</v>
      </c>
      <c r="P59" s="105">
        <f>report_47_flagged!J52</f>
        <v>1</v>
      </c>
      <c r="Q59" s="265">
        <f>report_47_flagged!BA52</f>
        <v>39.08</v>
      </c>
      <c r="R59" s="265">
        <f t="shared" si="17"/>
        <v>0.85975999999999986</v>
      </c>
      <c r="S59" s="266">
        <f>report_47_flagged!BB52</f>
        <v>1</v>
      </c>
      <c r="T59" s="265">
        <f>report_47_flagged!BC52</f>
        <v>8.5649999999999995</v>
      </c>
      <c r="U59" s="265">
        <f t="shared" si="18"/>
        <v>0.24838499999999999</v>
      </c>
      <c r="V59" s="266">
        <f>report_47_flagged!BD52</f>
        <v>1</v>
      </c>
      <c r="W59" s="116">
        <f>(report_47_flagged!N52/100)*report_47_flagged!H52</f>
        <v>6.4929878015733307</v>
      </c>
      <c r="X59" s="116">
        <f t="shared" si="19"/>
        <v>0.13640838666083369</v>
      </c>
      <c r="Y59" s="112">
        <f>report_47_flagged!AP52</f>
        <v>1</v>
      </c>
      <c r="Z59" s="116">
        <f>(report_47_flagged!P52/100)*report_47_flagged!H52</f>
        <v>0.32122354116744567</v>
      </c>
      <c r="AA59" s="116">
        <f t="shared" si="20"/>
        <v>1.2208016054734115E-2</v>
      </c>
      <c r="AB59" s="112">
        <f>report_47_flagged!AR52</f>
        <v>1</v>
      </c>
      <c r="AC59" s="116">
        <f>(report_47_flagged!R52/100)*report_47_flagged!H52</f>
        <v>2.2928161112801408</v>
      </c>
      <c r="AD59" s="116">
        <f t="shared" si="21"/>
        <v>6.4213588956338136E-2</v>
      </c>
      <c r="AE59" s="112">
        <f>report_47_flagged!AT52</f>
        <v>1</v>
      </c>
      <c r="AF59" s="116">
        <f>(report_47_flagged!L52/100)*report_47_flagged!H52</f>
        <v>4.2001716902931898</v>
      </c>
      <c r="AG59" s="116">
        <f t="shared" si="22"/>
        <v>7.9843043300518834E-2</v>
      </c>
      <c r="AH59" s="112">
        <f>report_47_flagged!AV52</f>
        <v>1</v>
      </c>
      <c r="AI59" s="116">
        <f>(report_47_flagged!T52/100)*report_47_flagged!H52</f>
        <v>4.7740247782210057</v>
      </c>
      <c r="AJ59" s="116">
        <f t="shared" si="23"/>
        <v>0.23394475070938539</v>
      </c>
      <c r="AK59" s="112">
        <f>report_47_flagged!AX52</f>
        <v>1</v>
      </c>
    </row>
    <row r="60" spans="1:37" ht="15.5">
      <c r="A60">
        <f>report_47_flagged!A53</f>
        <v>2019</v>
      </c>
      <c r="B60" t="str">
        <f>LEFT(report_47_flagged!B53,2)</f>
        <v>47</v>
      </c>
      <c r="C60">
        <f>report_47_flagged!E53</f>
        <v>3800</v>
      </c>
      <c r="D60" s="112">
        <f>report_47_flagged!AM53</f>
        <v>3841.1</v>
      </c>
      <c r="E60" t="str">
        <f>report_47_flagged!D53</f>
        <v>McLane-PARFLUX-Mark78H-21 ; controller sn ML11649-01, frame sn 10705-01, funnel says 10583, motor sn 11640-01, cup set L250x21</v>
      </c>
      <c r="H60">
        <f>report_47_flagged!C53</f>
        <v>6</v>
      </c>
      <c r="I60">
        <f>report_47_flagged!F53</f>
        <v>1</v>
      </c>
      <c r="J60" s="67">
        <f>report_47_flagged!AC53</f>
        <v>43645</v>
      </c>
      <c r="K60" s="67">
        <f>report_47_flagged!AD53</f>
        <v>43664</v>
      </c>
      <c r="L60" s="67">
        <f>report_47_flagged!AE53</f>
        <v>43654.5</v>
      </c>
      <c r="M60" s="67">
        <f>report_47_flagged!AF53</f>
        <v>19</v>
      </c>
      <c r="N60" s="105">
        <f>report_47_flagged!H53</f>
        <v>53.207518796992474</v>
      </c>
      <c r="O60" s="105">
        <f t="shared" si="16"/>
        <v>3.1924511278195483E-2</v>
      </c>
      <c r="P60" s="105">
        <f>report_47_flagged!J53</f>
        <v>1</v>
      </c>
      <c r="Q60" s="265">
        <f>report_47_flagged!BA53</f>
        <v>39.630000000000003</v>
      </c>
      <c r="R60" s="265">
        <f t="shared" si="17"/>
        <v>0.87185999999999997</v>
      </c>
      <c r="S60" s="266">
        <f>report_47_flagged!BB53</f>
        <v>1</v>
      </c>
      <c r="T60" s="265">
        <f>report_47_flagged!BC53</f>
        <v>8.5969999999999995</v>
      </c>
      <c r="U60" s="265">
        <f t="shared" si="18"/>
        <v>0.24931300000000001</v>
      </c>
      <c r="V60" s="266">
        <f>report_47_flagged!BD53</f>
        <v>1</v>
      </c>
      <c r="W60" s="116">
        <f>(report_47_flagged!N53/100)*report_47_flagged!H53</f>
        <v>6.1851510462294836</v>
      </c>
      <c r="X60" s="116">
        <f t="shared" si="19"/>
        <v>0.12994117673612307</v>
      </c>
      <c r="Y60" s="112">
        <f>report_47_flagged!AP53</f>
        <v>1</v>
      </c>
      <c r="Z60" s="116">
        <f>(report_47_flagged!P53/100)*report_47_flagged!H53</f>
        <v>0.29286561049913101</v>
      </c>
      <c r="AA60" s="116">
        <f t="shared" si="20"/>
        <v>1.1130280370669291E-2</v>
      </c>
      <c r="AB60" s="112">
        <f>report_47_flagged!AR53</f>
        <v>1</v>
      </c>
      <c r="AC60" s="116">
        <f>(report_47_flagged!R53/100)*report_47_flagged!H53</f>
        <v>2.020614822523938</v>
      </c>
      <c r="AD60" s="116">
        <f t="shared" si="21"/>
        <v>5.6590203206568032E-2</v>
      </c>
      <c r="AE60" s="112">
        <f>report_47_flagged!AT53</f>
        <v>1</v>
      </c>
      <c r="AF60" s="116">
        <f>(report_47_flagged!L53/100)*report_47_flagged!H53</f>
        <v>4.1645362237055457</v>
      </c>
      <c r="AG60" s="116">
        <f t="shared" si="22"/>
        <v>7.9165631920320501E-2</v>
      </c>
      <c r="AH60" s="112">
        <f>report_47_flagged!AV53</f>
        <v>1</v>
      </c>
      <c r="AI60" s="116">
        <f>(report_47_flagged!T53/100)*report_47_flagged!H53</f>
        <v>4.4777746371160427</v>
      </c>
      <c r="AJ60" s="116">
        <f t="shared" si="23"/>
        <v>0.21942740557020765</v>
      </c>
      <c r="AK60" s="112">
        <f>report_47_flagged!AX53</f>
        <v>2</v>
      </c>
    </row>
    <row r="61" spans="1:37" ht="15.5">
      <c r="A61">
        <f>report_47_flagged!A54</f>
        <v>2019</v>
      </c>
      <c r="B61" t="str">
        <f>LEFT(report_47_flagged!B54,2)</f>
        <v>47</v>
      </c>
      <c r="C61">
        <f>report_47_flagged!E54</f>
        <v>3800</v>
      </c>
      <c r="D61" s="112">
        <f>report_47_flagged!AM54</f>
        <v>3841.1</v>
      </c>
      <c r="E61" t="str">
        <f>report_47_flagged!D54</f>
        <v>McLane-PARFLUX-Mark78H-21 ; controller sn ML11649-01, frame sn 10705-01, funnel says 10583, motor sn 11640-01, cup set L250x21</v>
      </c>
      <c r="H61">
        <f>report_47_flagged!C54</f>
        <v>7</v>
      </c>
      <c r="I61">
        <f>report_47_flagged!F54</f>
        <v>1</v>
      </c>
      <c r="J61" s="67">
        <f>report_47_flagged!AC54</f>
        <v>43664</v>
      </c>
      <c r="K61" s="67">
        <f>report_47_flagged!AD54</f>
        <v>43683</v>
      </c>
      <c r="L61" s="67">
        <f>report_47_flagged!AE54</f>
        <v>43673.5</v>
      </c>
      <c r="M61" s="67">
        <f>report_47_flagged!AF54</f>
        <v>19</v>
      </c>
      <c r="N61" s="105">
        <f>report_47_flagged!H54</f>
        <v>38.479699248120298</v>
      </c>
      <c r="O61" s="105">
        <f t="shared" si="16"/>
        <v>2.3087819548872176E-2</v>
      </c>
      <c r="P61" s="105">
        <f>report_47_flagged!J54</f>
        <v>1</v>
      </c>
      <c r="Q61" s="265">
        <f>report_47_flagged!BA54</f>
        <v>39.67</v>
      </c>
      <c r="R61" s="265">
        <f t="shared" si="17"/>
        <v>0.87273999999999996</v>
      </c>
      <c r="S61" s="266">
        <f>report_47_flagged!BB54</f>
        <v>1</v>
      </c>
      <c r="T61" s="265">
        <f>report_47_flagged!BC54</f>
        <v>8.5809999999999995</v>
      </c>
      <c r="U61" s="265">
        <f t="shared" si="18"/>
        <v>0.24884899999999999</v>
      </c>
      <c r="V61" s="266">
        <f>report_47_flagged!BD54</f>
        <v>1</v>
      </c>
      <c r="W61" s="116">
        <f>(report_47_flagged!N54/100)*report_47_flagged!H54</f>
        <v>4.9911169105472419</v>
      </c>
      <c r="X61" s="116">
        <f t="shared" si="19"/>
        <v>0.10485622739632751</v>
      </c>
      <c r="Y61" s="112">
        <f>report_47_flagged!AP54</f>
        <v>1</v>
      </c>
      <c r="Z61" s="116">
        <f>(report_47_flagged!P54/100)*report_47_flagged!H54</f>
        <v>0.31868069738911503</v>
      </c>
      <c r="AA61" s="116">
        <f t="shared" si="20"/>
        <v>1.2111375946858712E-2</v>
      </c>
      <c r="AB61" s="112">
        <f>report_47_flagged!AR54</f>
        <v>1</v>
      </c>
      <c r="AC61" s="116">
        <f>(report_47_flagged!R54/100)*report_47_flagged!H54</f>
        <v>2.1301971456376121</v>
      </c>
      <c r="AD61" s="116">
        <f t="shared" si="21"/>
        <v>5.9659212630692036E-2</v>
      </c>
      <c r="AE61" s="112">
        <f>report_47_flagged!AT54</f>
        <v>1</v>
      </c>
      <c r="AF61" s="116">
        <f>(report_47_flagged!L54/100)*report_47_flagged!H54</f>
        <v>2.8609197649096294</v>
      </c>
      <c r="AG61" s="116">
        <f t="shared" si="22"/>
        <v>5.4384572229961556E-2</v>
      </c>
      <c r="AH61" s="112">
        <f>report_47_flagged!AV54</f>
        <v>1</v>
      </c>
      <c r="AI61" s="116">
        <f>(report_47_flagged!T54/100)*report_47_flagged!H54</f>
        <v>2.7403017591589069</v>
      </c>
      <c r="AJ61" s="116">
        <f t="shared" si="23"/>
        <v>0.13428485223610689</v>
      </c>
      <c r="AK61" s="112">
        <f>report_47_flagged!AX54</f>
        <v>1</v>
      </c>
    </row>
    <row r="62" spans="1:37" ht="15.5">
      <c r="A62">
        <f>report_47_flagged!A55</f>
        <v>2019</v>
      </c>
      <c r="B62" t="str">
        <f>LEFT(report_47_flagged!B55,2)</f>
        <v>47</v>
      </c>
      <c r="C62">
        <f>report_47_flagged!E55</f>
        <v>3800</v>
      </c>
      <c r="D62" s="112">
        <f>report_47_flagged!AM55</f>
        <v>3841.1</v>
      </c>
      <c r="E62" t="str">
        <f>report_47_flagged!D55</f>
        <v>McLane-PARFLUX-Mark78H-21 ; controller sn ML11649-01, frame sn 10705-01, funnel says 10583, motor sn 11640-01, cup set L250x21</v>
      </c>
      <c r="H62">
        <f>report_47_flagged!C55</f>
        <v>8</v>
      </c>
      <c r="I62">
        <f>report_47_flagged!F55</f>
        <v>1</v>
      </c>
      <c r="J62" s="67">
        <f>report_47_flagged!AC55</f>
        <v>43683</v>
      </c>
      <c r="K62" s="67">
        <f>report_47_flagged!AD55</f>
        <v>43702</v>
      </c>
      <c r="L62" s="67">
        <f>report_47_flagged!AE55</f>
        <v>43692.5</v>
      </c>
      <c r="M62" s="67">
        <f>report_47_flagged!AF55</f>
        <v>19</v>
      </c>
      <c r="N62" s="105">
        <f>report_47_flagged!H55</f>
        <v>40.708270676691733</v>
      </c>
      <c r="O62" s="105">
        <f t="shared" si="16"/>
        <v>2.4424962406015039E-2</v>
      </c>
      <c r="P62" s="105">
        <f>report_47_flagged!J55</f>
        <v>1</v>
      </c>
      <c r="Q62" s="265">
        <f>report_47_flagged!BA55</f>
        <v>39.89</v>
      </c>
      <c r="R62" s="265">
        <f t="shared" si="17"/>
        <v>0.87757999999999992</v>
      </c>
      <c r="S62" s="266">
        <f>report_47_flagged!BB55</f>
        <v>1</v>
      </c>
      <c r="T62" s="265">
        <f>report_47_flagged!BC55</f>
        <v>8.5589999999999993</v>
      </c>
      <c r="U62" s="265">
        <f t="shared" si="18"/>
        <v>0.24821099999999999</v>
      </c>
      <c r="V62" s="266">
        <f>report_47_flagged!BD55</f>
        <v>1</v>
      </c>
      <c r="W62" s="116">
        <f>(report_47_flagged!N55/100)*report_47_flagged!H55</f>
        <v>5.7577254159683573</v>
      </c>
      <c r="X62" s="116">
        <f t="shared" si="19"/>
        <v>0.12096157559975833</v>
      </c>
      <c r="Y62" s="112">
        <f>report_47_flagged!AP55</f>
        <v>1</v>
      </c>
      <c r="Z62" s="116">
        <f>(report_47_flagged!P55/100)*report_47_flagged!H55</f>
        <v>0.4135397992761512</v>
      </c>
      <c r="AA62" s="116">
        <f t="shared" si="20"/>
        <v>1.5716471123151967E-2</v>
      </c>
      <c r="AB62" s="112">
        <f>report_47_flagged!AR55</f>
        <v>1</v>
      </c>
      <c r="AC62" s="116">
        <f>(report_47_flagged!R55/100)*report_47_flagged!H55</f>
        <v>2.6839174345343015</v>
      </c>
      <c r="AD62" s="116">
        <f t="shared" si="21"/>
        <v>7.5166939941690714E-2</v>
      </c>
      <c r="AE62" s="112">
        <f>report_47_flagged!AT55</f>
        <v>1</v>
      </c>
      <c r="AF62" s="116">
        <f>(report_47_flagged!L55/100)*report_47_flagged!H55</f>
        <v>3.0738079814340562</v>
      </c>
      <c r="AG62" s="116">
        <f t="shared" si="22"/>
        <v>5.8431464677099476E-2</v>
      </c>
      <c r="AH62" s="112">
        <f>report_47_flagged!AV55</f>
        <v>1</v>
      </c>
      <c r="AI62" s="116">
        <f>(report_47_flagged!T55/100)*report_47_flagged!H55</f>
        <v>2.1683936335532117</v>
      </c>
      <c r="AJ62" s="116">
        <f t="shared" si="23"/>
        <v>0.10625925327318035</v>
      </c>
      <c r="AK62" s="112">
        <f>report_47_flagged!AX55</f>
        <v>1</v>
      </c>
    </row>
    <row r="63" spans="1:37" ht="15.5">
      <c r="A63">
        <f>report_47_flagged!A56</f>
        <v>2019</v>
      </c>
      <c r="B63" t="str">
        <f>LEFT(report_47_flagged!B56,2)</f>
        <v>47</v>
      </c>
      <c r="C63">
        <f>report_47_flagged!E56</f>
        <v>3800</v>
      </c>
      <c r="D63" s="112">
        <f>report_47_flagged!AM56</f>
        <v>3841.1</v>
      </c>
      <c r="E63" t="str">
        <f>report_47_flagged!D56</f>
        <v>McLane-PARFLUX-Mark78H-21 ; controller sn ML11649-01, frame sn 10705-01, funnel says 10583, motor sn 11640-01, cup set L250x21</v>
      </c>
      <c r="H63">
        <f>report_47_flagged!C56</f>
        <v>9</v>
      </c>
      <c r="I63">
        <f>report_47_flagged!F56</f>
        <v>1</v>
      </c>
      <c r="J63" s="67">
        <f>report_47_flagged!AC56</f>
        <v>43702</v>
      </c>
      <c r="K63" s="67">
        <f>report_47_flagged!AD56</f>
        <v>43721</v>
      </c>
      <c r="L63" s="67">
        <f>report_47_flagged!AE56</f>
        <v>43711.5</v>
      </c>
      <c r="M63" s="67">
        <f>report_47_flagged!AF56</f>
        <v>19</v>
      </c>
      <c r="N63" s="105">
        <f>report_47_flagged!H56</f>
        <v>34.04661654135338</v>
      </c>
      <c r="O63" s="105">
        <f t="shared" si="16"/>
        <v>2.0427969924812026E-2</v>
      </c>
      <c r="P63" s="105">
        <f>report_47_flagged!J56</f>
        <v>1</v>
      </c>
      <c r="Q63" s="265">
        <f>report_47_flagged!BA56</f>
        <v>39.979999999999997</v>
      </c>
      <c r="R63" s="265">
        <f t="shared" si="17"/>
        <v>0.8795599999999999</v>
      </c>
      <c r="S63" s="266">
        <f>report_47_flagged!BB56</f>
        <v>1</v>
      </c>
      <c r="T63" s="265">
        <f>report_47_flagged!BC56</f>
        <v>8.6219999999999999</v>
      </c>
      <c r="U63" s="265">
        <f t="shared" si="18"/>
        <v>0.25003799999999998</v>
      </c>
      <c r="V63" s="266">
        <f>report_47_flagged!BD56</f>
        <v>1</v>
      </c>
      <c r="W63" s="116">
        <f>(report_47_flagged!N56/100)*report_47_flagged!H56</f>
        <v>4.441083084852175</v>
      </c>
      <c r="X63" s="116">
        <f t="shared" si="19"/>
        <v>9.3300803442848065E-2</v>
      </c>
      <c r="Y63" s="112">
        <f>report_47_flagged!AP56</f>
        <v>1</v>
      </c>
      <c r="Z63" s="116">
        <f>(report_47_flagged!P56/100)*report_47_flagged!H56</f>
        <v>0.26149898035633834</v>
      </c>
      <c r="AA63" s="116">
        <f t="shared" si="20"/>
        <v>9.9381998557281047E-3</v>
      </c>
      <c r="AB63" s="112">
        <f>report_47_flagged!AR56</f>
        <v>1</v>
      </c>
      <c r="AC63" s="116">
        <f>(report_47_flagged!R56/100)*report_47_flagged!H56</f>
        <v>1.7502954489433225</v>
      </c>
      <c r="AD63" s="116">
        <f t="shared" si="21"/>
        <v>4.901952317835203E-2</v>
      </c>
      <c r="AE63" s="112">
        <f>report_47_flagged!AT56</f>
        <v>1</v>
      </c>
      <c r="AF63" s="116">
        <f>(report_47_flagged!L56/100)*report_47_flagged!H56</f>
        <v>2.6907876359088529</v>
      </c>
      <c r="AG63" s="116">
        <f t="shared" si="22"/>
        <v>5.1150450402510678E-2</v>
      </c>
      <c r="AH63" s="112">
        <f>report_47_flagged!AV56</f>
        <v>1</v>
      </c>
      <c r="AI63" s="116">
        <f>(report_47_flagged!T56/100)*report_47_flagged!H56</f>
        <v>1.9694384292047002</v>
      </c>
      <c r="AJ63" s="116">
        <f t="shared" si="23"/>
        <v>9.6509717431644201E-2</v>
      </c>
      <c r="AK63" s="112">
        <f>report_47_flagged!AX56</f>
        <v>1</v>
      </c>
    </row>
    <row r="64" spans="1:37" ht="15.5">
      <c r="A64">
        <f>report_47_flagged!A57</f>
        <v>2019</v>
      </c>
      <c r="B64" t="str">
        <f>LEFT(report_47_flagged!B57,2)</f>
        <v>47</v>
      </c>
      <c r="C64">
        <f>report_47_flagged!E57</f>
        <v>3800</v>
      </c>
      <c r="D64" s="112">
        <f>report_47_flagged!AM57</f>
        <v>3841.1</v>
      </c>
      <c r="E64" t="str">
        <f>report_47_flagged!D57</f>
        <v>McLane-PARFLUX-Mark78H-21 ; controller sn ML11649-01, frame sn 10705-01, funnel says 10583, motor sn 11640-01, cup set L250x21</v>
      </c>
      <c r="H64">
        <f>report_47_flagged!C57</f>
        <v>10</v>
      </c>
      <c r="I64">
        <f>report_47_flagged!F57</f>
        <v>1</v>
      </c>
      <c r="J64" s="67">
        <f>report_47_flagged!AC57</f>
        <v>43721</v>
      </c>
      <c r="K64" s="67">
        <f>report_47_flagged!AD57</f>
        <v>43740</v>
      </c>
      <c r="L64" s="67">
        <f>report_47_flagged!AE57</f>
        <v>43730.5</v>
      </c>
      <c r="M64" s="67">
        <f>report_47_flagged!AF57</f>
        <v>19</v>
      </c>
      <c r="N64" s="105">
        <f>report_47_flagged!H57</f>
        <v>26.849624060150376</v>
      </c>
      <c r="O64" s="105">
        <f t="shared" si="16"/>
        <v>1.6109774436090223E-2</v>
      </c>
      <c r="P64" s="105">
        <f>report_47_flagged!J57</f>
        <v>1</v>
      </c>
      <c r="Q64" s="265">
        <f>report_47_flagged!BA57</f>
        <v>40</v>
      </c>
      <c r="R64" s="265">
        <f t="shared" si="17"/>
        <v>0.87999999999999989</v>
      </c>
      <c r="S64" s="266">
        <f>report_47_flagged!BB57</f>
        <v>1</v>
      </c>
      <c r="T64" s="265">
        <f>report_47_flagged!BC57</f>
        <v>8.64</v>
      </c>
      <c r="U64" s="265">
        <f t="shared" si="18"/>
        <v>0.25056</v>
      </c>
      <c r="V64" s="266">
        <f>report_47_flagged!BD57</f>
        <v>1</v>
      </c>
      <c r="W64" s="116">
        <f>(report_47_flagged!N57/100)*report_47_flagged!H57</f>
        <v>3.3318495901724452</v>
      </c>
      <c r="X64" s="116">
        <f t="shared" si="19"/>
        <v>6.9997394278463618E-2</v>
      </c>
      <c r="Y64" s="112">
        <f>report_47_flagged!AP57</f>
        <v>1</v>
      </c>
      <c r="Z64" s="116">
        <f>(report_47_flagged!P57/100)*report_47_flagged!H57</f>
        <v>0.15132030525601897</v>
      </c>
      <c r="AA64" s="116">
        <f t="shared" si="20"/>
        <v>5.7508883354529285E-3</v>
      </c>
      <c r="AB64" s="112">
        <f>report_47_flagged!AR57</f>
        <v>1</v>
      </c>
      <c r="AC64" s="116">
        <f>(report_47_flagged!R57/100)*report_47_flagged!H57</f>
        <v>1.0935996474457164</v>
      </c>
      <c r="AD64" s="116">
        <f t="shared" si="21"/>
        <v>3.0627819605065321E-2</v>
      </c>
      <c r="AE64" s="112">
        <f>report_47_flagged!AT57</f>
        <v>1</v>
      </c>
      <c r="AF64" s="116">
        <f>(report_47_flagged!L57/100)*report_47_flagged!H57</f>
        <v>2.2382499427267288</v>
      </c>
      <c r="AG64" s="116">
        <f t="shared" si="22"/>
        <v>4.2547948101149972E-2</v>
      </c>
      <c r="AH64" s="112">
        <f>report_47_flagged!AV57</f>
        <v>1</v>
      </c>
      <c r="AI64" s="116">
        <f>(report_47_flagged!T57/100)*report_47_flagged!H57</f>
        <v>1.4677041175763357</v>
      </c>
      <c r="AJ64" s="116">
        <f t="shared" si="23"/>
        <v>7.1922893125302284E-2</v>
      </c>
      <c r="AK64" s="112">
        <f>report_47_flagged!AX57</f>
        <v>1</v>
      </c>
    </row>
    <row r="65" spans="1:37" ht="15.5">
      <c r="A65">
        <f>report_47_flagged!A58</f>
        <v>2019</v>
      </c>
      <c r="B65" t="str">
        <f>LEFT(report_47_flagged!B58,2)</f>
        <v>47</v>
      </c>
      <c r="C65">
        <f>report_47_flagged!E58</f>
        <v>3800</v>
      </c>
      <c r="D65" s="112">
        <f>report_47_flagged!AM58</f>
        <v>3841.1</v>
      </c>
      <c r="E65" t="str">
        <f>report_47_flagged!D58</f>
        <v>McLane-PARFLUX-Mark78H-21 ; controller sn ML11649-01, frame sn 10705-01, funnel says 10583, motor sn 11640-01, cup set L250x21</v>
      </c>
      <c r="H65">
        <f>report_47_flagged!C58</f>
        <v>11</v>
      </c>
      <c r="I65">
        <f>report_47_flagged!F58</f>
        <v>1</v>
      </c>
      <c r="J65" s="67">
        <f>report_47_flagged!AC58</f>
        <v>43740</v>
      </c>
      <c r="K65" s="67">
        <f>report_47_flagged!AD58</f>
        <v>43759</v>
      </c>
      <c r="L65" s="67">
        <f>report_47_flagged!AE58</f>
        <v>43749.5</v>
      </c>
      <c r="M65" s="67">
        <f>report_47_flagged!AF58</f>
        <v>19</v>
      </c>
      <c r="N65" s="105">
        <f>report_47_flagged!H58</f>
        <v>28.578947368421051</v>
      </c>
      <c r="O65" s="105">
        <f t="shared" si="16"/>
        <v>1.714736842105263E-2</v>
      </c>
      <c r="P65" s="105">
        <f>report_47_flagged!J58</f>
        <v>1</v>
      </c>
      <c r="Q65" s="265">
        <f>report_47_flagged!BA58</f>
        <v>40.15</v>
      </c>
      <c r="R65" s="265">
        <f t="shared" si="17"/>
        <v>0.88329999999999986</v>
      </c>
      <c r="S65" s="266">
        <f>report_47_flagged!BB58</f>
        <v>1</v>
      </c>
      <c r="T65" s="265">
        <f>report_47_flagged!BC58</f>
        <v>8.6449999999999996</v>
      </c>
      <c r="U65" s="265">
        <f t="shared" si="18"/>
        <v>0.25070500000000001</v>
      </c>
      <c r="V65" s="266">
        <f>report_47_flagged!BD58</f>
        <v>1</v>
      </c>
      <c r="W65" s="116">
        <f>(report_47_flagged!N58/100)*report_47_flagged!H58</f>
        <v>3.5504720200990376</v>
      </c>
      <c r="X65" s="116">
        <f t="shared" si="19"/>
        <v>7.45903388311904E-2</v>
      </c>
      <c r="Y65" s="112">
        <f>report_47_flagged!AP58</f>
        <v>1</v>
      </c>
      <c r="Z65" s="116">
        <f>(report_47_flagged!P58/100)*report_47_flagged!H58</f>
        <v>0.1745683438840665</v>
      </c>
      <c r="AA65" s="116">
        <f t="shared" si="20"/>
        <v>6.6344239187442504E-3</v>
      </c>
      <c r="AB65" s="112">
        <f>report_47_flagged!AR58</f>
        <v>1</v>
      </c>
      <c r="AC65" s="116">
        <f>(report_47_flagged!R58/100)*report_47_flagged!H58</f>
        <v>1.1572142656847364</v>
      </c>
      <c r="AD65" s="116">
        <f t="shared" si="21"/>
        <v>3.240943781993999E-2</v>
      </c>
      <c r="AE65" s="112">
        <f>report_47_flagged!AT58</f>
        <v>1</v>
      </c>
      <c r="AF65" s="116">
        <f>(report_47_flagged!L58/100)*report_47_flagged!H58</f>
        <v>2.393257754414301</v>
      </c>
      <c r="AG65" s="116">
        <f t="shared" si="22"/>
        <v>4.5494564652347573E-2</v>
      </c>
      <c r="AH65" s="112">
        <f>report_47_flagged!AV58</f>
        <v>1</v>
      </c>
      <c r="AI65" s="116">
        <f>(report_47_flagged!T58/100)*report_47_flagged!H58</f>
        <v>1.5534401884420133</v>
      </c>
      <c r="AJ65" s="116">
        <f t="shared" si="23"/>
        <v>7.612427553474746E-2</v>
      </c>
      <c r="AK65" s="112">
        <f>report_47_flagged!AX58</f>
        <v>1</v>
      </c>
    </row>
    <row r="66" spans="1:37" ht="15.5">
      <c r="A66">
        <f>report_47_flagged!A59</f>
        <v>2019</v>
      </c>
      <c r="B66" t="str">
        <f>LEFT(report_47_flagged!B59,2)</f>
        <v>47</v>
      </c>
      <c r="C66">
        <f>report_47_flagged!E59</f>
        <v>3800</v>
      </c>
      <c r="D66" s="112">
        <f>report_47_flagged!AM59</f>
        <v>3841.1</v>
      </c>
      <c r="E66" t="str">
        <f>report_47_flagged!D59</f>
        <v>McLane-PARFLUX-Mark78H-21 ; controller sn ML11649-01, frame sn 10705-01, funnel says 10583, motor sn 11640-01, cup set L250x21</v>
      </c>
      <c r="H66">
        <f>report_47_flagged!C59</f>
        <v>12</v>
      </c>
      <c r="I66">
        <f>report_47_flagged!F59</f>
        <v>1</v>
      </c>
      <c r="J66" s="67">
        <f>report_47_flagged!AC59</f>
        <v>43759</v>
      </c>
      <c r="K66" s="67">
        <f>report_47_flagged!AD59</f>
        <v>43778</v>
      </c>
      <c r="L66" s="67">
        <f>report_47_flagged!AE59</f>
        <v>43768.5</v>
      </c>
      <c r="M66" s="67">
        <f>report_47_flagged!AF59</f>
        <v>19</v>
      </c>
      <c r="N66" s="105">
        <f>report_47_flagged!H59</f>
        <v>51.264661654135331</v>
      </c>
      <c r="O66" s="105">
        <f t="shared" si="16"/>
        <v>3.0758796992481196E-2</v>
      </c>
      <c r="P66" s="105">
        <f>report_47_flagged!J59</f>
        <v>1</v>
      </c>
      <c r="Q66" s="265">
        <f>report_47_flagged!BA59</f>
        <v>39.935000000000002</v>
      </c>
      <c r="R66" s="265">
        <f t="shared" si="17"/>
        <v>0.87856999999999996</v>
      </c>
      <c r="S66" s="266">
        <f>report_47_flagged!BB59</f>
        <v>1</v>
      </c>
      <c r="T66" s="265">
        <f>report_47_flagged!BC59</f>
        <v>8.6240000000000006</v>
      </c>
      <c r="U66" s="265">
        <f t="shared" si="18"/>
        <v>0.25009600000000004</v>
      </c>
      <c r="V66" s="266">
        <f>report_47_flagged!BD59</f>
        <v>1</v>
      </c>
      <c r="W66" s="116">
        <f>(report_47_flagged!N59/100)*report_47_flagged!H59</f>
        <v>6.5024561373344918</v>
      </c>
      <c r="X66" s="116">
        <f t="shared" si="19"/>
        <v>0.13660730285242581</v>
      </c>
      <c r="Y66" s="112">
        <f>report_47_flagged!AP59</f>
        <v>1</v>
      </c>
      <c r="Z66" s="116">
        <f>(report_47_flagged!P59/100)*report_47_flagged!H59</f>
        <v>0.26289479899316798</v>
      </c>
      <c r="AA66" s="116">
        <f t="shared" si="20"/>
        <v>9.991247575288081E-3</v>
      </c>
      <c r="AB66" s="112">
        <f>report_47_flagged!AR59</f>
        <v>1</v>
      </c>
      <c r="AC66" s="116">
        <f>(report_47_flagged!R59/100)*report_47_flagged!H59</f>
        <v>1.9411716583107903</v>
      </c>
      <c r="AD66" s="116">
        <f t="shared" si="21"/>
        <v>5.4365283961157758E-2</v>
      </c>
      <c r="AE66" s="112">
        <f>report_47_flagged!AT59</f>
        <v>1</v>
      </c>
      <c r="AF66" s="116">
        <f>(report_47_flagged!L59/100)*report_47_flagged!H59</f>
        <v>4.561284479023703</v>
      </c>
      <c r="AG66" s="116">
        <f t="shared" si="22"/>
        <v>8.6707606502450435E-2</v>
      </c>
      <c r="AH66" s="112">
        <f>report_47_flagged!AV59</f>
        <v>1</v>
      </c>
      <c r="AI66" s="116">
        <f>(report_47_flagged!T59/100)*report_47_flagged!H59</f>
        <v>2.2864211597089885</v>
      </c>
      <c r="AJ66" s="116">
        <f t="shared" si="23"/>
        <v>0.11204303560906675</v>
      </c>
      <c r="AK66" s="112">
        <f>report_47_flagged!AX59</f>
        <v>1</v>
      </c>
    </row>
    <row r="67" spans="1:37" ht="15.5">
      <c r="A67">
        <f>report_47_flagged!A60</f>
        <v>2019</v>
      </c>
      <c r="B67" t="str">
        <f>LEFT(report_47_flagged!B60,2)</f>
        <v>47</v>
      </c>
      <c r="C67">
        <f>report_47_flagged!E60</f>
        <v>3800</v>
      </c>
      <c r="D67" s="112">
        <f>report_47_flagged!AM60</f>
        <v>3841.1</v>
      </c>
      <c r="E67" t="str">
        <f>report_47_flagged!D60</f>
        <v>McLane-PARFLUX-Mark78H-21 ; controller sn ML11649-01, frame sn 10705-01, funnel says 10583, motor sn 11640-01, cup set L250x21</v>
      </c>
      <c r="H67">
        <f>report_47_flagged!C60</f>
        <v>13</v>
      </c>
      <c r="I67">
        <f>report_47_flagged!F60</f>
        <v>1</v>
      </c>
      <c r="J67" s="67">
        <f>report_47_flagged!AC60</f>
        <v>43778</v>
      </c>
      <c r="K67" s="67">
        <f>report_47_flagged!AD60</f>
        <v>43797</v>
      </c>
      <c r="L67" s="67">
        <f>report_47_flagged!AE60</f>
        <v>43787.5</v>
      </c>
      <c r="M67" s="67">
        <f>report_47_flagged!AF60</f>
        <v>19</v>
      </c>
      <c r="N67" s="105">
        <f>report_47_flagged!H60</f>
        <v>86.329323308270673</v>
      </c>
      <c r="O67" s="105">
        <f t="shared" si="16"/>
        <v>5.1797593984962399E-2</v>
      </c>
      <c r="P67" s="105">
        <f>report_47_flagged!J60</f>
        <v>1</v>
      </c>
      <c r="Q67" s="265">
        <f>report_47_flagged!BA60</f>
        <v>39.78</v>
      </c>
      <c r="R67" s="265">
        <f t="shared" si="17"/>
        <v>0.87515999999999994</v>
      </c>
      <c r="S67" s="266">
        <f>report_47_flagged!BB60</f>
        <v>1</v>
      </c>
      <c r="T67" s="265">
        <f>report_47_flagged!BC60</f>
        <v>8.5790000000000006</v>
      </c>
      <c r="U67" s="265">
        <f t="shared" si="18"/>
        <v>0.24879100000000004</v>
      </c>
      <c r="V67" s="266">
        <f>report_47_flagged!BD60</f>
        <v>1</v>
      </c>
      <c r="W67" s="116">
        <f>(report_47_flagged!N60/100)*report_47_flagged!H60</f>
        <v>10.987879915251767</v>
      </c>
      <c r="X67" s="116">
        <f t="shared" si="19"/>
        <v>0.23083964083519215</v>
      </c>
      <c r="Y67" s="112">
        <f>report_47_flagged!AP60</f>
        <v>1</v>
      </c>
      <c r="Z67" s="116">
        <f>(report_47_flagged!P60/100)*report_47_flagged!H60</f>
        <v>0.39749765200901749</v>
      </c>
      <c r="AA67" s="116">
        <f t="shared" si="20"/>
        <v>1.5106793542617828E-2</v>
      </c>
      <c r="AB67" s="112">
        <f>report_47_flagged!AR60</f>
        <v>1</v>
      </c>
      <c r="AC67" s="116">
        <f>(report_47_flagged!R60/100)*report_47_flagged!H60</f>
        <v>3.0783790432898424</v>
      </c>
      <c r="AD67" s="116">
        <f t="shared" si="21"/>
        <v>8.6214400520438064E-2</v>
      </c>
      <c r="AE67" s="112">
        <f>report_47_flagged!AT60</f>
        <v>1</v>
      </c>
      <c r="AF67" s="116">
        <f>(report_47_flagged!L60/100)*report_47_flagged!H60</f>
        <v>7.9095008719619253</v>
      </c>
      <c r="AG67" s="116">
        <f t="shared" si="22"/>
        <v>0.15035543000897297</v>
      </c>
      <c r="AH67" s="112">
        <f>report_47_flagged!AV60</f>
        <v>1</v>
      </c>
      <c r="AI67" s="116">
        <f>(report_47_flagged!T60/100)*report_47_flagged!H60</f>
        <v>3.6006820372249222</v>
      </c>
      <c r="AJ67" s="116">
        <f t="shared" si="23"/>
        <v>0.17644664632349141</v>
      </c>
      <c r="AK67" s="112">
        <f>report_47_flagged!AX60</f>
        <v>1</v>
      </c>
    </row>
    <row r="68" spans="1:37" ht="15.5">
      <c r="A68">
        <f>report_47_flagged!A61</f>
        <v>2019</v>
      </c>
      <c r="B68" t="str">
        <f>LEFT(report_47_flagged!B61,2)</f>
        <v>47</v>
      </c>
      <c r="C68">
        <f>report_47_flagged!E61</f>
        <v>3800</v>
      </c>
      <c r="D68" s="112">
        <f>report_47_flagged!AM61</f>
        <v>3841.1</v>
      </c>
      <c r="E68" t="str">
        <f>report_47_flagged!D61</f>
        <v>McLane-PARFLUX-Mark78H-21 ; controller sn ML11649-01, frame sn 10705-01, funnel says 10583, motor sn 11640-01, cup set L250x21</v>
      </c>
      <c r="H68">
        <f>report_47_flagged!C61</f>
        <v>14</v>
      </c>
      <c r="I68">
        <f>report_47_flagged!F61</f>
        <v>1</v>
      </c>
      <c r="J68" s="67">
        <f>report_47_flagged!AC61</f>
        <v>43797</v>
      </c>
      <c r="K68" s="67">
        <f>report_47_flagged!AD61</f>
        <v>43816</v>
      </c>
      <c r="L68" s="67">
        <f>report_47_flagged!AE61</f>
        <v>43806.5</v>
      </c>
      <c r="M68" s="67">
        <f>report_47_flagged!AF61</f>
        <v>19</v>
      </c>
      <c r="N68" s="105">
        <f>report_47_flagged!H61</f>
        <v>72.857142857142847</v>
      </c>
      <c r="O68" s="105">
        <f t="shared" si="16"/>
        <v>4.3714285714285706E-2</v>
      </c>
      <c r="P68" s="105">
        <f>report_47_flagged!J61</f>
        <v>1</v>
      </c>
      <c r="Q68" s="265">
        <f>report_47_flagged!BA61</f>
        <v>39.82</v>
      </c>
      <c r="R68" s="265">
        <f t="shared" si="17"/>
        <v>0.87603999999999993</v>
      </c>
      <c r="S68" s="266">
        <f>report_47_flagged!BB61</f>
        <v>1</v>
      </c>
      <c r="T68" s="265">
        <f>report_47_flagged!BC61</f>
        <v>8.5860000000000003</v>
      </c>
      <c r="U68" s="265">
        <f t="shared" si="18"/>
        <v>0.24899400000000002</v>
      </c>
      <c r="V68" s="266">
        <f>report_47_flagged!BD61</f>
        <v>1</v>
      </c>
      <c r="W68" s="116">
        <f>(report_47_flagged!N61/100)*report_47_flagged!H61</f>
        <v>9.1045435360499773</v>
      </c>
      <c r="X68" s="116">
        <f t="shared" si="19"/>
        <v>0.19127343728182622</v>
      </c>
      <c r="Y68" s="112">
        <f>report_47_flagged!AP61</f>
        <v>1</v>
      </c>
      <c r="Z68" s="116">
        <f>(report_47_flagged!P61/100)*report_47_flagged!H61</f>
        <v>0.34896243938377924</v>
      </c>
      <c r="AA68" s="116">
        <f t="shared" si="20"/>
        <v>1.3262225573547412E-2</v>
      </c>
      <c r="AB68" s="112">
        <f>report_47_flagged!AR61</f>
        <v>1</v>
      </c>
      <c r="AC68" s="116">
        <f>(report_47_flagged!R61/100)*report_47_flagged!H61</f>
        <v>2.6917454597489603</v>
      </c>
      <c r="AD68" s="116">
        <f t="shared" si="21"/>
        <v>7.5386174964944846E-2</v>
      </c>
      <c r="AE68" s="112">
        <f>report_47_flagged!AT61</f>
        <v>1</v>
      </c>
      <c r="AF68" s="116">
        <f>(report_47_flagged!L61/100)*report_47_flagged!H61</f>
        <v>6.4127980763010175</v>
      </c>
      <c r="AG68" s="116">
        <f t="shared" si="22"/>
        <v>0.12190390113501408</v>
      </c>
      <c r="AH68" s="112">
        <f>report_47_flagged!AV61</f>
        <v>1</v>
      </c>
      <c r="AI68" s="116">
        <f>(report_47_flagged!T61/100)*report_47_flagged!H61</f>
        <v>3.3294490956124165</v>
      </c>
      <c r="AJ68" s="116">
        <f t="shared" si="23"/>
        <v>0.16315523585591604</v>
      </c>
      <c r="AK68" s="112">
        <f>report_47_flagged!AX61</f>
        <v>1</v>
      </c>
    </row>
    <row r="69" spans="1:37" ht="15.5">
      <c r="A69">
        <f>report_47_flagged!A62</f>
        <v>2019</v>
      </c>
      <c r="B69" t="str">
        <f>LEFT(report_47_flagged!B62,2)</f>
        <v>47</v>
      </c>
      <c r="C69">
        <f>report_47_flagged!E62</f>
        <v>3800</v>
      </c>
      <c r="D69" s="112">
        <f>report_47_flagged!AM62</f>
        <v>3841.1</v>
      </c>
      <c r="E69" t="str">
        <f>report_47_flagged!D62</f>
        <v>McLane-PARFLUX-Mark78H-21 ; controller sn ML11649-01, frame sn 10705-01, funnel says 10583, motor sn 11640-01, cup set L250x21</v>
      </c>
      <c r="H69">
        <f>report_47_flagged!C62</f>
        <v>15</v>
      </c>
      <c r="I69">
        <f>report_47_flagged!F62</f>
        <v>1</v>
      </c>
      <c r="J69" s="67">
        <f>report_47_flagged!AC62</f>
        <v>43816</v>
      </c>
      <c r="K69" s="67">
        <f>report_47_flagged!AD62</f>
        <v>43835</v>
      </c>
      <c r="L69" s="67">
        <f>report_47_flagged!AE62</f>
        <v>43825.5</v>
      </c>
      <c r="M69" s="67">
        <f>report_47_flagged!AF62</f>
        <v>19</v>
      </c>
      <c r="N69" s="105">
        <f>report_47_flagged!H62</f>
        <v>67.317293233082708</v>
      </c>
      <c r="O69" s="105">
        <f t="shared" si="16"/>
        <v>4.0390375939849621E-2</v>
      </c>
      <c r="P69" s="105">
        <f>report_47_flagged!J62</f>
        <v>1</v>
      </c>
      <c r="Q69" s="265">
        <f>report_47_flagged!BA62</f>
        <v>39.78</v>
      </c>
      <c r="R69" s="265">
        <f t="shared" si="17"/>
        <v>0.87515999999999994</v>
      </c>
      <c r="S69" s="266">
        <f>report_47_flagged!BB62</f>
        <v>1</v>
      </c>
      <c r="T69" s="265">
        <f>report_47_flagged!BC62</f>
        <v>8.6010000000000009</v>
      </c>
      <c r="U69" s="265">
        <f t="shared" si="18"/>
        <v>0.24942900000000004</v>
      </c>
      <c r="V69" s="266">
        <f>report_47_flagged!BD62</f>
        <v>1</v>
      </c>
      <c r="W69" s="116">
        <f>(report_47_flagged!N62/100)*report_47_flagged!H62</f>
        <v>8.0612923445737454</v>
      </c>
      <c r="X69" s="116">
        <f t="shared" si="19"/>
        <v>0.16935622193194028</v>
      </c>
      <c r="Y69" s="112">
        <f>report_47_flagged!AP62</f>
        <v>1</v>
      </c>
      <c r="Z69" s="116">
        <f>(report_47_flagged!P62/100)*report_47_flagged!H62</f>
        <v>0.27463306472803417</v>
      </c>
      <c r="AA69" s="116">
        <f t="shared" si="20"/>
        <v>1.0437357272059286E-2</v>
      </c>
      <c r="AB69" s="112">
        <f>report_47_flagged!AR62</f>
        <v>1</v>
      </c>
      <c r="AC69" s="116">
        <f>(report_47_flagged!R62/100)*report_47_flagged!H62</f>
        <v>2.085836499444778</v>
      </c>
      <c r="AD69" s="116">
        <f t="shared" si="21"/>
        <v>5.8416829394439491E-2</v>
      </c>
      <c r="AE69" s="112">
        <f>report_47_flagged!AT62</f>
        <v>1</v>
      </c>
      <c r="AF69" s="116">
        <f>(report_47_flagged!L62/100)*report_47_flagged!H62</f>
        <v>5.975455845128967</v>
      </c>
      <c r="AG69" s="116">
        <f t="shared" si="22"/>
        <v>0.11359025653298162</v>
      </c>
      <c r="AH69" s="112">
        <f>report_47_flagged!AV62</f>
        <v>1</v>
      </c>
      <c r="AI69" s="116">
        <f>(report_47_flagged!T62/100)*report_47_flagged!H62</f>
        <v>3.4092153548680613</v>
      </c>
      <c r="AJ69" s="116">
        <f t="shared" si="23"/>
        <v>0.16706407556737138</v>
      </c>
      <c r="AK69" s="112">
        <f>report_47_flagged!AX62</f>
        <v>1</v>
      </c>
    </row>
    <row r="70" spans="1:37" ht="15.5">
      <c r="A70">
        <f>report_47_flagged!A63</f>
        <v>2019</v>
      </c>
      <c r="B70" t="str">
        <f>LEFT(report_47_flagged!B63,2)</f>
        <v>47</v>
      </c>
      <c r="C70">
        <f>report_47_flagged!E63</f>
        <v>3800</v>
      </c>
      <c r="D70" s="112">
        <f>report_47_flagged!AM63</f>
        <v>3841.1</v>
      </c>
      <c r="E70" t="str">
        <f>report_47_flagged!D63</f>
        <v>McLane-PARFLUX-Mark78H-21 ; controller sn ML11649-01, frame sn 10705-01, funnel says 10583, motor sn 11640-01, cup set L250x21</v>
      </c>
      <c r="H70">
        <f>report_47_flagged!C63</f>
        <v>16</v>
      </c>
      <c r="I70">
        <f>report_47_flagged!F63</f>
        <v>1</v>
      </c>
      <c r="J70" s="67">
        <f>report_47_flagged!AC63</f>
        <v>43835</v>
      </c>
      <c r="K70" s="67">
        <f>report_47_flagged!AD63</f>
        <v>43854</v>
      </c>
      <c r="L70" s="67">
        <f>report_47_flagged!AE63</f>
        <v>43844.5</v>
      </c>
      <c r="M70" s="67">
        <f>report_47_flagged!AF63</f>
        <v>19</v>
      </c>
      <c r="N70" s="105">
        <f>report_47_flagged!H63</f>
        <v>142.16090225563912</v>
      </c>
      <c r="O70" s="105">
        <f t="shared" si="16"/>
        <v>8.5296541353383465E-2</v>
      </c>
      <c r="P70" s="105">
        <f>report_47_flagged!J63</f>
        <v>1</v>
      </c>
      <c r="Q70" s="265">
        <f>report_47_flagged!BA63</f>
        <v>39.19</v>
      </c>
      <c r="R70" s="265">
        <f t="shared" si="17"/>
        <v>0.86217999999999995</v>
      </c>
      <c r="S70" s="266">
        <f>report_47_flagged!BB63</f>
        <v>1</v>
      </c>
      <c r="T70" s="265">
        <f>report_47_flagged!BC63</f>
        <v>8.532</v>
      </c>
      <c r="U70" s="265">
        <f t="shared" si="18"/>
        <v>0.24742800000000001</v>
      </c>
      <c r="V70" s="266">
        <f>report_47_flagged!BD63</f>
        <v>1</v>
      </c>
      <c r="W70" s="116">
        <f>(report_47_flagged!N63/100)*report_47_flagged!H63</f>
        <v>15.535685010042407</v>
      </c>
      <c r="X70" s="116">
        <f t="shared" si="19"/>
        <v>0.32638252106022358</v>
      </c>
      <c r="Y70" s="112">
        <f>report_47_flagged!AP63</f>
        <v>3</v>
      </c>
      <c r="Z70" s="116">
        <f>(report_47_flagged!P63/100)*report_47_flagged!H63</f>
        <v>0.70697601587947168</v>
      </c>
      <c r="AA70" s="116">
        <f t="shared" si="20"/>
        <v>2.686843722848304E-2</v>
      </c>
      <c r="AB70" s="112">
        <f>report_47_flagged!AR63</f>
        <v>1</v>
      </c>
      <c r="AC70" s="116">
        <f>(report_47_flagged!R63/100)*report_47_flagged!H63</f>
        <v>5.3521155358385677</v>
      </c>
      <c r="AD70" s="116">
        <f t="shared" si="21"/>
        <v>0.14989363751168175</v>
      </c>
      <c r="AE70" s="112">
        <f>report_47_flagged!AT63</f>
        <v>3</v>
      </c>
      <c r="AF70" s="116">
        <f>(report_47_flagged!L63/100)*report_47_flagged!H63</f>
        <v>10.183569474203841</v>
      </c>
      <c r="AG70" s="116">
        <f t="shared" si="22"/>
        <v>0.19358427189102409</v>
      </c>
      <c r="AH70" s="112">
        <f>report_47_flagged!AV63</f>
        <v>1</v>
      </c>
      <c r="AI70" s="116">
        <f>(report_47_flagged!T63/100)*report_47_flagged!H63</f>
        <v>14.767240822528716</v>
      </c>
      <c r="AJ70" s="116">
        <f t="shared" si="23"/>
        <v>0.7236490452777472</v>
      </c>
      <c r="AK70" s="112">
        <f>report_47_flagged!AX63</f>
        <v>1</v>
      </c>
    </row>
    <row r="71" spans="1:37" ht="15.5">
      <c r="A71">
        <f>report_47_flagged!A64</f>
        <v>2019</v>
      </c>
      <c r="B71" t="str">
        <f>LEFT(report_47_flagged!B64,2)</f>
        <v>47</v>
      </c>
      <c r="C71">
        <f>report_47_flagged!E64</f>
        <v>3800</v>
      </c>
      <c r="D71" s="112">
        <f>report_47_flagged!AM64</f>
        <v>3841.1</v>
      </c>
      <c r="E71" t="str">
        <f>report_47_flagged!D64</f>
        <v>McLane-PARFLUX-Mark78H-21 ; controller sn ML11649-01, frame sn 10705-01, funnel says 10583, motor sn 11640-01, cup set L250x21</v>
      </c>
      <c r="H71">
        <f>report_47_flagged!C64</f>
        <v>17</v>
      </c>
      <c r="I71">
        <f>report_47_flagged!F64</f>
        <v>1</v>
      </c>
      <c r="J71" s="67">
        <f>report_47_flagged!AC64</f>
        <v>43854</v>
      </c>
      <c r="K71" s="67">
        <f>report_47_flagged!AD64</f>
        <v>43873</v>
      </c>
      <c r="L71" s="67">
        <f>report_47_flagged!AE64</f>
        <v>43863.5</v>
      </c>
      <c r="M71" s="67">
        <f>report_47_flagged!AF64</f>
        <v>19</v>
      </c>
      <c r="N71" s="105">
        <f>report_47_flagged!H64</f>
        <v>84.320300751879699</v>
      </c>
      <c r="O71" s="105">
        <f t="shared" si="16"/>
        <v>5.0592180451127816E-2</v>
      </c>
      <c r="P71" s="105">
        <f>report_47_flagged!J64</f>
        <v>1</v>
      </c>
      <c r="Q71" s="265">
        <f>report_47_flagged!BA64</f>
        <v>39.54</v>
      </c>
      <c r="R71" s="265">
        <f t="shared" si="17"/>
        <v>0.86987999999999988</v>
      </c>
      <c r="S71" s="266">
        <f>report_47_flagged!BB64</f>
        <v>1</v>
      </c>
      <c r="T71" s="265">
        <f>report_47_flagged!BC64</f>
        <v>8.5739999999999998</v>
      </c>
      <c r="U71" s="265">
        <f t="shared" si="18"/>
        <v>0.24864600000000001</v>
      </c>
      <c r="V71" s="266">
        <f>report_47_flagged!BD64</f>
        <v>1</v>
      </c>
      <c r="W71" s="116">
        <f>(report_47_flagged!N64/100)*report_47_flagged!H64</f>
        <v>10.6454998887858</v>
      </c>
      <c r="X71" s="116">
        <f t="shared" si="19"/>
        <v>0.22364672619213685</v>
      </c>
      <c r="Y71" s="112">
        <f>report_47_flagged!AP64</f>
        <v>1</v>
      </c>
      <c r="Z71" s="116">
        <f>(report_47_flagged!P64/100)*report_47_flagged!H64</f>
        <v>0.61639889379103374</v>
      </c>
      <c r="AA71" s="116">
        <f t="shared" si="20"/>
        <v>2.3426077566334698E-2</v>
      </c>
      <c r="AB71" s="112">
        <f>report_47_flagged!AR64</f>
        <v>1</v>
      </c>
      <c r="AC71" s="116">
        <f>(report_47_flagged!R64/100)*report_47_flagged!H64</f>
        <v>4.5277616322292058</v>
      </c>
      <c r="AD71" s="116">
        <f t="shared" si="21"/>
        <v>0.12680642940087977</v>
      </c>
      <c r="AE71" s="112">
        <f>report_47_flagged!AT64</f>
        <v>1</v>
      </c>
      <c r="AF71" s="116">
        <f>(report_47_flagged!L64/100)*report_47_flagged!H64</f>
        <v>6.1177382565565939</v>
      </c>
      <c r="AG71" s="116">
        <f t="shared" si="22"/>
        <v>0.11629496995285737</v>
      </c>
      <c r="AH71" s="112">
        <f>report_47_flagged!AV64</f>
        <v>1</v>
      </c>
      <c r="AI71" s="116">
        <f>(report_47_flagged!T64/100)*report_47_flagged!H64</f>
        <v>7.0447811742230204</v>
      </c>
      <c r="AJ71" s="116">
        <f t="shared" si="23"/>
        <v>0.34522015535493733</v>
      </c>
      <c r="AK71" s="112">
        <f>report_47_flagged!AX64</f>
        <v>1</v>
      </c>
    </row>
    <row r="72" spans="1:37" ht="15.5">
      <c r="A72">
        <f>report_47_flagged!A65</f>
        <v>2019</v>
      </c>
      <c r="B72" t="str">
        <f>LEFT(report_47_flagged!B65,2)</f>
        <v>47</v>
      </c>
      <c r="C72">
        <f>report_47_flagged!E65</f>
        <v>3800</v>
      </c>
      <c r="D72" s="112">
        <f>report_47_flagged!AM65</f>
        <v>3841.1</v>
      </c>
      <c r="E72" t="str">
        <f>report_47_flagged!D65</f>
        <v>McLane-PARFLUX-Mark78H-21 ; controller sn ML11649-01, frame sn 10705-01, funnel says 10583, motor sn 11640-01, cup set L250x21</v>
      </c>
      <c r="H72">
        <f>report_47_flagged!C65</f>
        <v>18</v>
      </c>
      <c r="I72">
        <f>report_47_flagged!F65</f>
        <v>1</v>
      </c>
      <c r="J72" s="67">
        <f>report_47_flagged!AC65</f>
        <v>43873</v>
      </c>
      <c r="K72" s="67">
        <f>report_47_flagged!AD65</f>
        <v>43892</v>
      </c>
      <c r="L72" s="67">
        <f>report_47_flagged!AE65</f>
        <v>43882.5</v>
      </c>
      <c r="M72" s="67">
        <f>report_47_flagged!AF65</f>
        <v>19</v>
      </c>
      <c r="N72" s="105">
        <f>report_47_flagged!H65</f>
        <v>68.357894736842113</v>
      </c>
      <c r="O72" s="105">
        <f t="shared" si="16"/>
        <v>4.1014736842105264E-2</v>
      </c>
      <c r="P72" s="105">
        <f>report_47_flagged!J65</f>
        <v>1</v>
      </c>
      <c r="Q72" s="265">
        <f>report_47_flagged!BA65</f>
        <v>39.32</v>
      </c>
      <c r="R72" s="265">
        <f t="shared" si="17"/>
        <v>0.86503999999999992</v>
      </c>
      <c r="S72" s="266">
        <f>report_47_flagged!BB65</f>
        <v>1</v>
      </c>
      <c r="T72" s="265">
        <f>report_47_flagged!BC65</f>
        <v>8.5380000000000003</v>
      </c>
      <c r="U72" s="265">
        <f t="shared" si="18"/>
        <v>0.24760200000000002</v>
      </c>
      <c r="V72" s="266">
        <f>report_47_flagged!BD65</f>
        <v>1</v>
      </c>
      <c r="W72" s="116">
        <f>(report_47_flagged!N65/100)*report_47_flagged!H65</f>
        <v>8.8809583380849748</v>
      </c>
      <c r="X72" s="116">
        <f t="shared" si="19"/>
        <v>0.18657623207095878</v>
      </c>
      <c r="Y72" s="112">
        <f>report_47_flagged!AP65</f>
        <v>1</v>
      </c>
      <c r="Z72" s="116">
        <f>(report_47_flagged!P65/100)*report_47_flagged!H65</f>
        <v>0.53980797406246794</v>
      </c>
      <c r="AA72" s="116">
        <f t="shared" si="20"/>
        <v>2.051525984016506E-2</v>
      </c>
      <c r="AB72" s="112">
        <f>report_47_flagged!AR65</f>
        <v>1</v>
      </c>
      <c r="AC72" s="116">
        <f>(report_47_flagged!R65/100)*report_47_flagged!H65</f>
        <v>3.6478165906100792</v>
      </c>
      <c r="AD72" s="116">
        <f t="shared" si="21"/>
        <v>0.10216231209521826</v>
      </c>
      <c r="AE72" s="112">
        <f>report_47_flagged!AT65</f>
        <v>1</v>
      </c>
      <c r="AF72" s="116">
        <f>(report_47_flagged!L65/100)*report_47_flagged!H65</f>
        <v>5.2331417474748951</v>
      </c>
      <c r="AG72" s="116">
        <f t="shared" si="22"/>
        <v>9.9479257980576635E-2</v>
      </c>
      <c r="AH72" s="112">
        <f>report_47_flagged!AV65</f>
        <v>1</v>
      </c>
      <c r="AI72" s="116">
        <f>(report_47_flagged!T65/100)*report_47_flagged!H65</f>
        <v>4.7022881285159466</v>
      </c>
      <c r="AJ72" s="116">
        <f t="shared" si="23"/>
        <v>0.23042939136132806</v>
      </c>
      <c r="AK72" s="112">
        <f>report_47_flagged!AX65</f>
        <v>1</v>
      </c>
    </row>
    <row r="73" spans="1:37" ht="15.5">
      <c r="A73">
        <f>report_47_flagged!A66</f>
        <v>2019</v>
      </c>
      <c r="B73" t="str">
        <f>LEFT(report_47_flagged!B66,2)</f>
        <v>47</v>
      </c>
      <c r="C73">
        <f>report_47_flagged!E66</f>
        <v>3800</v>
      </c>
      <c r="D73" s="112">
        <f>report_47_flagged!AM66</f>
        <v>3841.1</v>
      </c>
      <c r="E73" t="str">
        <f>report_47_flagged!D66</f>
        <v>McLane-PARFLUX-Mark78H-21 ; controller sn ML11649-01, frame sn 10705-01, funnel says 10583, motor sn 11640-01, cup set L250x21</v>
      </c>
      <c r="H73">
        <f>report_47_flagged!C66</f>
        <v>19</v>
      </c>
      <c r="I73">
        <f>report_47_flagged!F66</f>
        <v>1</v>
      </c>
      <c r="J73" s="67">
        <f>report_47_flagged!AC66</f>
        <v>43892</v>
      </c>
      <c r="K73" s="67">
        <f>report_47_flagged!AD66</f>
        <v>43911</v>
      </c>
      <c r="L73" s="67">
        <f>report_47_flagged!AE66</f>
        <v>43901.5</v>
      </c>
      <c r="M73" s="67">
        <f>report_47_flagged!AF66</f>
        <v>19</v>
      </c>
      <c r="N73" s="105">
        <f>report_47_flagged!H66</f>
        <v>91.541353383458642</v>
      </c>
      <c r="O73" s="105">
        <f t="shared" si="16"/>
        <v>5.4924812030075182E-2</v>
      </c>
      <c r="P73" s="105">
        <f>report_47_flagged!J66</f>
        <v>1</v>
      </c>
      <c r="Q73" s="265">
        <f>report_47_flagged!BA66</f>
        <v>38.68</v>
      </c>
      <c r="R73" s="265">
        <f t="shared" si="17"/>
        <v>0.85095999999999994</v>
      </c>
      <c r="S73" s="266">
        <f>report_47_flagged!BB66</f>
        <v>1</v>
      </c>
      <c r="T73" s="265">
        <f>report_47_flagged!BC66</f>
        <v>8.49</v>
      </c>
      <c r="U73" s="265">
        <f t="shared" si="18"/>
        <v>0.24621000000000001</v>
      </c>
      <c r="V73" s="266">
        <f>report_47_flagged!BD66</f>
        <v>1</v>
      </c>
      <c r="W73" s="116">
        <f>(report_47_flagged!N66/100)*report_47_flagged!H66</f>
        <v>12.587432830853571</v>
      </c>
      <c r="X73" s="116">
        <f t="shared" si="19"/>
        <v>0.26444395971948204</v>
      </c>
      <c r="Y73" s="112">
        <f>report_47_flagged!AP66</f>
        <v>1</v>
      </c>
      <c r="Z73" s="116">
        <f>(report_47_flagged!P66/100)*report_47_flagged!H66</f>
        <v>0.79107205412889781</v>
      </c>
      <c r="AA73" s="116">
        <f t="shared" si="20"/>
        <v>3.0064485006791306E-2</v>
      </c>
      <c r="AB73" s="112">
        <f>report_47_flagged!AR66</f>
        <v>1</v>
      </c>
      <c r="AC73" s="116">
        <f>(report_47_flagged!R66/100)*report_47_flagged!H66</f>
        <v>5.5206478515144815</v>
      </c>
      <c r="AD73" s="116">
        <f t="shared" si="21"/>
        <v>0.15461362564829281</v>
      </c>
      <c r="AE73" s="112">
        <f>report_47_flagged!AT66</f>
        <v>1</v>
      </c>
      <c r="AF73" s="116">
        <f>(report_47_flagged!L66/100)*report_47_flagged!H66</f>
        <v>7.0667849793390873</v>
      </c>
      <c r="AG73" s="116">
        <f t="shared" si="22"/>
        <v>0.13433584641427859</v>
      </c>
      <c r="AH73" s="112">
        <f>report_47_flagged!AV66</f>
        <v>1</v>
      </c>
      <c r="AI73" s="116">
        <f>(report_47_flagged!T66/100)*report_47_flagged!H66</f>
        <v>5.4949129825274481</v>
      </c>
      <c r="AJ73" s="116">
        <f t="shared" si="23"/>
        <v>0.26927092078189435</v>
      </c>
      <c r="AK73" s="112">
        <f>report_47_flagged!AX66</f>
        <v>1</v>
      </c>
    </row>
    <row r="74" spans="1:37" ht="15.5">
      <c r="A74">
        <f>report_47_flagged!A67</f>
        <v>2019</v>
      </c>
      <c r="B74" t="str">
        <f>LEFT(report_47_flagged!B67,2)</f>
        <v>47</v>
      </c>
      <c r="C74">
        <f>report_47_flagged!E67</f>
        <v>3800</v>
      </c>
      <c r="D74" s="112">
        <f>report_47_flagged!AM67</f>
        <v>3841.1</v>
      </c>
      <c r="E74" t="str">
        <f>report_47_flagged!D67</f>
        <v>McLane-PARFLUX-Mark78H-21 ; controller sn ML11649-01, frame sn 10705-01, funnel says 10583, motor sn 11640-01, cup set L250x21</v>
      </c>
      <c r="H74">
        <f>report_47_flagged!C67</f>
        <v>20</v>
      </c>
      <c r="I74">
        <f>report_47_flagged!F67</f>
        <v>1</v>
      </c>
      <c r="J74" s="67">
        <f>report_47_flagged!AC67</f>
        <v>43911</v>
      </c>
      <c r="K74" s="67">
        <f>report_47_flagged!AD67</f>
        <v>43930</v>
      </c>
      <c r="L74" s="67">
        <f>report_47_flagged!AE67</f>
        <v>43920.5</v>
      </c>
      <c r="M74" s="67">
        <f>report_47_flagged!AF67</f>
        <v>19</v>
      </c>
      <c r="N74" s="105">
        <f>report_47_flagged!H67</f>
        <v>74.960902255639098</v>
      </c>
      <c r="O74" s="105">
        <f t="shared" si="16"/>
        <v>4.4976541353383456E-2</v>
      </c>
      <c r="P74" s="105">
        <f>report_47_flagged!J67</f>
        <v>1</v>
      </c>
      <c r="Q74" s="265">
        <f>report_47_flagged!BA67</f>
        <v>39.31</v>
      </c>
      <c r="R74" s="265">
        <f t="shared" si="17"/>
        <v>0.86482000000000003</v>
      </c>
      <c r="S74" s="266">
        <f>report_47_flagged!BB67</f>
        <v>1</v>
      </c>
      <c r="T74" s="265">
        <f>report_47_flagged!BC67</f>
        <v>8.5730000000000004</v>
      </c>
      <c r="U74" s="265">
        <f t="shared" si="18"/>
        <v>0.24861700000000003</v>
      </c>
      <c r="V74" s="266">
        <f>report_47_flagged!BD67</f>
        <v>1</v>
      </c>
      <c r="W74" s="116">
        <f>(report_47_flagged!N67/100)*report_47_flagged!H67</f>
        <v>11.171386712626406</v>
      </c>
      <c r="X74" s="116">
        <f t="shared" si="19"/>
        <v>0.23469485617459343</v>
      </c>
      <c r="Y74" s="112">
        <f>report_47_flagged!AP67</f>
        <v>1</v>
      </c>
      <c r="Z74" s="116">
        <f>(report_47_flagged!P67/100)*report_47_flagged!H67</f>
        <v>0.77076678540115073</v>
      </c>
      <c r="AA74" s="116">
        <f t="shared" si="20"/>
        <v>2.9292788618279077E-2</v>
      </c>
      <c r="AB74" s="112">
        <f>report_47_flagged!AR67</f>
        <v>1</v>
      </c>
      <c r="AC74" s="116">
        <f>(report_47_flagged!R67/100)*report_47_flagged!H67</f>
        <v>5.4039838124451194</v>
      </c>
      <c r="AD74" s="116">
        <f t="shared" si="21"/>
        <v>0.15134628265731759</v>
      </c>
      <c r="AE74" s="112">
        <f>report_47_flagged!AT67</f>
        <v>1</v>
      </c>
      <c r="AF74" s="116">
        <f>(report_47_flagged!L67/100)*report_47_flagged!H67</f>
        <v>5.7674029001812865</v>
      </c>
      <c r="AG74" s="116">
        <f t="shared" si="22"/>
        <v>0.10963528004222332</v>
      </c>
      <c r="AH74" s="112">
        <f>report_47_flagged!AV67</f>
        <v>1</v>
      </c>
      <c r="AI74" s="116">
        <f>(report_47_flagged!T67/100)*report_47_flagged!H67</f>
        <v>3.9448931732519434</v>
      </c>
      <c r="AJ74" s="116">
        <f t="shared" si="23"/>
        <v>0.19331425639049304</v>
      </c>
      <c r="AK74" s="112">
        <f>report_47_flagged!AX67</f>
        <v>1</v>
      </c>
    </row>
    <row r="75" spans="1:37" ht="15.5">
      <c r="A75">
        <f>report_47_flagged!A68</f>
        <v>2019</v>
      </c>
      <c r="B75" t="str">
        <f>LEFT(report_47_flagged!B68,2)</f>
        <v>47</v>
      </c>
      <c r="C75">
        <f>report_47_flagged!E68</f>
        <v>3800</v>
      </c>
      <c r="D75" s="112">
        <f>report_47_flagged!AM68</f>
        <v>3841.1</v>
      </c>
      <c r="E75" t="str">
        <f>report_47_flagged!D68</f>
        <v>McLane-PARFLUX-Mark78H-21 ; controller sn ML11649-01, frame sn 10705-01, funnel says 10583, motor sn 11640-01, cup set L250x21</v>
      </c>
      <c r="H75">
        <f>report_47_flagged!C68</f>
        <v>21</v>
      </c>
      <c r="I75">
        <f>report_47_flagged!F68</f>
        <v>1</v>
      </c>
      <c r="J75" s="67">
        <f>report_47_flagged!AC68</f>
        <v>43930</v>
      </c>
      <c r="K75" s="67">
        <f>report_47_flagged!AD68</f>
        <v>43949</v>
      </c>
      <c r="L75" s="67">
        <f>report_47_flagged!AE68</f>
        <v>43939.5</v>
      </c>
      <c r="M75" s="67">
        <f>report_47_flagged!AF68</f>
        <v>19</v>
      </c>
      <c r="N75" s="105">
        <f>report_47_flagged!H68</f>
        <v>44.669172932330831</v>
      </c>
      <c r="O75" s="105">
        <f t="shared" si="16"/>
        <v>2.6801503759398496E-2</v>
      </c>
      <c r="P75" s="105">
        <f>report_47_flagged!J68</f>
        <v>1</v>
      </c>
      <c r="Q75" s="265">
        <f>report_47_flagged!BA68</f>
        <v>39.729999999999997</v>
      </c>
      <c r="R75" s="265">
        <f t="shared" si="17"/>
        <v>0.87405999999999984</v>
      </c>
      <c r="S75" s="266">
        <f>report_47_flagged!BB68</f>
        <v>1</v>
      </c>
      <c r="T75" s="265">
        <f>report_47_flagged!BC68</f>
        <v>8.57</v>
      </c>
      <c r="U75" s="265">
        <f t="shared" si="18"/>
        <v>0.24853000000000003</v>
      </c>
      <c r="V75" s="266">
        <f>report_47_flagged!BD68</f>
        <v>1</v>
      </c>
      <c r="W75" s="116">
        <f>(report_47_flagged!N68/100)*report_47_flagged!H68</f>
        <v>7.4206847565156178</v>
      </c>
      <c r="X75" s="116">
        <f t="shared" si="19"/>
        <v>0.15589797278067544</v>
      </c>
      <c r="Y75" s="112">
        <f>report_47_flagged!AP68</f>
        <v>3</v>
      </c>
      <c r="Z75" s="116">
        <f>(report_47_flagged!P68/100)*report_47_flagged!H68</f>
        <v>0.58187913597078256</v>
      </c>
      <c r="AA75" s="116">
        <f t="shared" si="20"/>
        <v>2.2114163264712931E-2</v>
      </c>
      <c r="AB75" s="112">
        <f>report_47_flagged!AR68</f>
        <v>3</v>
      </c>
      <c r="AC75" s="116">
        <f>(report_47_flagged!R68/100)*report_47_flagged!H68</f>
        <v>4.0122264058272146</v>
      </c>
      <c r="AD75" s="116">
        <f t="shared" si="21"/>
        <v>0.11236812928696129</v>
      </c>
      <c r="AE75" s="112">
        <f>report_47_flagged!AT68</f>
        <v>3</v>
      </c>
      <c r="AF75" s="116">
        <f>(report_47_flagged!L68/100)*report_47_flagged!H68</f>
        <v>3.4084583506884036</v>
      </c>
      <c r="AG75" s="116">
        <f t="shared" si="22"/>
        <v>6.4792991274847764E-2</v>
      </c>
      <c r="AH75" s="112">
        <f>report_47_flagged!AV68</f>
        <v>1</v>
      </c>
      <c r="AI75" s="116">
        <f>(report_47_flagged!T68/100)*report_47_flagged!H68</f>
        <v>1.9239456448145171</v>
      </c>
      <c r="AJ75" s="116">
        <f t="shared" si="23"/>
        <v>9.4280403886438185E-2</v>
      </c>
      <c r="AK75" s="112">
        <f>report_47_flagged!AX68</f>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0FCB3-D6AF-4DC2-BBE9-0B40BEEB1A0B}">
  <dimension ref="A1"/>
  <sheetViews>
    <sheetView topLeftCell="A73" zoomScale="70" zoomScaleNormal="70" workbookViewId="0">
      <selection activeCell="Q89" sqref="Q89"/>
    </sheetView>
  </sheetViews>
  <sheetFormatPr defaultRowHeight="1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1640625" defaultRowHeight="14.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39"/>
  <sheetViews>
    <sheetView topLeftCell="F1" zoomScale="60" zoomScaleNormal="60" workbookViewId="0">
      <selection activeCell="Q22" sqref="Q22"/>
    </sheetView>
  </sheetViews>
  <sheetFormatPr defaultColWidth="8.81640625" defaultRowHeight="14.5"/>
  <cols>
    <col min="1" max="1" width="188" customWidth="1"/>
    <col min="2" max="2" width="25.453125" bestFit="1" customWidth="1"/>
    <col min="3" max="3" width="52.453125" bestFit="1" customWidth="1"/>
    <col min="4" max="4" width="16.54296875" customWidth="1"/>
    <col min="5" max="5" width="63.81640625" bestFit="1" customWidth="1"/>
    <col min="6" max="6" width="15" bestFit="1" customWidth="1"/>
    <col min="7" max="7" width="13.1796875" customWidth="1"/>
    <col min="9" max="10" width="9.81640625" bestFit="1" customWidth="1"/>
    <col min="16" max="16" width="15" bestFit="1" customWidth="1"/>
  </cols>
  <sheetData>
    <row r="1" spans="1:24">
      <c r="A1" s="34"/>
      <c r="D1" t="s">
        <v>0</v>
      </c>
      <c r="M1" t="s">
        <v>88</v>
      </c>
    </row>
    <row r="2" spans="1:24" ht="18.5">
      <c r="A2" s="1" t="s">
        <v>18</v>
      </c>
      <c r="D2" s="66" t="s">
        <v>85</v>
      </c>
      <c r="E2" s="66"/>
      <c r="F2" s="66"/>
      <c r="G2" s="66"/>
      <c r="H2" s="66"/>
      <c r="I2" t="s">
        <v>86</v>
      </c>
      <c r="M2" s="63" t="s">
        <v>89</v>
      </c>
      <c r="N2" s="64"/>
      <c r="O2" s="65"/>
      <c r="P2" s="65"/>
      <c r="Q2" s="65"/>
      <c r="R2" s="65"/>
      <c r="S2" s="65"/>
      <c r="T2" s="66"/>
      <c r="U2" s="66"/>
      <c r="V2" s="66"/>
      <c r="W2" s="66"/>
      <c r="X2" s="66"/>
    </row>
    <row r="3" spans="1:24">
      <c r="D3" s="66" t="s">
        <v>61</v>
      </c>
      <c r="E3" s="66"/>
      <c r="F3" s="66"/>
      <c r="G3" s="66"/>
      <c r="H3" s="66"/>
      <c r="I3">
        <v>7.01</v>
      </c>
      <c r="J3">
        <v>7.0490000000000004</v>
      </c>
      <c r="K3" t="s">
        <v>87</v>
      </c>
      <c r="M3" s="63" t="s">
        <v>90</v>
      </c>
      <c r="N3" s="66"/>
      <c r="O3" s="66"/>
      <c r="P3" s="66"/>
      <c r="Q3" s="66"/>
      <c r="R3" s="66"/>
      <c r="S3" s="66"/>
      <c r="T3" s="66"/>
      <c r="U3" s="66"/>
      <c r="V3" s="66"/>
      <c r="W3" s="66"/>
      <c r="X3" s="66"/>
    </row>
    <row r="4" spans="1:24">
      <c r="A4" t="s">
        <v>19</v>
      </c>
      <c r="B4" s="78"/>
      <c r="D4" t="s">
        <v>60</v>
      </c>
      <c r="E4">
        <v>8.7029999999999994</v>
      </c>
      <c r="F4" t="s">
        <v>87</v>
      </c>
      <c r="G4" s="67">
        <v>43522</v>
      </c>
      <c r="H4" t="s">
        <v>50</v>
      </c>
      <c r="I4" s="89">
        <v>9.18</v>
      </c>
      <c r="J4" s="89">
        <v>9.2219999999999995</v>
      </c>
      <c r="K4" t="s">
        <v>87</v>
      </c>
      <c r="L4" s="33"/>
      <c r="M4" t="s">
        <v>60</v>
      </c>
      <c r="N4">
        <v>42.64</v>
      </c>
      <c r="O4" t="s">
        <v>91</v>
      </c>
      <c r="P4" s="67">
        <v>43522</v>
      </c>
      <c r="Q4" t="s">
        <v>50</v>
      </c>
      <c r="R4" s="89"/>
      <c r="S4" s="89"/>
      <c r="U4" s="33"/>
    </row>
    <row r="5" spans="1:24">
      <c r="A5" t="s">
        <v>2</v>
      </c>
      <c r="C5">
        <v>250</v>
      </c>
      <c r="D5" t="s">
        <v>59</v>
      </c>
      <c r="E5">
        <v>8.7100000000000009</v>
      </c>
      <c r="F5" t="s">
        <v>87</v>
      </c>
      <c r="G5" t="s">
        <v>3</v>
      </c>
      <c r="I5" s="89">
        <v>12.45</v>
      </c>
      <c r="J5" s="89">
        <v>12.459</v>
      </c>
      <c r="K5" t="s">
        <v>87</v>
      </c>
      <c r="L5" s="33"/>
      <c r="M5" t="s">
        <v>59</v>
      </c>
      <c r="N5">
        <v>42.63</v>
      </c>
      <c r="O5" t="s">
        <v>92</v>
      </c>
      <c r="P5" t="s">
        <v>3</v>
      </c>
      <c r="R5" s="89"/>
      <c r="S5" s="89"/>
      <c r="U5" s="33"/>
    </row>
    <row r="6" spans="1:24" ht="15.5">
      <c r="A6" s="2" t="s">
        <v>52</v>
      </c>
      <c r="D6" t="s">
        <v>58</v>
      </c>
      <c r="E6">
        <v>8.7200000000000006</v>
      </c>
      <c r="F6" t="s">
        <v>87</v>
      </c>
      <c r="I6" s="33"/>
      <c r="J6" s="33"/>
      <c r="K6" s="33"/>
      <c r="L6" s="33"/>
      <c r="M6" t="s">
        <v>58</v>
      </c>
      <c r="N6">
        <v>42.58</v>
      </c>
      <c r="O6" t="s">
        <v>87</v>
      </c>
      <c r="R6" s="33"/>
      <c r="S6" s="33"/>
      <c r="T6" s="33"/>
      <c r="U6" s="33"/>
    </row>
    <row r="7" spans="1:24">
      <c r="B7" s="556" t="s">
        <v>64</v>
      </c>
      <c r="C7" s="76" t="s">
        <v>65</v>
      </c>
      <c r="E7" s="558" t="s">
        <v>75</v>
      </c>
    </row>
    <row r="8" spans="1:24">
      <c r="A8" s="76" t="s">
        <v>66</v>
      </c>
      <c r="B8" s="557"/>
      <c r="C8" s="77" t="s">
        <v>70</v>
      </c>
      <c r="D8" s="3" t="s">
        <v>71</v>
      </c>
      <c r="E8" s="559"/>
      <c r="F8" s="83" t="s">
        <v>74</v>
      </c>
      <c r="G8" s="4"/>
    </row>
    <row r="9" spans="1:24" s="8" customFormat="1" ht="15.5">
      <c r="A9" s="5" t="s">
        <v>73</v>
      </c>
      <c r="B9" s="75">
        <v>40</v>
      </c>
      <c r="C9" s="70">
        <f>((B9*1.04)-AVERAGE(H31:H33))*24</f>
        <v>180.39999999999998</v>
      </c>
      <c r="D9" s="6">
        <f>C9/24</f>
        <v>7.5166666666666657</v>
      </c>
      <c r="E9" s="7">
        <f>((C9/24)+AVERAGE(H31:H33))/4-(((C9/24)+AVERAGE(H31:H33))/4)*10/250</f>
        <v>9.984</v>
      </c>
      <c r="F9" s="7">
        <f>E9*4</f>
        <v>39.936</v>
      </c>
      <c r="G9" s="2"/>
    </row>
    <row r="10" spans="1:24" s="8" customFormat="1" ht="15.5">
      <c r="A10" s="9" t="s">
        <v>5</v>
      </c>
      <c r="B10" s="9">
        <v>2</v>
      </c>
      <c r="C10" s="71">
        <f>(B10/100*4+B10)*24</f>
        <v>49.92</v>
      </c>
      <c r="D10" s="10">
        <f>C10/24</f>
        <v>2.08</v>
      </c>
      <c r="E10" s="82">
        <f>(((C10)/24)*0.25)-(((C10)/24)*0.25)*(10/250)</f>
        <v>0.49920000000000003</v>
      </c>
      <c r="F10" s="82">
        <f>E10*4</f>
        <v>1.9968000000000001</v>
      </c>
      <c r="G10" s="2" t="s">
        <v>6</v>
      </c>
    </row>
    <row r="11" spans="1:24" s="8" customFormat="1" ht="15.5">
      <c r="A11" s="9" t="s">
        <v>7</v>
      </c>
      <c r="B11" s="9">
        <v>0.22</v>
      </c>
      <c r="C11" s="71">
        <f>(B11/100*4+B11)*24</f>
        <v>5.4912000000000001</v>
      </c>
      <c r="D11" s="10">
        <f>C11/24</f>
        <v>0.2288</v>
      </c>
      <c r="E11" s="82">
        <f>(((C11)/24)*0.25)-(((C11)/24)*0.25)*(10/250)</f>
        <v>5.4912000000000002E-2</v>
      </c>
      <c r="F11" s="82">
        <f>E11*4</f>
        <v>0.21964800000000001</v>
      </c>
      <c r="G11" s="2"/>
    </row>
    <row r="12" spans="1:24" s="8" customFormat="1" ht="15.5">
      <c r="A12" s="9" t="s">
        <v>8</v>
      </c>
      <c r="B12" s="9">
        <v>3</v>
      </c>
      <c r="C12" s="72">
        <v>0</v>
      </c>
      <c r="D12" s="10">
        <f>C12/24</f>
        <v>0</v>
      </c>
      <c r="E12" s="82">
        <f>0.73</f>
        <v>0.73</v>
      </c>
      <c r="F12" s="82">
        <f>E12*4</f>
        <v>2.92</v>
      </c>
      <c r="G12" s="2"/>
    </row>
    <row r="13" spans="1:24" s="8" customFormat="1" ht="15.5">
      <c r="A13" s="9" t="s">
        <v>9</v>
      </c>
      <c r="B13" s="11" t="s">
        <v>10</v>
      </c>
      <c r="C13" s="71">
        <v>0</v>
      </c>
      <c r="D13" s="10"/>
      <c r="E13" s="82">
        <v>0</v>
      </c>
      <c r="F13" s="82"/>
      <c r="G13" s="2"/>
    </row>
    <row r="14" spans="1:24" s="8" customFormat="1" ht="15.5">
      <c r="A14" s="12"/>
      <c r="B14" s="12"/>
      <c r="C14" s="68"/>
      <c r="D14" s="13"/>
      <c r="E14" s="14"/>
      <c r="F14" s="15"/>
      <c r="G14" s="2"/>
    </row>
    <row r="15" spans="1:24" s="8" customFormat="1" ht="15.5">
      <c r="A15" s="2" t="s">
        <v>11</v>
      </c>
      <c r="B15" s="2"/>
      <c r="C15" s="16">
        <f>3/4</f>
        <v>0.75</v>
      </c>
      <c r="D15" s="16"/>
      <c r="E15" s="2" t="s">
        <v>12</v>
      </c>
    </row>
    <row r="16" spans="1:24" s="8" customFormat="1" ht="15.5">
      <c r="A16" s="17" t="s">
        <v>13</v>
      </c>
      <c r="B16" s="17">
        <f>10*21*3</f>
        <v>630</v>
      </c>
      <c r="C16" s="17">
        <f>B16*(7.3/100)</f>
        <v>45.989999999999995</v>
      </c>
      <c r="D16" s="17" t="s">
        <v>14</v>
      </c>
      <c r="E16" s="18"/>
    </row>
    <row r="17" spans="1:13" s="8" customFormat="1" ht="15.5">
      <c r="A17" s="17" t="s">
        <v>15</v>
      </c>
      <c r="B17" s="17">
        <f>0.25*3*21</f>
        <v>15.75</v>
      </c>
      <c r="C17" s="17" t="s">
        <v>72</v>
      </c>
      <c r="D17" s="17"/>
      <c r="E17" s="2"/>
    </row>
    <row r="18" spans="1:13" s="8" customFormat="1" ht="18.5">
      <c r="H18" s="31"/>
    </row>
    <row r="19" spans="1:13" s="8" customFormat="1" ht="15.5">
      <c r="H19"/>
    </row>
    <row r="20" spans="1:13" s="8" customFormat="1" ht="15.5">
      <c r="A20" s="69" t="s">
        <v>51</v>
      </c>
      <c r="B20" s="19"/>
      <c r="C20" s="20"/>
      <c r="H20"/>
    </row>
    <row r="21" spans="1:13" s="8" customFormat="1" ht="15.5">
      <c r="A21" s="79" t="s">
        <v>67</v>
      </c>
      <c r="B21" s="21"/>
      <c r="C21" s="22"/>
      <c r="H21"/>
    </row>
    <row r="22" spans="1:13" s="8" customFormat="1" ht="15.5">
      <c r="A22" s="80" t="s">
        <v>69</v>
      </c>
      <c r="B22" s="81" t="s">
        <v>68</v>
      </c>
      <c r="C22" s="23" t="s">
        <v>16</v>
      </c>
    </row>
    <row r="23" spans="1:13" s="8" customFormat="1" ht="15.5">
      <c r="A23" s="24" t="s">
        <v>4</v>
      </c>
      <c r="B23" s="84">
        <v>182.61</v>
      </c>
      <c r="C23" s="87" t="s">
        <v>76</v>
      </c>
      <c r="D23" s="25"/>
      <c r="E23" s="26"/>
      <c r="F23" s="27"/>
      <c r="G23" s="27"/>
    </row>
    <row r="24" spans="1:13" s="8" customFormat="1" ht="15.5">
      <c r="A24" s="28" t="s">
        <v>5</v>
      </c>
      <c r="B24" s="85">
        <v>49.92</v>
      </c>
      <c r="C24" s="73" t="s">
        <v>77</v>
      </c>
      <c r="D24" s="29"/>
      <c r="E24" s="29"/>
      <c r="F24" s="29"/>
      <c r="G24" s="29"/>
    </row>
    <row r="25" spans="1:13" s="8" customFormat="1" ht="15.5">
      <c r="A25" s="30" t="s">
        <v>7</v>
      </c>
      <c r="B25" s="86">
        <v>5.49</v>
      </c>
      <c r="C25" s="74" t="s">
        <v>17</v>
      </c>
      <c r="D25" s="29"/>
      <c r="E25" s="29"/>
      <c r="F25" s="29"/>
      <c r="G25" s="29"/>
    </row>
    <row r="26" spans="1:13" s="8" customFormat="1" ht="15.5">
      <c r="A26" s="27"/>
      <c r="B26" s="27"/>
      <c r="C26" s="29"/>
      <c r="D26" s="29"/>
      <c r="E26" s="29"/>
      <c r="F26" s="29"/>
      <c r="G26" s="29"/>
    </row>
    <row r="27" spans="1:13" s="32" customFormat="1" ht="18.5">
      <c r="A27" s="31" t="s">
        <v>27</v>
      </c>
      <c r="B27" s="31"/>
      <c r="C27" s="31"/>
      <c r="D27" s="31"/>
      <c r="E27" s="31"/>
      <c r="F27" s="31"/>
      <c r="G27" s="31" t="s">
        <v>63</v>
      </c>
      <c r="H27" s="31"/>
    </row>
    <row r="28" spans="1:13" s="32" customFormat="1" ht="18.5">
      <c r="A28" s="31" t="s">
        <v>48</v>
      </c>
      <c r="B28" s="31"/>
      <c r="C28" s="31"/>
      <c r="D28" s="31"/>
      <c r="E28" s="31"/>
      <c r="F28" s="31"/>
      <c r="G28" s="63" t="s">
        <v>1</v>
      </c>
      <c r="H28" s="64"/>
      <c r="I28" s="65"/>
      <c r="J28" s="65"/>
      <c r="K28" s="65"/>
      <c r="L28" s="65"/>
      <c r="M28" s="65"/>
    </row>
    <row r="29" spans="1:13" ht="15.5">
      <c r="A29" s="35" t="s">
        <v>28</v>
      </c>
      <c r="G29" s="63" t="s">
        <v>53</v>
      </c>
      <c r="H29" s="66"/>
      <c r="I29" s="66"/>
      <c r="J29" s="66"/>
      <c r="K29" s="66"/>
      <c r="L29" s="66"/>
      <c r="M29" s="66"/>
    </row>
    <row r="30" spans="1:13">
      <c r="A30" t="s">
        <v>20</v>
      </c>
      <c r="B30" t="s">
        <v>21</v>
      </c>
      <c r="C30" t="s">
        <v>22</v>
      </c>
      <c r="D30" t="s">
        <v>23</v>
      </c>
      <c r="E30" t="s">
        <v>24</v>
      </c>
      <c r="F30" t="s">
        <v>25</v>
      </c>
      <c r="G30" s="66" t="s">
        <v>49</v>
      </c>
      <c r="H30" s="66"/>
      <c r="I30" s="66"/>
      <c r="J30" s="66"/>
      <c r="K30" s="66"/>
      <c r="L30" s="66"/>
      <c r="M30" s="66"/>
    </row>
    <row r="31" spans="1:13">
      <c r="A31" t="s">
        <v>26</v>
      </c>
      <c r="B31">
        <v>8.86</v>
      </c>
      <c r="C31">
        <v>0.79</v>
      </c>
      <c r="D31">
        <v>2.1</v>
      </c>
      <c r="E31">
        <v>0.15</v>
      </c>
      <c r="F31">
        <v>0.14199999999999999</v>
      </c>
      <c r="G31" t="s">
        <v>58</v>
      </c>
      <c r="H31">
        <v>33.979999999999997</v>
      </c>
      <c r="I31" t="s">
        <v>54</v>
      </c>
      <c r="J31" s="67">
        <v>43439</v>
      </c>
      <c r="K31" t="s">
        <v>50</v>
      </c>
    </row>
    <row r="32" spans="1:13">
      <c r="G32" t="s">
        <v>59</v>
      </c>
      <c r="H32">
        <v>34.08</v>
      </c>
      <c r="I32" t="s">
        <v>55</v>
      </c>
    </row>
    <row r="33" spans="7:14">
      <c r="G33" t="s">
        <v>60</v>
      </c>
      <c r="H33">
        <v>34.19</v>
      </c>
      <c r="I33" t="s">
        <v>56</v>
      </c>
    </row>
    <row r="35" spans="7:14">
      <c r="G35" s="66" t="s">
        <v>57</v>
      </c>
      <c r="H35" s="66"/>
      <c r="I35" s="66"/>
      <c r="J35" s="66"/>
      <c r="K35" s="66"/>
      <c r="L35" s="66"/>
      <c r="M35" s="66"/>
      <c r="N35" s="66"/>
    </row>
    <row r="36" spans="7:14">
      <c r="G36" s="66" t="s">
        <v>61</v>
      </c>
      <c r="H36" s="66"/>
      <c r="I36" s="66"/>
      <c r="J36" s="66"/>
      <c r="K36" s="66"/>
      <c r="L36" s="66"/>
      <c r="M36" s="66"/>
      <c r="N36" s="66"/>
    </row>
    <row r="37" spans="7:14">
      <c r="G37" t="s">
        <v>58</v>
      </c>
      <c r="H37">
        <v>8.0619999999999994</v>
      </c>
      <c r="I37" t="s">
        <v>62</v>
      </c>
      <c r="J37" s="67">
        <v>43439</v>
      </c>
      <c r="K37" t="s">
        <v>50</v>
      </c>
    </row>
    <row r="38" spans="7:14">
      <c r="G38" t="s">
        <v>59</v>
      </c>
      <c r="H38">
        <v>8.0210000000000008</v>
      </c>
      <c r="I38" t="s">
        <v>62</v>
      </c>
    </row>
    <row r="39" spans="7:14">
      <c r="G39" t="s">
        <v>60</v>
      </c>
      <c r="H39">
        <v>8.0280000000000005</v>
      </c>
      <c r="I39" t="s">
        <v>62</v>
      </c>
    </row>
  </sheetData>
  <mergeCells count="2">
    <mergeCell ref="B7:B8"/>
    <mergeCell ref="E7:E8"/>
  </mergeCells>
  <pageMargins left="0.70866141732282995" right="0.70866141732282995" top="0.74803149606299002" bottom="0.74803149606299002" header="0.31496062992126" footer="0.31496062992126"/>
  <pageSetup paperSize="9" scale="67" fitToWidth="3" orientation="landscape"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778"/>
  <sheetViews>
    <sheetView topLeftCell="A88" workbookViewId="0">
      <selection activeCell="E112" sqref="E112"/>
    </sheetView>
  </sheetViews>
  <sheetFormatPr defaultColWidth="12.54296875" defaultRowHeight="14.5"/>
  <cols>
    <col min="2" max="2" width="12.81640625" customWidth="1"/>
    <col min="7" max="7" width="43.1796875" customWidth="1"/>
    <col min="14" max="14" width="46.1796875" customWidth="1"/>
  </cols>
  <sheetData>
    <row r="1" spans="1:15">
      <c r="A1" t="s">
        <v>29</v>
      </c>
      <c r="B1" t="s">
        <v>30</v>
      </c>
      <c r="J1" t="s">
        <v>93</v>
      </c>
    </row>
    <row r="2" spans="1:15" s="2" customFormat="1" ht="15.5">
      <c r="A2" s="18">
        <v>1000</v>
      </c>
      <c r="B2" s="18" t="s">
        <v>79</v>
      </c>
      <c r="C2" s="18"/>
      <c r="D2" s="18"/>
      <c r="E2" s="18"/>
      <c r="F2" s="18"/>
      <c r="G2" s="18"/>
      <c r="H2" s="88" t="s">
        <v>78</v>
      </c>
      <c r="I2" s="18"/>
      <c r="J2" s="18" t="s">
        <v>800</v>
      </c>
      <c r="K2" s="18"/>
      <c r="L2" s="18"/>
      <c r="M2" s="18"/>
      <c r="N2" s="168" t="s">
        <v>804</v>
      </c>
      <c r="O2" s="18" t="s">
        <v>47</v>
      </c>
    </row>
    <row r="3" spans="1:15" s="2" customFormat="1" ht="15.5">
      <c r="A3" s="18">
        <v>2000</v>
      </c>
      <c r="B3" s="18" t="s">
        <v>80</v>
      </c>
      <c r="C3" s="18"/>
      <c r="D3" s="18"/>
      <c r="E3" s="18"/>
      <c r="F3" s="18"/>
      <c r="G3" s="18"/>
      <c r="H3" s="88" t="s">
        <v>82</v>
      </c>
      <c r="I3" s="18"/>
      <c r="J3" s="18" t="s">
        <v>801</v>
      </c>
      <c r="K3" s="18"/>
      <c r="L3" s="18"/>
      <c r="M3" s="18"/>
      <c r="N3" s="18"/>
      <c r="O3" s="18" t="s">
        <v>47</v>
      </c>
    </row>
    <row r="4" spans="1:15" s="2" customFormat="1" ht="15.5">
      <c r="A4" s="18">
        <v>3800</v>
      </c>
      <c r="B4" s="18" t="s">
        <v>81</v>
      </c>
      <c r="C4" s="18"/>
      <c r="D4" s="18"/>
      <c r="E4" s="18"/>
      <c r="F4" s="18"/>
      <c r="G4" s="18"/>
      <c r="H4" s="18" t="s">
        <v>31</v>
      </c>
      <c r="I4" s="18"/>
      <c r="J4" s="18" t="s">
        <v>802</v>
      </c>
      <c r="K4" s="18"/>
      <c r="L4" s="18"/>
      <c r="M4" s="18"/>
      <c r="N4" s="18"/>
      <c r="O4" s="18"/>
    </row>
    <row r="5" spans="1:15" s="88" customFormat="1" ht="15.5">
      <c r="N5" s="167" t="s">
        <v>803</v>
      </c>
    </row>
    <row r="6" spans="1:15" s="88" customFormat="1"/>
    <row r="7" spans="1:15" s="88" customFormat="1"/>
    <row r="8" spans="1:15" s="90" customFormat="1" ht="15.5">
      <c r="A8" s="18" t="s">
        <v>32</v>
      </c>
      <c r="B8" s="18" t="s">
        <v>1949</v>
      </c>
    </row>
    <row r="9" spans="1:15" s="90" customFormat="1" ht="15.5"/>
    <row r="10" spans="1:15" s="8" customFormat="1" ht="15.5">
      <c r="A10" s="36" t="s">
        <v>33</v>
      </c>
      <c r="B10" s="36" t="s">
        <v>34</v>
      </c>
      <c r="C10" s="36" t="s">
        <v>35</v>
      </c>
      <c r="D10" s="36"/>
    </row>
    <row r="11" spans="1:15" s="8" customFormat="1" ht="15.5">
      <c r="A11" s="36" t="s">
        <v>83</v>
      </c>
      <c r="B11" s="36" t="s">
        <v>84</v>
      </c>
      <c r="C11" s="37"/>
      <c r="D11" s="36"/>
    </row>
    <row r="12" spans="1:15" s="8" customFormat="1" ht="15.5">
      <c r="A12" s="36"/>
      <c r="B12" s="38"/>
      <c r="C12" s="38"/>
      <c r="D12" s="38"/>
    </row>
    <row r="13" spans="1:15" s="8" customFormat="1" ht="15.5">
      <c r="A13" s="39" t="s">
        <v>36</v>
      </c>
      <c r="B13" s="40" t="s">
        <v>37</v>
      </c>
      <c r="C13" s="41"/>
      <c r="D13" s="41"/>
      <c r="F13" s="42" t="s">
        <v>33</v>
      </c>
      <c r="G13" s="42" t="s">
        <v>38</v>
      </c>
      <c r="H13" s="43"/>
      <c r="I13" s="43"/>
      <c r="L13" s="53"/>
      <c r="M13" s="54"/>
      <c r="N13" s="55"/>
      <c r="O13" s="55"/>
    </row>
    <row r="14" spans="1:15" s="8" customFormat="1" ht="15.5">
      <c r="A14" s="44" t="s">
        <v>39</v>
      </c>
      <c r="B14" s="45">
        <v>43544</v>
      </c>
      <c r="C14" s="44">
        <v>6</v>
      </c>
      <c r="D14" s="44"/>
      <c r="F14" s="42">
        <v>1</v>
      </c>
      <c r="G14" s="46">
        <f>B15</f>
        <v>43550</v>
      </c>
      <c r="H14" s="43">
        <f>C15</f>
        <v>19</v>
      </c>
      <c r="I14" s="43" t="s">
        <v>40</v>
      </c>
      <c r="L14" s="56"/>
      <c r="M14" s="57"/>
      <c r="N14" s="56"/>
      <c r="O14" s="56"/>
    </row>
    <row r="15" spans="1:15" s="8" customFormat="1" ht="15.5">
      <c r="A15" s="44">
        <v>1</v>
      </c>
      <c r="B15" s="47">
        <f>B14+C14</f>
        <v>43550</v>
      </c>
      <c r="C15" s="44">
        <v>19</v>
      </c>
      <c r="D15" s="44" t="s">
        <v>40</v>
      </c>
      <c r="F15" s="42">
        <v>2</v>
      </c>
      <c r="G15" s="46">
        <f t="shared" ref="G15:G34" si="0">B16</f>
        <v>43569</v>
      </c>
      <c r="H15" s="43">
        <f t="shared" ref="H15:H34" si="1">C16</f>
        <v>19</v>
      </c>
      <c r="I15" s="46"/>
      <c r="L15" s="56"/>
      <c r="M15" s="58"/>
      <c r="N15" s="56"/>
      <c r="O15" s="56"/>
    </row>
    <row r="16" spans="1:15" s="8" customFormat="1" ht="15.5">
      <c r="A16" s="44">
        <v>2</v>
      </c>
      <c r="B16" s="47">
        <f>B15+C15</f>
        <v>43569</v>
      </c>
      <c r="C16" s="44">
        <v>19</v>
      </c>
      <c r="D16" s="44"/>
      <c r="F16" s="42">
        <v>3</v>
      </c>
      <c r="G16" s="46">
        <f t="shared" si="0"/>
        <v>43588</v>
      </c>
      <c r="H16" s="43">
        <f t="shared" si="1"/>
        <v>19</v>
      </c>
      <c r="I16" s="46"/>
      <c r="L16" s="56"/>
      <c r="M16" s="58"/>
      <c r="N16" s="56"/>
      <c r="O16" s="56"/>
    </row>
    <row r="17" spans="1:15" s="8" customFormat="1" ht="15.5">
      <c r="A17" s="44">
        <v>3</v>
      </c>
      <c r="B17" s="47">
        <f t="shared" ref="B17:B34" si="2">B16+C16</f>
        <v>43588</v>
      </c>
      <c r="C17" s="44">
        <v>19</v>
      </c>
      <c r="D17" s="44"/>
      <c r="F17" s="42">
        <v>4</v>
      </c>
      <c r="G17" s="46">
        <f t="shared" si="0"/>
        <v>43607</v>
      </c>
      <c r="H17" s="43">
        <f t="shared" si="1"/>
        <v>19</v>
      </c>
      <c r="I17" s="46"/>
      <c r="L17" s="56"/>
      <c r="M17" s="58"/>
      <c r="N17" s="56"/>
      <c r="O17" s="56"/>
    </row>
    <row r="18" spans="1:15" s="8" customFormat="1" ht="15.5">
      <c r="A18" s="44">
        <v>4</v>
      </c>
      <c r="B18" s="47">
        <f t="shared" si="2"/>
        <v>43607</v>
      </c>
      <c r="C18" s="44">
        <v>19</v>
      </c>
      <c r="D18" s="44"/>
      <c r="F18" s="42">
        <v>5</v>
      </c>
      <c r="G18" s="46">
        <f t="shared" si="0"/>
        <v>43626</v>
      </c>
      <c r="H18" s="43">
        <f t="shared" si="1"/>
        <v>19</v>
      </c>
      <c r="I18" s="46"/>
      <c r="L18" s="56"/>
      <c r="M18" s="58"/>
      <c r="N18" s="56"/>
      <c r="O18" s="56"/>
    </row>
    <row r="19" spans="1:15" s="8" customFormat="1" ht="15.5">
      <c r="A19" s="44">
        <v>5</v>
      </c>
      <c r="B19" s="47">
        <f t="shared" si="2"/>
        <v>43626</v>
      </c>
      <c r="C19" s="44">
        <v>19</v>
      </c>
      <c r="D19" s="44"/>
      <c r="F19" s="42">
        <v>6</v>
      </c>
      <c r="G19" s="46">
        <f t="shared" si="0"/>
        <v>43645</v>
      </c>
      <c r="H19" s="43">
        <f t="shared" si="1"/>
        <v>19</v>
      </c>
      <c r="I19" s="46"/>
      <c r="L19" s="56"/>
      <c r="M19" s="58"/>
      <c r="N19" s="56"/>
      <c r="O19" s="56"/>
    </row>
    <row r="20" spans="1:15" s="8" customFormat="1" ht="15.5">
      <c r="A20" s="44">
        <v>6</v>
      </c>
      <c r="B20" s="47">
        <f t="shared" si="2"/>
        <v>43645</v>
      </c>
      <c r="C20" s="44">
        <v>19</v>
      </c>
      <c r="D20" s="44"/>
      <c r="F20" s="42">
        <v>7</v>
      </c>
      <c r="G20" s="46">
        <f t="shared" si="0"/>
        <v>43664</v>
      </c>
      <c r="H20" s="43">
        <f t="shared" si="1"/>
        <v>19</v>
      </c>
      <c r="I20" s="46"/>
      <c r="L20" s="56"/>
      <c r="M20" s="58"/>
      <c r="N20" s="56"/>
      <c r="O20" s="56"/>
    </row>
    <row r="21" spans="1:15" s="8" customFormat="1" ht="15.5">
      <c r="A21" s="44">
        <v>7</v>
      </c>
      <c r="B21" s="47">
        <f t="shared" si="2"/>
        <v>43664</v>
      </c>
      <c r="C21" s="44">
        <v>19</v>
      </c>
      <c r="D21" s="44"/>
      <c r="F21" s="42">
        <v>8</v>
      </c>
      <c r="G21" s="46">
        <f t="shared" si="0"/>
        <v>43683</v>
      </c>
      <c r="H21" s="43">
        <f t="shared" si="1"/>
        <v>19</v>
      </c>
      <c r="I21" s="46"/>
      <c r="L21" s="56"/>
      <c r="M21" s="58"/>
      <c r="N21" s="56"/>
      <c r="O21" s="56"/>
    </row>
    <row r="22" spans="1:15" s="8" customFormat="1" ht="15.5">
      <c r="A22" s="44">
        <v>8</v>
      </c>
      <c r="B22" s="47">
        <f>B21+C21</f>
        <v>43683</v>
      </c>
      <c r="C22" s="44">
        <v>19</v>
      </c>
      <c r="D22" s="44"/>
      <c r="F22" s="42">
        <v>9</v>
      </c>
      <c r="G22" s="46">
        <f t="shared" si="0"/>
        <v>43702</v>
      </c>
      <c r="H22" s="43">
        <f t="shared" si="1"/>
        <v>19</v>
      </c>
      <c r="I22" s="46"/>
      <c r="L22" s="56"/>
      <c r="M22" s="58"/>
      <c r="N22" s="56"/>
      <c r="O22" s="56"/>
    </row>
    <row r="23" spans="1:15" s="8" customFormat="1" ht="15.5">
      <c r="A23" s="44">
        <v>9</v>
      </c>
      <c r="B23" s="47">
        <f t="shared" si="2"/>
        <v>43702</v>
      </c>
      <c r="C23" s="44">
        <v>19</v>
      </c>
      <c r="D23" s="44"/>
      <c r="F23" s="42">
        <v>10</v>
      </c>
      <c r="G23" s="46">
        <f t="shared" si="0"/>
        <v>43721</v>
      </c>
      <c r="H23" s="43">
        <f t="shared" si="1"/>
        <v>19</v>
      </c>
      <c r="I23" s="46"/>
      <c r="L23" s="56"/>
      <c r="M23" s="58"/>
      <c r="N23" s="56"/>
      <c r="O23" s="56"/>
    </row>
    <row r="24" spans="1:15" s="8" customFormat="1" ht="15.5">
      <c r="A24" s="44">
        <v>10</v>
      </c>
      <c r="B24" s="47">
        <f t="shared" si="2"/>
        <v>43721</v>
      </c>
      <c r="C24" s="44">
        <v>19</v>
      </c>
      <c r="D24" s="44"/>
      <c r="F24" s="42">
        <v>11</v>
      </c>
      <c r="G24" s="46">
        <f t="shared" si="0"/>
        <v>43740</v>
      </c>
      <c r="H24" s="43">
        <f t="shared" si="1"/>
        <v>19</v>
      </c>
      <c r="I24" s="46"/>
      <c r="L24" s="56"/>
      <c r="M24" s="58"/>
      <c r="N24" s="56"/>
      <c r="O24" s="56"/>
    </row>
    <row r="25" spans="1:15" s="8" customFormat="1" ht="15.5">
      <c r="A25" s="44">
        <v>11</v>
      </c>
      <c r="B25" s="47">
        <f t="shared" si="2"/>
        <v>43740</v>
      </c>
      <c r="C25" s="44">
        <v>19</v>
      </c>
      <c r="D25" s="44"/>
      <c r="F25" s="42">
        <v>12</v>
      </c>
      <c r="G25" s="46">
        <f t="shared" si="0"/>
        <v>43759</v>
      </c>
      <c r="H25" s="43">
        <f t="shared" si="1"/>
        <v>19</v>
      </c>
      <c r="I25" s="46"/>
      <c r="L25" s="56"/>
      <c r="M25" s="58"/>
      <c r="N25" s="56"/>
      <c r="O25" s="56"/>
    </row>
    <row r="26" spans="1:15" s="8" customFormat="1" ht="15.5">
      <c r="A26" s="44">
        <v>12</v>
      </c>
      <c r="B26" s="47">
        <f t="shared" si="2"/>
        <v>43759</v>
      </c>
      <c r="C26" s="44">
        <v>19</v>
      </c>
      <c r="D26" s="44"/>
      <c r="F26" s="42">
        <v>13</v>
      </c>
      <c r="G26" s="46">
        <f t="shared" si="0"/>
        <v>43778</v>
      </c>
      <c r="H26" s="43">
        <f t="shared" si="1"/>
        <v>19</v>
      </c>
      <c r="I26" s="46"/>
      <c r="L26" s="56"/>
      <c r="M26" s="58"/>
      <c r="N26" s="56"/>
      <c r="O26" s="56"/>
    </row>
    <row r="27" spans="1:15" s="8" customFormat="1" ht="15.5">
      <c r="A27" s="44">
        <v>13</v>
      </c>
      <c r="B27" s="47">
        <f t="shared" si="2"/>
        <v>43778</v>
      </c>
      <c r="C27" s="44">
        <v>19</v>
      </c>
      <c r="D27" s="44"/>
      <c r="F27" s="42">
        <v>14</v>
      </c>
      <c r="G27" s="46">
        <f t="shared" si="0"/>
        <v>43797</v>
      </c>
      <c r="H27" s="43">
        <f t="shared" si="1"/>
        <v>19</v>
      </c>
      <c r="I27" s="46"/>
      <c r="L27" s="56"/>
      <c r="M27" s="58"/>
      <c r="N27" s="56"/>
      <c r="O27" s="56"/>
    </row>
    <row r="28" spans="1:15" s="8" customFormat="1" ht="15.5">
      <c r="A28" s="44">
        <v>14</v>
      </c>
      <c r="B28" s="47">
        <f t="shared" si="2"/>
        <v>43797</v>
      </c>
      <c r="C28" s="44">
        <v>19</v>
      </c>
      <c r="D28" s="44"/>
      <c r="F28" s="42">
        <v>15</v>
      </c>
      <c r="G28" s="46">
        <f t="shared" si="0"/>
        <v>43816</v>
      </c>
      <c r="H28" s="43">
        <f t="shared" si="1"/>
        <v>19</v>
      </c>
      <c r="I28" s="46"/>
      <c r="L28" s="56"/>
      <c r="M28" s="58"/>
      <c r="N28" s="56"/>
      <c r="O28" s="56"/>
    </row>
    <row r="29" spans="1:15" s="8" customFormat="1" ht="15.5">
      <c r="A29" s="44">
        <v>15</v>
      </c>
      <c r="B29" s="47">
        <f t="shared" si="2"/>
        <v>43816</v>
      </c>
      <c r="C29" s="44">
        <v>19</v>
      </c>
      <c r="D29" s="44"/>
      <c r="F29" s="42">
        <v>16</v>
      </c>
      <c r="G29" s="46">
        <f t="shared" si="0"/>
        <v>43835</v>
      </c>
      <c r="H29" s="43">
        <f t="shared" si="1"/>
        <v>19</v>
      </c>
      <c r="I29" s="46"/>
      <c r="L29" s="56"/>
      <c r="M29" s="58"/>
      <c r="N29" s="56"/>
      <c r="O29" s="56"/>
    </row>
    <row r="30" spans="1:15" s="8" customFormat="1" ht="15.5">
      <c r="A30" s="44">
        <v>16</v>
      </c>
      <c r="B30" s="47">
        <f t="shared" si="2"/>
        <v>43835</v>
      </c>
      <c r="C30" s="44">
        <v>19</v>
      </c>
      <c r="D30" s="44"/>
      <c r="F30" s="42">
        <v>17</v>
      </c>
      <c r="G30" s="46">
        <f t="shared" si="0"/>
        <v>43854</v>
      </c>
      <c r="H30" s="43">
        <f t="shared" si="1"/>
        <v>19</v>
      </c>
      <c r="I30" s="46"/>
      <c r="L30" s="56"/>
      <c r="M30" s="58"/>
      <c r="N30" s="56"/>
      <c r="O30" s="56"/>
    </row>
    <row r="31" spans="1:15" s="8" customFormat="1" ht="15.5">
      <c r="A31" s="44">
        <v>17</v>
      </c>
      <c r="B31" s="47">
        <f t="shared" si="2"/>
        <v>43854</v>
      </c>
      <c r="C31" s="44">
        <v>19</v>
      </c>
      <c r="D31" s="44"/>
      <c r="F31" s="42">
        <v>18</v>
      </c>
      <c r="G31" s="46">
        <f t="shared" si="0"/>
        <v>43873</v>
      </c>
      <c r="H31" s="43">
        <f t="shared" si="1"/>
        <v>19</v>
      </c>
      <c r="I31" s="46"/>
      <c r="L31" s="56"/>
      <c r="M31" s="58"/>
      <c r="N31" s="56"/>
      <c r="O31" s="56"/>
    </row>
    <row r="32" spans="1:15" s="8" customFormat="1" ht="15.5">
      <c r="A32" s="44">
        <v>18</v>
      </c>
      <c r="B32" s="47">
        <f t="shared" si="2"/>
        <v>43873</v>
      </c>
      <c r="C32" s="44">
        <v>19</v>
      </c>
      <c r="D32" s="44"/>
      <c r="F32" s="42">
        <v>19</v>
      </c>
      <c r="G32" s="46">
        <f t="shared" si="0"/>
        <v>43892</v>
      </c>
      <c r="H32" s="43">
        <f t="shared" si="1"/>
        <v>19</v>
      </c>
      <c r="I32" s="46"/>
      <c r="L32" s="56"/>
      <c r="M32" s="58"/>
      <c r="N32" s="56"/>
      <c r="O32" s="56"/>
    </row>
    <row r="33" spans="1:15" s="8" customFormat="1" ht="15.5">
      <c r="A33" s="44">
        <v>19</v>
      </c>
      <c r="B33" s="47">
        <f t="shared" si="2"/>
        <v>43892</v>
      </c>
      <c r="C33" s="44">
        <v>19</v>
      </c>
      <c r="D33" s="44"/>
      <c r="F33" s="42">
        <v>20</v>
      </c>
      <c r="G33" s="46">
        <f t="shared" si="0"/>
        <v>43911</v>
      </c>
      <c r="H33" s="43">
        <f t="shared" si="1"/>
        <v>19</v>
      </c>
      <c r="I33" s="46"/>
      <c r="L33" s="56"/>
      <c r="M33" s="58"/>
      <c r="N33" s="56"/>
      <c r="O33" s="56"/>
    </row>
    <row r="34" spans="1:15">
      <c r="A34" s="44">
        <v>20</v>
      </c>
      <c r="B34" s="47">
        <f t="shared" si="2"/>
        <v>43911</v>
      </c>
      <c r="C34" s="44">
        <v>19</v>
      </c>
      <c r="D34" s="44"/>
      <c r="F34" s="42">
        <v>21</v>
      </c>
      <c r="G34" s="46">
        <f t="shared" si="0"/>
        <v>43930</v>
      </c>
      <c r="H34" s="43">
        <f t="shared" si="1"/>
        <v>19</v>
      </c>
      <c r="I34" s="43"/>
      <c r="L34" s="56"/>
      <c r="M34" s="58"/>
      <c r="N34" s="56"/>
      <c r="O34" s="56"/>
    </row>
    <row r="35" spans="1:15">
      <c r="A35" s="44">
        <v>21</v>
      </c>
      <c r="B35" s="47">
        <f>B34+C34</f>
        <v>43930</v>
      </c>
      <c r="C35" s="44">
        <v>19</v>
      </c>
      <c r="D35" s="44"/>
      <c r="F35" s="42" t="s">
        <v>41</v>
      </c>
      <c r="G35" s="46">
        <f>G34+H34</f>
        <v>43949</v>
      </c>
      <c r="H35" s="43"/>
      <c r="I35" s="43" t="s">
        <v>42</v>
      </c>
      <c r="L35" s="56"/>
      <c r="M35" s="58"/>
      <c r="N35" s="56"/>
      <c r="O35" s="56"/>
    </row>
    <row r="36" spans="1:15">
      <c r="A36" s="44" t="s">
        <v>41</v>
      </c>
      <c r="B36" s="47">
        <f>B35+C35</f>
        <v>43949</v>
      </c>
      <c r="C36" s="44"/>
      <c r="D36" s="44" t="s">
        <v>42</v>
      </c>
      <c r="F36" s="43"/>
      <c r="G36" s="46"/>
      <c r="H36" s="43"/>
      <c r="I36" s="43"/>
      <c r="L36" s="56"/>
      <c r="M36" s="58"/>
      <c r="N36" s="56"/>
      <c r="O36" s="56"/>
    </row>
    <row r="37" spans="1:15">
      <c r="A37" s="44" t="s">
        <v>43</v>
      </c>
      <c r="B37" s="47">
        <v>43953</v>
      </c>
      <c r="C37" s="48">
        <f>B37-B36</f>
        <v>4</v>
      </c>
      <c r="D37" s="44" t="s">
        <v>44</v>
      </c>
      <c r="L37" s="56"/>
      <c r="M37" s="58"/>
      <c r="N37" s="56"/>
      <c r="O37" s="56"/>
    </row>
    <row r="38" spans="1:15">
      <c r="A38" s="44"/>
      <c r="B38" s="49"/>
      <c r="C38" s="48"/>
      <c r="D38" s="48"/>
      <c r="L38" s="56"/>
      <c r="M38" s="58"/>
      <c r="N38" s="59"/>
      <c r="O38" s="56"/>
    </row>
    <row r="39" spans="1:15">
      <c r="A39" s="44" t="s">
        <v>45</v>
      </c>
      <c r="B39" s="44">
        <f>SUM(C15:C35)</f>
        <v>399</v>
      </c>
      <c r="C39" s="44">
        <v>357</v>
      </c>
      <c r="D39" s="50">
        <v>98</v>
      </c>
      <c r="L39" s="56"/>
      <c r="M39" s="60"/>
      <c r="N39" s="59"/>
      <c r="O39" s="59"/>
    </row>
    <row r="40" spans="1:15">
      <c r="A40" s="44" t="s">
        <v>46</v>
      </c>
      <c r="B40" s="44"/>
      <c r="C40" s="44">
        <v>379</v>
      </c>
      <c r="D40" s="50"/>
      <c r="L40" s="56"/>
      <c r="M40" s="56"/>
      <c r="N40" s="56"/>
      <c r="O40" s="61"/>
    </row>
    <row r="41" spans="1:15">
      <c r="A41" s="51"/>
      <c r="B41" s="44"/>
      <c r="C41" s="44"/>
      <c r="D41" s="50"/>
      <c r="L41" s="56"/>
      <c r="M41" s="56"/>
      <c r="N41" s="56"/>
      <c r="O41" s="61"/>
    </row>
    <row r="42" spans="1:15">
      <c r="L42" s="62"/>
      <c r="M42" s="56"/>
      <c r="N42" s="56"/>
      <c r="O42" s="61"/>
    </row>
    <row r="43" spans="1:15" ht="15.5">
      <c r="E43" s="52"/>
    </row>
    <row r="45" spans="1:15" s="76" customFormat="1">
      <c r="A45" s="76" t="s">
        <v>94</v>
      </c>
      <c r="H45" s="76" t="s">
        <v>97</v>
      </c>
    </row>
    <row r="46" spans="1:15" s="76" customFormat="1">
      <c r="A46" s="76" t="s">
        <v>95</v>
      </c>
    </row>
    <row r="47" spans="1:15" s="76" customFormat="1">
      <c r="A47" s="76" t="s">
        <v>96</v>
      </c>
    </row>
    <row r="49" spans="1:15" ht="31">
      <c r="A49" s="560" t="s">
        <v>1226</v>
      </c>
      <c r="B49" s="560"/>
      <c r="G49" s="560" t="s">
        <v>1227</v>
      </c>
      <c r="H49" s="560"/>
      <c r="N49" s="560" t="s">
        <v>1228</v>
      </c>
      <c r="O49" s="560"/>
    </row>
    <row r="51" spans="1:15">
      <c r="A51" t="s">
        <v>223</v>
      </c>
      <c r="G51" t="s">
        <v>808</v>
      </c>
      <c r="N51" t="s">
        <v>1229</v>
      </c>
    </row>
    <row r="52" spans="1:15">
      <c r="A52" t="s">
        <v>223</v>
      </c>
      <c r="G52" t="s">
        <v>809</v>
      </c>
      <c r="N52" t="s">
        <v>1229</v>
      </c>
    </row>
    <row r="53" spans="1:15">
      <c r="A53" t="s">
        <v>224</v>
      </c>
      <c r="G53" t="s">
        <v>810</v>
      </c>
      <c r="N53" t="s">
        <v>1230</v>
      </c>
    </row>
    <row r="54" spans="1:15">
      <c r="G54" t="s">
        <v>811</v>
      </c>
      <c r="N54" t="s">
        <v>1231</v>
      </c>
    </row>
    <row r="55" spans="1:15">
      <c r="A55" t="s">
        <v>225</v>
      </c>
      <c r="G55" t="s">
        <v>812</v>
      </c>
      <c r="N55" t="s">
        <v>1232</v>
      </c>
    </row>
    <row r="56" spans="1:15">
      <c r="G56" t="s">
        <v>812</v>
      </c>
      <c r="N56" t="s">
        <v>1233</v>
      </c>
      <c r="O56" t="s">
        <v>229</v>
      </c>
    </row>
    <row r="57" spans="1:15">
      <c r="A57" t="s">
        <v>226</v>
      </c>
      <c r="G57" t="s">
        <v>813</v>
      </c>
      <c r="N57" t="s">
        <v>1234</v>
      </c>
      <c r="O57" t="s">
        <v>231</v>
      </c>
    </row>
    <row r="58" spans="1:15">
      <c r="G58" t="s">
        <v>814</v>
      </c>
      <c r="N58" t="s">
        <v>1235</v>
      </c>
      <c r="O58" t="s">
        <v>1236</v>
      </c>
    </row>
    <row r="59" spans="1:15">
      <c r="A59" t="s">
        <v>227</v>
      </c>
      <c r="G59" t="s">
        <v>815</v>
      </c>
      <c r="N59" t="s">
        <v>1237</v>
      </c>
    </row>
    <row r="60" spans="1:15">
      <c r="A60" t="s">
        <v>228</v>
      </c>
      <c r="B60" t="s">
        <v>229</v>
      </c>
      <c r="G60" t="s">
        <v>816</v>
      </c>
      <c r="N60" t="s">
        <v>1238</v>
      </c>
      <c r="O60" t="s">
        <v>236</v>
      </c>
    </row>
    <row r="61" spans="1:15">
      <c r="A61" t="s">
        <v>230</v>
      </c>
      <c r="B61" t="s">
        <v>231</v>
      </c>
      <c r="G61" t="s">
        <v>817</v>
      </c>
      <c r="N61" t="s">
        <v>1239</v>
      </c>
      <c r="O61" t="s">
        <v>237</v>
      </c>
    </row>
    <row r="62" spans="1:15">
      <c r="A62" t="s">
        <v>232</v>
      </c>
      <c r="B62" t="s">
        <v>233</v>
      </c>
      <c r="G62" t="s">
        <v>818</v>
      </c>
      <c r="N62" t="s">
        <v>1240</v>
      </c>
      <c r="O62" t="s">
        <v>238</v>
      </c>
    </row>
    <row r="63" spans="1:15">
      <c r="A63" t="s">
        <v>228</v>
      </c>
      <c r="B63" t="s">
        <v>234</v>
      </c>
      <c r="G63" t="s">
        <v>819</v>
      </c>
      <c r="N63" t="s">
        <v>1241</v>
      </c>
      <c r="O63" t="s">
        <v>1242</v>
      </c>
    </row>
    <row r="64" spans="1:15">
      <c r="G64" t="s">
        <v>820</v>
      </c>
      <c r="H64" t="s">
        <v>229</v>
      </c>
      <c r="N64" t="s">
        <v>1243</v>
      </c>
    </row>
    <row r="65" spans="1:15">
      <c r="A65" t="s">
        <v>235</v>
      </c>
      <c r="B65" t="s">
        <v>236</v>
      </c>
      <c r="G65" t="s">
        <v>821</v>
      </c>
      <c r="H65" t="s">
        <v>231</v>
      </c>
      <c r="N65" t="s">
        <v>1244</v>
      </c>
      <c r="O65" t="s">
        <v>241</v>
      </c>
    </row>
    <row r="66" spans="1:15">
      <c r="A66" t="s">
        <v>235</v>
      </c>
      <c r="B66" t="s">
        <v>237</v>
      </c>
      <c r="G66" t="s">
        <v>822</v>
      </c>
      <c r="H66" t="s">
        <v>233</v>
      </c>
      <c r="N66" t="s">
        <v>1245</v>
      </c>
      <c r="O66" t="s">
        <v>242</v>
      </c>
    </row>
    <row r="67" spans="1:15">
      <c r="A67" t="s">
        <v>235</v>
      </c>
      <c r="B67" t="s">
        <v>238</v>
      </c>
      <c r="G67" t="s">
        <v>823</v>
      </c>
      <c r="H67" t="s">
        <v>824</v>
      </c>
      <c r="N67" t="s">
        <v>1246</v>
      </c>
      <c r="O67" t="s">
        <v>243</v>
      </c>
    </row>
    <row r="68" spans="1:15">
      <c r="A68" t="s">
        <v>235</v>
      </c>
      <c r="B68" t="s">
        <v>239</v>
      </c>
      <c r="G68" t="s">
        <v>825</v>
      </c>
      <c r="N68" t="s">
        <v>1247</v>
      </c>
      <c r="O68" t="s">
        <v>244</v>
      </c>
    </row>
    <row r="69" spans="1:15">
      <c r="G69" t="s">
        <v>826</v>
      </c>
      <c r="H69" t="s">
        <v>236</v>
      </c>
      <c r="N69" t="s">
        <v>1248</v>
      </c>
    </row>
    <row r="70" spans="1:15">
      <c r="A70" t="s">
        <v>240</v>
      </c>
      <c r="B70" t="s">
        <v>241</v>
      </c>
      <c r="G70" t="s">
        <v>827</v>
      </c>
      <c r="H70" t="s">
        <v>237</v>
      </c>
      <c r="N70" t="s">
        <v>1249</v>
      </c>
      <c r="O70" t="s">
        <v>245</v>
      </c>
    </row>
    <row r="71" spans="1:15">
      <c r="A71" t="s">
        <v>232</v>
      </c>
      <c r="B71" t="s">
        <v>242</v>
      </c>
      <c r="G71" t="s">
        <v>828</v>
      </c>
      <c r="H71" t="s">
        <v>238</v>
      </c>
    </row>
    <row r="72" spans="1:15">
      <c r="A72" t="s">
        <v>47</v>
      </c>
      <c r="B72" t="s">
        <v>243</v>
      </c>
      <c r="G72" t="s">
        <v>829</v>
      </c>
      <c r="H72" t="s">
        <v>830</v>
      </c>
      <c r="N72" t="s">
        <v>230</v>
      </c>
      <c r="O72" t="s">
        <v>246</v>
      </c>
    </row>
    <row r="73" spans="1:15">
      <c r="A73" t="s">
        <v>228</v>
      </c>
      <c r="B73" t="s">
        <v>244</v>
      </c>
      <c r="G73" t="s">
        <v>831</v>
      </c>
      <c r="N73" t="s">
        <v>228</v>
      </c>
      <c r="O73" t="s">
        <v>247</v>
      </c>
    </row>
    <row r="74" spans="1:15">
      <c r="G74" t="s">
        <v>832</v>
      </c>
      <c r="H74" t="s">
        <v>241</v>
      </c>
      <c r="N74" t="s">
        <v>228</v>
      </c>
      <c r="O74" t="s">
        <v>248</v>
      </c>
    </row>
    <row r="75" spans="1:15">
      <c r="A75" t="s">
        <v>240</v>
      </c>
      <c r="B75" t="s">
        <v>245</v>
      </c>
      <c r="G75" t="s">
        <v>833</v>
      </c>
      <c r="H75" t="s">
        <v>242</v>
      </c>
      <c r="N75" t="s">
        <v>228</v>
      </c>
      <c r="O75" t="s">
        <v>1250</v>
      </c>
    </row>
    <row r="76" spans="1:15">
      <c r="G76" t="s">
        <v>834</v>
      </c>
      <c r="H76" t="s">
        <v>243</v>
      </c>
    </row>
    <row r="77" spans="1:15">
      <c r="A77" t="s">
        <v>230</v>
      </c>
      <c r="B77" t="s">
        <v>246</v>
      </c>
      <c r="G77" t="s">
        <v>835</v>
      </c>
      <c r="H77" t="s">
        <v>244</v>
      </c>
      <c r="N77" t="s">
        <v>232</v>
      </c>
      <c r="O77" t="s">
        <v>1251</v>
      </c>
    </row>
    <row r="78" spans="1:15">
      <c r="A78" t="s">
        <v>228</v>
      </c>
      <c r="B78" t="s">
        <v>247</v>
      </c>
      <c r="G78" t="s">
        <v>836</v>
      </c>
      <c r="O78" t="s">
        <v>1252</v>
      </c>
    </row>
    <row r="79" spans="1:15">
      <c r="A79" t="s">
        <v>228</v>
      </c>
      <c r="B79" t="s">
        <v>248</v>
      </c>
      <c r="G79" t="s">
        <v>837</v>
      </c>
      <c r="H79" t="s">
        <v>245</v>
      </c>
      <c r="N79" t="s">
        <v>230</v>
      </c>
      <c r="O79" t="s">
        <v>254</v>
      </c>
    </row>
    <row r="80" spans="1:15">
      <c r="A80" t="s">
        <v>228</v>
      </c>
      <c r="B80" t="s">
        <v>249</v>
      </c>
      <c r="H80" t="s">
        <v>838</v>
      </c>
    </row>
    <row r="81" spans="1:15">
      <c r="N81" t="s">
        <v>232</v>
      </c>
      <c r="O81" t="s">
        <v>255</v>
      </c>
    </row>
    <row r="82" spans="1:15">
      <c r="A82" t="s">
        <v>232</v>
      </c>
      <c r="B82" t="s">
        <v>250</v>
      </c>
      <c r="G82" t="s">
        <v>230</v>
      </c>
      <c r="H82" t="s">
        <v>246</v>
      </c>
    </row>
    <row r="83" spans="1:15">
      <c r="A83" t="s">
        <v>47</v>
      </c>
      <c r="B83" t="s">
        <v>251</v>
      </c>
      <c r="G83" t="s">
        <v>228</v>
      </c>
      <c r="H83" t="s">
        <v>247</v>
      </c>
      <c r="N83" t="s">
        <v>256</v>
      </c>
    </row>
    <row r="84" spans="1:15">
      <c r="A84" t="s">
        <v>230</v>
      </c>
      <c r="B84" t="s">
        <v>252</v>
      </c>
      <c r="G84" t="s">
        <v>228</v>
      </c>
      <c r="H84" t="s">
        <v>248</v>
      </c>
      <c r="N84" t="s">
        <v>257</v>
      </c>
    </row>
    <row r="85" spans="1:15">
      <c r="B85" t="s">
        <v>253</v>
      </c>
      <c r="G85" t="s">
        <v>228</v>
      </c>
      <c r="H85" t="s">
        <v>839</v>
      </c>
      <c r="N85" t="s">
        <v>258</v>
      </c>
    </row>
    <row r="86" spans="1:15">
      <c r="A86" t="s">
        <v>230</v>
      </c>
      <c r="B86" t="s">
        <v>254</v>
      </c>
      <c r="N86" t="s">
        <v>259</v>
      </c>
    </row>
    <row r="87" spans="1:15">
      <c r="G87" t="s">
        <v>232</v>
      </c>
      <c r="H87" t="s">
        <v>250</v>
      </c>
      <c r="N87" t="s">
        <v>260</v>
      </c>
    </row>
    <row r="88" spans="1:15">
      <c r="A88" t="s">
        <v>232</v>
      </c>
      <c r="B88" t="s">
        <v>255</v>
      </c>
      <c r="G88" t="s">
        <v>47</v>
      </c>
      <c r="H88" t="s">
        <v>251</v>
      </c>
    </row>
    <row r="89" spans="1:15">
      <c r="G89" t="s">
        <v>230</v>
      </c>
      <c r="H89" t="s">
        <v>252</v>
      </c>
    </row>
    <row r="90" spans="1:15">
      <c r="A90" t="s">
        <v>256</v>
      </c>
      <c r="H90" t="s">
        <v>253</v>
      </c>
      <c r="N90" t="s">
        <v>1253</v>
      </c>
    </row>
    <row r="91" spans="1:15">
      <c r="A91" t="s">
        <v>257</v>
      </c>
      <c r="G91" t="s">
        <v>230</v>
      </c>
      <c r="H91" t="s">
        <v>254</v>
      </c>
      <c r="N91" t="s">
        <v>1254</v>
      </c>
      <c r="O91" t="s">
        <v>228</v>
      </c>
    </row>
    <row r="92" spans="1:15">
      <c r="A92" t="s">
        <v>258</v>
      </c>
      <c r="N92" t="s">
        <v>1255</v>
      </c>
    </row>
    <row r="93" spans="1:15">
      <c r="A93" t="s">
        <v>259</v>
      </c>
      <c r="G93" t="s">
        <v>232</v>
      </c>
      <c r="H93" t="s">
        <v>255</v>
      </c>
    </row>
    <row r="94" spans="1:15">
      <c r="A94" t="s">
        <v>260</v>
      </c>
      <c r="N94" t="s">
        <v>1256</v>
      </c>
    </row>
    <row r="95" spans="1:15">
      <c r="G95" t="s">
        <v>256</v>
      </c>
      <c r="N95" t="s">
        <v>1257</v>
      </c>
    </row>
    <row r="96" spans="1:15">
      <c r="G96" t="s">
        <v>257</v>
      </c>
    </row>
    <row r="97" spans="1:17">
      <c r="A97" t="s">
        <v>261</v>
      </c>
      <c r="G97" t="s">
        <v>258</v>
      </c>
      <c r="N97" t="s">
        <v>266</v>
      </c>
    </row>
    <row r="98" spans="1:17">
      <c r="A98" t="s">
        <v>262</v>
      </c>
      <c r="B98" t="s">
        <v>228</v>
      </c>
      <c r="G98" t="s">
        <v>259</v>
      </c>
      <c r="N98" t="s">
        <v>267</v>
      </c>
    </row>
    <row r="99" spans="1:17">
      <c r="A99" t="s">
        <v>263</v>
      </c>
      <c r="G99" t="s">
        <v>260</v>
      </c>
    </row>
    <row r="100" spans="1:17">
      <c r="N100" t="s">
        <v>1258</v>
      </c>
    </row>
    <row r="101" spans="1:17">
      <c r="A101" t="s">
        <v>264</v>
      </c>
    </row>
    <row r="102" spans="1:17">
      <c r="A102" t="s">
        <v>265</v>
      </c>
      <c r="G102" t="s">
        <v>261</v>
      </c>
      <c r="N102" t="s">
        <v>269</v>
      </c>
    </row>
    <row r="103" spans="1:17">
      <c r="G103" t="s">
        <v>262</v>
      </c>
      <c r="H103" t="s">
        <v>228</v>
      </c>
      <c r="N103" t="s">
        <v>270</v>
      </c>
    </row>
    <row r="104" spans="1:17">
      <c r="A104" t="s">
        <v>266</v>
      </c>
      <c r="G104" t="s">
        <v>840</v>
      </c>
    </row>
    <row r="105" spans="1:17">
      <c r="A105" t="s">
        <v>267</v>
      </c>
      <c r="N105" t="s">
        <v>271</v>
      </c>
      <c r="O105" t="str">
        <f>RIGHT(N105,20)</f>
        <v xml:space="preserve"> 03/26/2019 00:00:00</v>
      </c>
      <c r="Q105" s="67">
        <v>43550</v>
      </c>
    </row>
    <row r="106" spans="1:17">
      <c r="G106" t="s">
        <v>841</v>
      </c>
      <c r="N106" t="s">
        <v>272</v>
      </c>
      <c r="O106" t="str">
        <f t="shared" ref="O106:O126" si="3">RIGHT(N106,20)</f>
        <v xml:space="preserve"> 04/14/2019 00:00:00</v>
      </c>
      <c r="Q106" s="67">
        <v>43569</v>
      </c>
    </row>
    <row r="107" spans="1:17" s="88" customFormat="1">
      <c r="A107" s="88" t="s">
        <v>268</v>
      </c>
      <c r="G107" s="88" t="s">
        <v>265</v>
      </c>
      <c r="N107" s="88" t="s">
        <v>273</v>
      </c>
      <c r="O107" s="88" t="str">
        <f t="shared" si="3"/>
        <v xml:space="preserve"> 05/03/2019 00:00:00</v>
      </c>
      <c r="Q107" s="171">
        <v>43588</v>
      </c>
    </row>
    <row r="108" spans="1:17" s="88" customFormat="1">
      <c r="N108" s="88" t="s">
        <v>274</v>
      </c>
      <c r="O108" s="88" t="str">
        <f t="shared" si="3"/>
        <v xml:space="preserve"> 05/22/2019 00:00:00</v>
      </c>
      <c r="Q108" s="171">
        <v>43607</v>
      </c>
    </row>
    <row r="109" spans="1:17" s="88" customFormat="1">
      <c r="A109" s="88" t="s">
        <v>269</v>
      </c>
      <c r="G109" s="88" t="s">
        <v>266</v>
      </c>
      <c r="N109" s="88" t="s">
        <v>275</v>
      </c>
      <c r="O109" s="88" t="str">
        <f t="shared" si="3"/>
        <v xml:space="preserve"> 06/10/2019 00:00:00</v>
      </c>
      <c r="Q109" s="171">
        <v>43626</v>
      </c>
    </row>
    <row r="110" spans="1:17" s="88" customFormat="1">
      <c r="A110" s="88" t="s">
        <v>270</v>
      </c>
      <c r="G110" s="88" t="s">
        <v>267</v>
      </c>
      <c r="N110" s="88" t="s">
        <v>276</v>
      </c>
      <c r="O110" s="88" t="str">
        <f t="shared" si="3"/>
        <v xml:space="preserve"> 06/29/2019 00:00:00</v>
      </c>
      <c r="Q110" s="171">
        <v>43645</v>
      </c>
    </row>
    <row r="111" spans="1:17" s="88" customFormat="1">
      <c r="N111" s="88" t="s">
        <v>277</v>
      </c>
      <c r="O111" s="88" t="str">
        <f t="shared" si="3"/>
        <v xml:space="preserve"> 07/18/2019 00:00:00</v>
      </c>
      <c r="Q111" s="171">
        <v>43664</v>
      </c>
    </row>
    <row r="112" spans="1:17" s="88" customFormat="1">
      <c r="A112" s="88" t="s">
        <v>271</v>
      </c>
      <c r="E112" s="171">
        <v>43550</v>
      </c>
      <c r="G112" s="88" t="s">
        <v>842</v>
      </c>
      <c r="N112" s="88" t="s">
        <v>278</v>
      </c>
      <c r="O112" s="88" t="str">
        <f t="shared" si="3"/>
        <v xml:space="preserve"> 08/06/2019 00:00:00</v>
      </c>
      <c r="Q112" s="171">
        <v>43683</v>
      </c>
    </row>
    <row r="113" spans="1:17" s="88" customFormat="1">
      <c r="A113" s="88" t="s">
        <v>272</v>
      </c>
      <c r="E113" s="171">
        <v>43569</v>
      </c>
      <c r="N113" s="88" t="s">
        <v>279</v>
      </c>
      <c r="O113" s="88" t="str">
        <f t="shared" si="3"/>
        <v xml:space="preserve"> 08/25/2019 00:00:00</v>
      </c>
      <c r="Q113" s="171">
        <v>43702</v>
      </c>
    </row>
    <row r="114" spans="1:17" s="88" customFormat="1">
      <c r="A114" s="88" t="s">
        <v>273</v>
      </c>
      <c r="E114" s="171">
        <v>43588</v>
      </c>
      <c r="G114" s="88" t="s">
        <v>269</v>
      </c>
      <c r="N114" s="88" t="s">
        <v>280</v>
      </c>
      <c r="O114" s="88" t="str">
        <f t="shared" si="3"/>
        <v xml:space="preserve"> 09/13/2019 00:00:00</v>
      </c>
      <c r="Q114" s="171">
        <v>43721</v>
      </c>
    </row>
    <row r="115" spans="1:17" s="88" customFormat="1">
      <c r="A115" s="88" t="s">
        <v>274</v>
      </c>
      <c r="E115" s="171">
        <v>43607</v>
      </c>
      <c r="G115" s="88" t="s">
        <v>270</v>
      </c>
      <c r="N115" s="88" t="s">
        <v>281</v>
      </c>
      <c r="O115" s="88" t="str">
        <f t="shared" si="3"/>
        <v xml:space="preserve"> 10/02/2019 00:00:00</v>
      </c>
      <c r="Q115" s="171">
        <v>43740</v>
      </c>
    </row>
    <row r="116" spans="1:17" s="88" customFormat="1">
      <c r="A116" s="88" t="s">
        <v>275</v>
      </c>
      <c r="E116" s="171">
        <v>43626</v>
      </c>
      <c r="N116" s="88" t="s">
        <v>282</v>
      </c>
      <c r="O116" s="88" t="str">
        <f t="shared" si="3"/>
        <v xml:space="preserve"> 10/21/2019 00:00:00</v>
      </c>
      <c r="Q116" s="171">
        <v>43759</v>
      </c>
    </row>
    <row r="117" spans="1:17" s="88" customFormat="1">
      <c r="A117" s="88" t="s">
        <v>276</v>
      </c>
      <c r="E117" s="171">
        <v>43645</v>
      </c>
      <c r="G117" s="88" t="s">
        <v>271</v>
      </c>
      <c r="H117" s="88" t="str">
        <f>RIGHT(G117,20)</f>
        <v xml:space="preserve"> 03/26/2019 00:00:00</v>
      </c>
      <c r="J117" s="171">
        <v>43550</v>
      </c>
      <c r="N117" s="88" t="s">
        <v>283</v>
      </c>
      <c r="O117" s="88" t="str">
        <f t="shared" si="3"/>
        <v xml:space="preserve"> 11/09/2019 00:00:00</v>
      </c>
      <c r="Q117" s="171">
        <v>43778</v>
      </c>
    </row>
    <row r="118" spans="1:17" s="88" customFormat="1">
      <c r="A118" s="88" t="s">
        <v>277</v>
      </c>
      <c r="E118" s="171">
        <v>43664</v>
      </c>
      <c r="G118" s="88" t="s">
        <v>272</v>
      </c>
      <c r="H118" s="88" t="str">
        <f t="shared" ref="H118:H138" si="4">RIGHT(G118,20)</f>
        <v xml:space="preserve"> 04/14/2019 00:00:00</v>
      </c>
      <c r="J118" s="171">
        <v>43569</v>
      </c>
      <c r="N118" s="88" t="s">
        <v>284</v>
      </c>
      <c r="O118" s="88" t="str">
        <f t="shared" si="3"/>
        <v xml:space="preserve"> 11/28/2019 00:00:00</v>
      </c>
      <c r="Q118" s="171">
        <v>43797</v>
      </c>
    </row>
    <row r="119" spans="1:17" s="88" customFormat="1">
      <c r="A119" s="88" t="s">
        <v>278</v>
      </c>
      <c r="E119" s="171">
        <v>43683</v>
      </c>
      <c r="G119" s="88" t="s">
        <v>273</v>
      </c>
      <c r="H119" s="88" t="str">
        <f t="shared" si="4"/>
        <v xml:space="preserve"> 05/03/2019 00:00:00</v>
      </c>
      <c r="J119" s="171">
        <v>43588</v>
      </c>
      <c r="N119" s="88" t="s">
        <v>285</v>
      </c>
      <c r="O119" s="88" t="str">
        <f t="shared" si="3"/>
        <v xml:space="preserve"> 12/17/2019 00:00:00</v>
      </c>
      <c r="Q119" s="171">
        <v>43816</v>
      </c>
    </row>
    <row r="120" spans="1:17" s="88" customFormat="1">
      <c r="A120" s="88" t="s">
        <v>279</v>
      </c>
      <c r="E120" s="171">
        <v>43702</v>
      </c>
      <c r="G120" s="88" t="s">
        <v>274</v>
      </c>
      <c r="H120" s="88" t="str">
        <f t="shared" si="4"/>
        <v xml:space="preserve"> 05/22/2019 00:00:00</v>
      </c>
      <c r="J120" s="171">
        <v>43607</v>
      </c>
      <c r="N120" s="88" t="s">
        <v>286</v>
      </c>
      <c r="O120" s="88" t="str">
        <f t="shared" si="3"/>
        <v xml:space="preserve"> 01/05/2020 00:00:00</v>
      </c>
      <c r="Q120" s="171">
        <v>43835</v>
      </c>
    </row>
    <row r="121" spans="1:17" s="88" customFormat="1">
      <c r="A121" s="88" t="s">
        <v>280</v>
      </c>
      <c r="E121" s="171">
        <v>43721</v>
      </c>
      <c r="G121" s="88" t="s">
        <v>275</v>
      </c>
      <c r="H121" s="88" t="str">
        <f t="shared" si="4"/>
        <v xml:space="preserve"> 06/10/2019 00:00:00</v>
      </c>
      <c r="J121" s="171">
        <v>43626</v>
      </c>
      <c r="N121" s="88" t="s">
        <v>287</v>
      </c>
      <c r="O121" s="88" t="str">
        <f t="shared" si="3"/>
        <v xml:space="preserve"> 01/24/2020 00:00:00</v>
      </c>
      <c r="Q121" s="171">
        <v>43854</v>
      </c>
    </row>
    <row r="122" spans="1:17" s="88" customFormat="1">
      <c r="A122" s="88" t="s">
        <v>281</v>
      </c>
      <c r="E122" s="171">
        <v>43740</v>
      </c>
      <c r="G122" s="88" t="s">
        <v>276</v>
      </c>
      <c r="H122" s="88" t="str">
        <f t="shared" si="4"/>
        <v xml:space="preserve"> 06/29/2019 00:00:00</v>
      </c>
      <c r="J122" s="171">
        <v>43645</v>
      </c>
      <c r="N122" s="88" t="s">
        <v>288</v>
      </c>
      <c r="O122" s="88" t="str">
        <f t="shared" si="3"/>
        <v xml:space="preserve"> 02/12/2020 00:00:00</v>
      </c>
      <c r="Q122" s="171">
        <v>43873</v>
      </c>
    </row>
    <row r="123" spans="1:17" s="88" customFormat="1">
      <c r="A123" s="88" t="s">
        <v>282</v>
      </c>
      <c r="E123" s="171">
        <v>43759</v>
      </c>
      <c r="G123" s="88" t="s">
        <v>277</v>
      </c>
      <c r="H123" s="88" t="str">
        <f t="shared" si="4"/>
        <v xml:space="preserve"> 07/18/2019 00:00:00</v>
      </c>
      <c r="J123" s="171">
        <v>43664</v>
      </c>
      <c r="N123" s="88" t="s">
        <v>289</v>
      </c>
      <c r="O123" s="88" t="str">
        <f t="shared" si="3"/>
        <v xml:space="preserve"> 03/02/2020 00:00:00</v>
      </c>
      <c r="Q123" s="171">
        <v>43892</v>
      </c>
    </row>
    <row r="124" spans="1:17" s="88" customFormat="1">
      <c r="A124" s="88" t="s">
        <v>283</v>
      </c>
      <c r="E124" s="171">
        <v>43778</v>
      </c>
      <c r="G124" s="88" t="s">
        <v>278</v>
      </c>
      <c r="H124" s="88" t="str">
        <f t="shared" si="4"/>
        <v xml:space="preserve"> 08/06/2019 00:00:00</v>
      </c>
      <c r="J124" s="171">
        <v>43683</v>
      </c>
      <c r="N124" s="88" t="s">
        <v>290</v>
      </c>
      <c r="O124" s="88" t="str">
        <f t="shared" si="3"/>
        <v xml:space="preserve"> 03/21/2020 00:00:00</v>
      </c>
      <c r="Q124" s="171">
        <v>43911</v>
      </c>
    </row>
    <row r="125" spans="1:17" s="88" customFormat="1">
      <c r="A125" s="88" t="s">
        <v>284</v>
      </c>
      <c r="E125" s="171">
        <v>43797</v>
      </c>
      <c r="G125" s="88" t="s">
        <v>279</v>
      </c>
      <c r="H125" s="88" t="str">
        <f t="shared" si="4"/>
        <v xml:space="preserve"> 08/25/2019 00:00:00</v>
      </c>
      <c r="J125" s="171">
        <v>43702</v>
      </c>
      <c r="N125" s="88" t="s">
        <v>291</v>
      </c>
      <c r="O125" s="88" t="str">
        <f t="shared" si="3"/>
        <v xml:space="preserve"> 04/09/2020 00:00:00</v>
      </c>
      <c r="Q125" s="171">
        <v>43930</v>
      </c>
    </row>
    <row r="126" spans="1:17" s="88" customFormat="1">
      <c r="A126" s="88" t="s">
        <v>285</v>
      </c>
      <c r="E126" s="171">
        <v>43816</v>
      </c>
      <c r="G126" s="88" t="s">
        <v>280</v>
      </c>
      <c r="H126" s="88" t="str">
        <f t="shared" si="4"/>
        <v xml:space="preserve"> 09/13/2019 00:00:00</v>
      </c>
      <c r="J126" s="171">
        <v>43721</v>
      </c>
      <c r="N126" s="88" t="s">
        <v>292</v>
      </c>
      <c r="O126" s="88" t="str">
        <f t="shared" si="3"/>
        <v xml:space="preserve"> 04/28/2020 00:00:00</v>
      </c>
      <c r="Q126" s="171">
        <v>43949</v>
      </c>
    </row>
    <row r="127" spans="1:17" s="88" customFormat="1">
      <c r="A127" s="88" t="s">
        <v>286</v>
      </c>
      <c r="E127" s="171">
        <v>43835</v>
      </c>
      <c r="G127" s="88" t="s">
        <v>281</v>
      </c>
      <c r="H127" s="88" t="str">
        <f t="shared" si="4"/>
        <v xml:space="preserve"> 10/02/2019 00:00:00</v>
      </c>
      <c r="J127" s="171">
        <v>43740</v>
      </c>
    </row>
    <row r="128" spans="1:17">
      <c r="A128" t="s">
        <v>287</v>
      </c>
      <c r="E128" s="67">
        <v>43854</v>
      </c>
      <c r="G128" t="s">
        <v>282</v>
      </c>
      <c r="H128" t="str">
        <f t="shared" si="4"/>
        <v xml:space="preserve"> 10/21/2019 00:00:00</v>
      </c>
      <c r="J128" s="67">
        <v>43759</v>
      </c>
      <c r="N128" t="s">
        <v>293</v>
      </c>
    </row>
    <row r="129" spans="1:14">
      <c r="A129" t="s">
        <v>288</v>
      </c>
      <c r="E129" s="67">
        <v>43873</v>
      </c>
      <c r="G129" t="s">
        <v>283</v>
      </c>
      <c r="H129" t="str">
        <f t="shared" si="4"/>
        <v xml:space="preserve"> 11/09/2019 00:00:00</v>
      </c>
      <c r="J129" s="67">
        <v>43778</v>
      </c>
      <c r="N129" t="s">
        <v>294</v>
      </c>
    </row>
    <row r="130" spans="1:14">
      <c r="A130" t="s">
        <v>289</v>
      </c>
      <c r="E130" s="67">
        <v>43892</v>
      </c>
      <c r="G130" t="s">
        <v>284</v>
      </c>
      <c r="H130" t="str">
        <f t="shared" si="4"/>
        <v xml:space="preserve"> 11/28/2019 00:00:00</v>
      </c>
      <c r="J130" s="67">
        <v>43797</v>
      </c>
    </row>
    <row r="131" spans="1:14">
      <c r="A131" t="s">
        <v>290</v>
      </c>
      <c r="E131" s="67">
        <v>43911</v>
      </c>
      <c r="G131" t="s">
        <v>285</v>
      </c>
      <c r="H131" t="str">
        <f t="shared" si="4"/>
        <v xml:space="preserve"> 12/17/2019 00:00:00</v>
      </c>
      <c r="J131" s="67">
        <v>43816</v>
      </c>
    </row>
    <row r="132" spans="1:14">
      <c r="A132" t="s">
        <v>291</v>
      </c>
      <c r="E132" s="67">
        <v>43930</v>
      </c>
      <c r="G132" t="s">
        <v>286</v>
      </c>
      <c r="H132" t="str">
        <f t="shared" si="4"/>
        <v xml:space="preserve"> 01/05/2020 00:00:00</v>
      </c>
      <c r="J132" s="67">
        <v>43835</v>
      </c>
      <c r="N132" t="s">
        <v>295</v>
      </c>
    </row>
    <row r="133" spans="1:14">
      <c r="A133" t="s">
        <v>292</v>
      </c>
      <c r="E133" s="67">
        <v>43949</v>
      </c>
      <c r="G133" t="s">
        <v>287</v>
      </c>
      <c r="H133" t="str">
        <f t="shared" si="4"/>
        <v xml:space="preserve"> 01/24/2020 00:00:00</v>
      </c>
      <c r="J133" s="67">
        <v>43854</v>
      </c>
    </row>
    <row r="134" spans="1:14">
      <c r="G134" t="s">
        <v>288</v>
      </c>
      <c r="H134" t="str">
        <f t="shared" si="4"/>
        <v xml:space="preserve"> 02/12/2020 00:00:00</v>
      </c>
      <c r="J134" s="67">
        <v>43873</v>
      </c>
      <c r="N134" t="s">
        <v>296</v>
      </c>
    </row>
    <row r="135" spans="1:14">
      <c r="A135" t="s">
        <v>293</v>
      </c>
      <c r="G135" t="s">
        <v>289</v>
      </c>
      <c r="H135" t="str">
        <f t="shared" si="4"/>
        <v xml:space="preserve"> 03/02/2020 00:00:00</v>
      </c>
      <c r="J135" s="67">
        <v>43892</v>
      </c>
      <c r="N135" t="s">
        <v>297</v>
      </c>
    </row>
    <row r="136" spans="1:14">
      <c r="A136" t="s">
        <v>294</v>
      </c>
      <c r="G136" t="s">
        <v>290</v>
      </c>
      <c r="H136" t="str">
        <f t="shared" si="4"/>
        <v xml:space="preserve"> 03/21/2020 00:00:00</v>
      </c>
      <c r="J136" s="67">
        <v>43911</v>
      </c>
      <c r="N136" t="s">
        <v>1259</v>
      </c>
    </row>
    <row r="137" spans="1:14">
      <c r="G137" t="s">
        <v>291</v>
      </c>
      <c r="H137" t="str">
        <f t="shared" si="4"/>
        <v xml:space="preserve"> 04/09/2020 00:00:00</v>
      </c>
      <c r="J137" s="67">
        <v>43930</v>
      </c>
    </row>
    <row r="138" spans="1:14">
      <c r="G138" t="s">
        <v>292</v>
      </c>
      <c r="H138" t="str">
        <f t="shared" si="4"/>
        <v xml:space="preserve"> 04/28/2020 00:00:00</v>
      </c>
      <c r="J138" s="67">
        <v>43949</v>
      </c>
      <c r="N138" t="s">
        <v>1260</v>
      </c>
    </row>
    <row r="139" spans="1:14">
      <c r="A139" t="s">
        <v>295</v>
      </c>
      <c r="N139" t="s">
        <v>1261</v>
      </c>
    </row>
    <row r="140" spans="1:14">
      <c r="G140" t="s">
        <v>293</v>
      </c>
      <c r="N140" t="s">
        <v>1262</v>
      </c>
    </row>
    <row r="141" spans="1:14">
      <c r="A141" t="s">
        <v>296</v>
      </c>
      <c r="G141" t="s">
        <v>294</v>
      </c>
    </row>
    <row r="142" spans="1:14">
      <c r="A142" t="s">
        <v>297</v>
      </c>
      <c r="N142" t="s">
        <v>302</v>
      </c>
    </row>
    <row r="143" spans="1:14">
      <c r="A143" t="s">
        <v>298</v>
      </c>
    </row>
    <row r="144" spans="1:14">
      <c r="G144" t="s">
        <v>295</v>
      </c>
      <c r="N144" t="s">
        <v>303</v>
      </c>
    </row>
    <row r="145" spans="1:14">
      <c r="A145" t="s">
        <v>299</v>
      </c>
      <c r="N145" t="s">
        <v>304</v>
      </c>
    </row>
    <row r="146" spans="1:14">
      <c r="A146" t="s">
        <v>300</v>
      </c>
      <c r="G146" t="s">
        <v>296</v>
      </c>
      <c r="N146" t="s">
        <v>1263</v>
      </c>
    </row>
    <row r="147" spans="1:14">
      <c r="A147" t="s">
        <v>301</v>
      </c>
      <c r="G147" t="s">
        <v>297</v>
      </c>
    </row>
    <row r="148" spans="1:14">
      <c r="G148" t="s">
        <v>298</v>
      </c>
      <c r="N148" t="s">
        <v>1260</v>
      </c>
    </row>
    <row r="149" spans="1:14">
      <c r="A149" t="s">
        <v>302</v>
      </c>
      <c r="N149" t="s">
        <v>1264</v>
      </c>
    </row>
    <row r="150" spans="1:14">
      <c r="G150" t="s">
        <v>299</v>
      </c>
      <c r="N150" t="s">
        <v>1265</v>
      </c>
    </row>
    <row r="151" spans="1:14">
      <c r="A151" t="s">
        <v>303</v>
      </c>
      <c r="G151" t="s">
        <v>843</v>
      </c>
    </row>
    <row r="152" spans="1:14">
      <c r="A152" t="s">
        <v>304</v>
      </c>
      <c r="G152" t="s">
        <v>844</v>
      </c>
      <c r="N152" t="s">
        <v>308</v>
      </c>
    </row>
    <row r="153" spans="1:14">
      <c r="A153" t="s">
        <v>305</v>
      </c>
    </row>
    <row r="154" spans="1:14">
      <c r="G154" t="s">
        <v>302</v>
      </c>
      <c r="N154" t="s">
        <v>309</v>
      </c>
    </row>
    <row r="155" spans="1:14">
      <c r="A155" t="s">
        <v>299</v>
      </c>
      <c r="N155" t="s">
        <v>310</v>
      </c>
    </row>
    <row r="156" spans="1:14">
      <c r="A156" t="s">
        <v>306</v>
      </c>
      <c r="G156" t="s">
        <v>303</v>
      </c>
      <c r="N156" t="s">
        <v>1266</v>
      </c>
    </row>
    <row r="157" spans="1:14">
      <c r="A157" t="s">
        <v>307</v>
      </c>
      <c r="G157" t="s">
        <v>304</v>
      </c>
    </row>
    <row r="158" spans="1:14">
      <c r="G158" t="s">
        <v>305</v>
      </c>
      <c r="N158" t="s">
        <v>1260</v>
      </c>
    </row>
    <row r="159" spans="1:14">
      <c r="A159" t="s">
        <v>308</v>
      </c>
      <c r="N159" t="s">
        <v>1267</v>
      </c>
    </row>
    <row r="160" spans="1:14">
      <c r="G160" t="s">
        <v>299</v>
      </c>
      <c r="N160" t="s">
        <v>1268</v>
      </c>
    </row>
    <row r="161" spans="1:15">
      <c r="A161" t="s">
        <v>309</v>
      </c>
      <c r="G161" t="s">
        <v>845</v>
      </c>
    </row>
    <row r="162" spans="1:15">
      <c r="A162" t="s">
        <v>310</v>
      </c>
      <c r="G162" t="s">
        <v>846</v>
      </c>
      <c r="N162" t="s">
        <v>314</v>
      </c>
    </row>
    <row r="163" spans="1:15">
      <c r="A163" t="s">
        <v>311</v>
      </c>
    </row>
    <row r="164" spans="1:15">
      <c r="G164" t="s">
        <v>308</v>
      </c>
      <c r="N164" t="s">
        <v>315</v>
      </c>
    </row>
    <row r="165" spans="1:15">
      <c r="A165" t="s">
        <v>299</v>
      </c>
      <c r="N165" t="s">
        <v>316</v>
      </c>
    </row>
    <row r="166" spans="1:15">
      <c r="A166" t="s">
        <v>312</v>
      </c>
      <c r="G166" t="s">
        <v>309</v>
      </c>
      <c r="N166" t="s">
        <v>1269</v>
      </c>
    </row>
    <row r="167" spans="1:15">
      <c r="A167" t="s">
        <v>313</v>
      </c>
      <c r="G167" t="s">
        <v>310</v>
      </c>
    </row>
    <row r="168" spans="1:15">
      <c r="G168" t="s">
        <v>311</v>
      </c>
      <c r="N168" t="s">
        <v>1260</v>
      </c>
    </row>
    <row r="169" spans="1:15">
      <c r="A169" s="66" t="s">
        <v>314</v>
      </c>
      <c r="B169" s="66"/>
      <c r="C169" s="66"/>
      <c r="D169" s="66"/>
      <c r="N169" t="s">
        <v>1270</v>
      </c>
    </row>
    <row r="170" spans="1:15">
      <c r="A170" s="66"/>
      <c r="B170" s="66"/>
      <c r="C170" s="66"/>
      <c r="D170" s="66"/>
      <c r="G170" t="s">
        <v>299</v>
      </c>
      <c r="N170" t="s">
        <v>1271</v>
      </c>
    </row>
    <row r="171" spans="1:15">
      <c r="A171" s="66" t="s">
        <v>315</v>
      </c>
      <c r="B171" s="66"/>
      <c r="C171" s="66"/>
      <c r="D171" s="66"/>
      <c r="G171" t="s">
        <v>847</v>
      </c>
    </row>
    <row r="172" spans="1:15">
      <c r="A172" s="66" t="s">
        <v>316</v>
      </c>
      <c r="B172" s="66"/>
      <c r="C172" s="66"/>
      <c r="D172" s="66"/>
      <c r="G172" t="s">
        <v>848</v>
      </c>
      <c r="N172" t="s">
        <v>320</v>
      </c>
    </row>
    <row r="173" spans="1:15">
      <c r="A173" s="66" t="s">
        <v>317</v>
      </c>
      <c r="B173" s="66"/>
      <c r="C173" s="66"/>
      <c r="D173" s="66"/>
      <c r="N173" s="88"/>
      <c r="O173" s="88"/>
    </row>
    <row r="174" spans="1:15" s="88" customFormat="1">
      <c r="A174" s="66"/>
      <c r="B174" s="66"/>
      <c r="C174" s="66"/>
      <c r="D174" s="66"/>
      <c r="G174" s="66" t="s">
        <v>314</v>
      </c>
      <c r="H174" s="66"/>
      <c r="N174" s="88" t="s">
        <v>321</v>
      </c>
    </row>
    <row r="175" spans="1:15" s="88" customFormat="1">
      <c r="A175" s="66" t="s">
        <v>299</v>
      </c>
      <c r="B175" s="66"/>
      <c r="C175" s="66"/>
      <c r="D175" s="66"/>
      <c r="G175" s="66"/>
      <c r="H175" s="66"/>
      <c r="N175" s="88" t="s">
        <v>322</v>
      </c>
    </row>
    <row r="176" spans="1:15" s="88" customFormat="1">
      <c r="A176" s="66" t="s">
        <v>318</v>
      </c>
      <c r="B176" s="66"/>
      <c r="C176" s="66"/>
      <c r="D176" s="66"/>
      <c r="G176" s="66" t="s">
        <v>315</v>
      </c>
      <c r="H176" s="66"/>
      <c r="N176" s="88" t="s">
        <v>1272</v>
      </c>
    </row>
    <row r="177" spans="1:15" s="88" customFormat="1">
      <c r="A177" s="66" t="s">
        <v>319</v>
      </c>
      <c r="B177" s="66"/>
      <c r="C177" s="66"/>
      <c r="D177" s="66"/>
      <c r="G177" s="66" t="s">
        <v>316</v>
      </c>
      <c r="H177" s="66"/>
    </row>
    <row r="178" spans="1:15" s="88" customFormat="1">
      <c r="G178" s="66" t="s">
        <v>317</v>
      </c>
      <c r="H178" s="66"/>
      <c r="N178" s="88" t="s">
        <v>1260</v>
      </c>
    </row>
    <row r="179" spans="1:15" s="88" customFormat="1">
      <c r="A179" s="88" t="s">
        <v>320</v>
      </c>
      <c r="G179" s="66"/>
      <c r="H179" s="66"/>
      <c r="N179" s="88" t="s">
        <v>1273</v>
      </c>
    </row>
    <row r="180" spans="1:15" s="88" customFormat="1">
      <c r="G180" s="66" t="s">
        <v>299</v>
      </c>
      <c r="H180" s="66"/>
      <c r="N180" s="88" t="s">
        <v>1274</v>
      </c>
    </row>
    <row r="181" spans="1:15" s="88" customFormat="1">
      <c r="A181" s="88" t="s">
        <v>321</v>
      </c>
      <c r="G181" s="66" t="s">
        <v>849</v>
      </c>
      <c r="H181" s="66"/>
    </row>
    <row r="182" spans="1:15" s="88" customFormat="1">
      <c r="A182" s="88" t="s">
        <v>322</v>
      </c>
      <c r="G182" s="66" t="s">
        <v>850</v>
      </c>
      <c r="H182" s="66"/>
      <c r="N182" t="s">
        <v>326</v>
      </c>
      <c r="O182"/>
    </row>
    <row r="183" spans="1:15">
      <c r="A183" s="88" t="s">
        <v>323</v>
      </c>
      <c r="B183" s="88"/>
      <c r="C183" s="88"/>
      <c r="D183" s="88"/>
      <c r="G183" s="88"/>
      <c r="H183" s="88"/>
    </row>
    <row r="184" spans="1:15">
      <c r="G184" s="88" t="s">
        <v>320</v>
      </c>
      <c r="H184" s="88"/>
      <c r="N184" t="s">
        <v>327</v>
      </c>
    </row>
    <row r="185" spans="1:15">
      <c r="A185" t="s">
        <v>299</v>
      </c>
      <c r="G185" s="88"/>
      <c r="H185" s="88"/>
      <c r="N185" t="s">
        <v>328</v>
      </c>
    </row>
    <row r="186" spans="1:15">
      <c r="A186" t="s">
        <v>324</v>
      </c>
      <c r="G186" s="88" t="s">
        <v>321</v>
      </c>
      <c r="H186" s="88"/>
      <c r="N186" t="s">
        <v>1275</v>
      </c>
    </row>
    <row r="187" spans="1:15">
      <c r="A187" t="s">
        <v>325</v>
      </c>
      <c r="G187" s="88" t="s">
        <v>322</v>
      </c>
      <c r="H187" s="88"/>
    </row>
    <row r="188" spans="1:15">
      <c r="G188" s="88" t="s">
        <v>323</v>
      </c>
      <c r="H188" s="88"/>
      <c r="N188" t="s">
        <v>1260</v>
      </c>
    </row>
    <row r="189" spans="1:15">
      <c r="A189" t="s">
        <v>326</v>
      </c>
      <c r="N189" t="s">
        <v>1276</v>
      </c>
    </row>
    <row r="190" spans="1:15">
      <c r="G190" t="s">
        <v>299</v>
      </c>
      <c r="N190" t="s">
        <v>1277</v>
      </c>
    </row>
    <row r="191" spans="1:15">
      <c r="A191" t="s">
        <v>327</v>
      </c>
      <c r="G191" t="s">
        <v>851</v>
      </c>
    </row>
    <row r="192" spans="1:15">
      <c r="A192" t="s">
        <v>328</v>
      </c>
      <c r="G192" t="s">
        <v>852</v>
      </c>
      <c r="N192" t="s">
        <v>332</v>
      </c>
    </row>
    <row r="193" spans="1:14">
      <c r="A193" t="s">
        <v>329</v>
      </c>
    </row>
    <row r="194" spans="1:14">
      <c r="G194" t="s">
        <v>326</v>
      </c>
      <c r="N194" t="s">
        <v>333</v>
      </c>
    </row>
    <row r="195" spans="1:14">
      <c r="A195" t="s">
        <v>299</v>
      </c>
      <c r="N195" t="s">
        <v>334</v>
      </c>
    </row>
    <row r="196" spans="1:14">
      <c r="A196" t="s">
        <v>330</v>
      </c>
      <c r="G196" t="s">
        <v>327</v>
      </c>
      <c r="N196" t="s">
        <v>1278</v>
      </c>
    </row>
    <row r="197" spans="1:14">
      <c r="A197" t="s">
        <v>331</v>
      </c>
      <c r="G197" t="s">
        <v>328</v>
      </c>
    </row>
    <row r="198" spans="1:14">
      <c r="G198" t="s">
        <v>329</v>
      </c>
      <c r="N198" t="s">
        <v>1260</v>
      </c>
    </row>
    <row r="199" spans="1:14">
      <c r="A199" t="s">
        <v>332</v>
      </c>
      <c r="N199" t="s">
        <v>1279</v>
      </c>
    </row>
    <row r="200" spans="1:14">
      <c r="G200" t="s">
        <v>299</v>
      </c>
      <c r="N200" t="s">
        <v>1280</v>
      </c>
    </row>
    <row r="201" spans="1:14">
      <c r="A201" t="s">
        <v>333</v>
      </c>
      <c r="G201" t="s">
        <v>853</v>
      </c>
    </row>
    <row r="202" spans="1:14">
      <c r="A202" t="s">
        <v>334</v>
      </c>
      <c r="G202" t="s">
        <v>854</v>
      </c>
      <c r="N202" t="s">
        <v>338</v>
      </c>
    </row>
    <row r="203" spans="1:14">
      <c r="A203" t="s">
        <v>335</v>
      </c>
    </row>
    <row r="204" spans="1:14">
      <c r="G204" t="s">
        <v>332</v>
      </c>
      <c r="N204" t="s">
        <v>339</v>
      </c>
    </row>
    <row r="205" spans="1:14">
      <c r="A205" t="s">
        <v>299</v>
      </c>
      <c r="N205" t="s">
        <v>340</v>
      </c>
    </row>
    <row r="206" spans="1:14">
      <c r="A206" t="s">
        <v>336</v>
      </c>
      <c r="G206" t="s">
        <v>333</v>
      </c>
      <c r="N206" t="s">
        <v>1281</v>
      </c>
    </row>
    <row r="207" spans="1:14">
      <c r="A207" t="s">
        <v>337</v>
      </c>
      <c r="G207" t="s">
        <v>334</v>
      </c>
    </row>
    <row r="208" spans="1:14">
      <c r="G208" t="s">
        <v>335</v>
      </c>
      <c r="N208" t="s">
        <v>1260</v>
      </c>
    </row>
    <row r="209" spans="1:14">
      <c r="A209" s="66" t="s">
        <v>338</v>
      </c>
      <c r="B209" s="66"/>
      <c r="C209" s="66"/>
      <c r="D209" s="66"/>
      <c r="E209" s="66"/>
      <c r="N209" t="s">
        <v>1282</v>
      </c>
    </row>
    <row r="210" spans="1:14">
      <c r="A210" s="66"/>
      <c r="B210" s="66"/>
      <c r="C210" s="66"/>
      <c r="D210" s="66"/>
      <c r="E210" s="66"/>
      <c r="G210" t="s">
        <v>299</v>
      </c>
      <c r="N210" t="s">
        <v>1280</v>
      </c>
    </row>
    <row r="211" spans="1:14">
      <c r="A211" s="66" t="s">
        <v>339</v>
      </c>
      <c r="B211" s="66"/>
      <c r="C211" s="66"/>
      <c r="D211" s="66"/>
      <c r="E211" s="66"/>
      <c r="G211" t="s">
        <v>855</v>
      </c>
    </row>
    <row r="212" spans="1:14">
      <c r="A212" s="66" t="s">
        <v>340</v>
      </c>
      <c r="B212" s="66"/>
      <c r="C212" s="66"/>
      <c r="D212" s="66"/>
      <c r="E212" s="66"/>
      <c r="G212" t="s">
        <v>856</v>
      </c>
      <c r="N212" t="s">
        <v>344</v>
      </c>
    </row>
    <row r="213" spans="1:14">
      <c r="A213" s="66" t="s">
        <v>341</v>
      </c>
      <c r="B213" s="66"/>
      <c r="C213" s="66"/>
      <c r="D213" s="66"/>
      <c r="E213" s="66"/>
    </row>
    <row r="214" spans="1:14">
      <c r="A214" s="66"/>
      <c r="B214" s="66"/>
      <c r="C214" s="66"/>
      <c r="D214" s="66"/>
      <c r="E214" s="66"/>
      <c r="G214" s="66" t="s">
        <v>338</v>
      </c>
      <c r="H214" s="66"/>
      <c r="N214" t="s">
        <v>345</v>
      </c>
    </row>
    <row r="215" spans="1:14">
      <c r="A215" s="66" t="s">
        <v>299</v>
      </c>
      <c r="B215" s="66"/>
      <c r="C215" s="66"/>
      <c r="D215" s="66"/>
      <c r="E215" s="66"/>
      <c r="G215" s="66"/>
      <c r="H215" s="66"/>
      <c r="N215" t="s">
        <v>346</v>
      </c>
    </row>
    <row r="216" spans="1:14">
      <c r="A216" s="66" t="s">
        <v>342</v>
      </c>
      <c r="B216" s="66"/>
      <c r="C216" s="66"/>
      <c r="D216" s="66"/>
      <c r="E216" s="66"/>
      <c r="G216" s="66" t="s">
        <v>339</v>
      </c>
      <c r="H216" s="66"/>
      <c r="N216" t="s">
        <v>1283</v>
      </c>
    </row>
    <row r="217" spans="1:14">
      <c r="A217" s="66" t="s">
        <v>343</v>
      </c>
      <c r="B217" s="66"/>
      <c r="C217" s="66"/>
      <c r="D217" s="66"/>
      <c r="E217" s="66"/>
      <c r="G217" s="66" t="s">
        <v>340</v>
      </c>
      <c r="H217" s="66"/>
    </row>
    <row r="218" spans="1:14">
      <c r="G218" s="66" t="s">
        <v>341</v>
      </c>
      <c r="H218" s="66"/>
      <c r="N218" t="s">
        <v>1260</v>
      </c>
    </row>
    <row r="219" spans="1:14">
      <c r="A219" t="s">
        <v>344</v>
      </c>
      <c r="G219" s="66"/>
      <c r="H219" s="66"/>
      <c r="N219" t="s">
        <v>1282</v>
      </c>
    </row>
    <row r="220" spans="1:14">
      <c r="G220" s="66" t="s">
        <v>299</v>
      </c>
      <c r="H220" s="66"/>
      <c r="N220" t="s">
        <v>1284</v>
      </c>
    </row>
    <row r="221" spans="1:14">
      <c r="A221" t="s">
        <v>345</v>
      </c>
      <c r="G221" s="66" t="s">
        <v>857</v>
      </c>
      <c r="H221" s="66"/>
    </row>
    <row r="222" spans="1:14">
      <c r="A222" t="s">
        <v>346</v>
      </c>
      <c r="G222" s="66" t="s">
        <v>858</v>
      </c>
      <c r="H222" s="66"/>
      <c r="N222" t="s">
        <v>350</v>
      </c>
    </row>
    <row r="223" spans="1:14">
      <c r="A223" t="s">
        <v>347</v>
      </c>
      <c r="G223" s="88"/>
      <c r="H223" s="88"/>
    </row>
    <row r="224" spans="1:14">
      <c r="G224" s="88" t="s">
        <v>344</v>
      </c>
      <c r="H224" s="88"/>
      <c r="N224" t="s">
        <v>351</v>
      </c>
    </row>
    <row r="225" spans="1:14">
      <c r="A225" t="s">
        <v>299</v>
      </c>
      <c r="G225" s="88"/>
      <c r="H225" s="88"/>
      <c r="N225" t="s">
        <v>352</v>
      </c>
    </row>
    <row r="226" spans="1:14">
      <c r="A226" t="s">
        <v>348</v>
      </c>
      <c r="G226" s="88" t="s">
        <v>345</v>
      </c>
      <c r="H226" s="88"/>
      <c r="N226" t="s">
        <v>1285</v>
      </c>
    </row>
    <row r="227" spans="1:14">
      <c r="A227" t="s">
        <v>349</v>
      </c>
      <c r="G227" s="88" t="s">
        <v>346</v>
      </c>
      <c r="H227" s="88"/>
    </row>
    <row r="228" spans="1:14">
      <c r="G228" s="88" t="s">
        <v>347</v>
      </c>
      <c r="H228" s="88"/>
      <c r="N228" t="s">
        <v>1260</v>
      </c>
    </row>
    <row r="229" spans="1:14">
      <c r="A229" t="s">
        <v>350</v>
      </c>
      <c r="N229" t="s">
        <v>1286</v>
      </c>
    </row>
    <row r="230" spans="1:14">
      <c r="G230" t="s">
        <v>299</v>
      </c>
      <c r="N230" t="s">
        <v>1287</v>
      </c>
    </row>
    <row r="231" spans="1:14">
      <c r="A231" t="s">
        <v>351</v>
      </c>
      <c r="G231" t="s">
        <v>859</v>
      </c>
    </row>
    <row r="232" spans="1:14">
      <c r="A232" t="s">
        <v>352</v>
      </c>
      <c r="G232" t="s">
        <v>860</v>
      </c>
      <c r="N232" t="s">
        <v>356</v>
      </c>
    </row>
    <row r="233" spans="1:14">
      <c r="A233" t="s">
        <v>353</v>
      </c>
    </row>
    <row r="234" spans="1:14">
      <c r="G234" t="s">
        <v>350</v>
      </c>
      <c r="N234" t="s">
        <v>357</v>
      </c>
    </row>
    <row r="235" spans="1:14">
      <c r="A235" t="s">
        <v>299</v>
      </c>
      <c r="N235" t="s">
        <v>358</v>
      </c>
    </row>
    <row r="236" spans="1:14">
      <c r="A236" t="s">
        <v>354</v>
      </c>
      <c r="G236" t="s">
        <v>351</v>
      </c>
      <c r="N236" t="s">
        <v>1288</v>
      </c>
    </row>
    <row r="237" spans="1:14">
      <c r="A237" t="s">
        <v>355</v>
      </c>
      <c r="G237" t="s">
        <v>352</v>
      </c>
    </row>
    <row r="238" spans="1:14">
      <c r="G238" t="s">
        <v>353</v>
      </c>
      <c r="N238" t="s">
        <v>1260</v>
      </c>
    </row>
    <row r="239" spans="1:14">
      <c r="A239" t="s">
        <v>356</v>
      </c>
      <c r="N239" t="s">
        <v>1289</v>
      </c>
    </row>
    <row r="240" spans="1:14">
      <c r="G240" t="s">
        <v>299</v>
      </c>
      <c r="N240" t="s">
        <v>1287</v>
      </c>
    </row>
    <row r="241" spans="1:14">
      <c r="A241" t="s">
        <v>357</v>
      </c>
      <c r="G241" t="s">
        <v>861</v>
      </c>
    </row>
    <row r="242" spans="1:14">
      <c r="A242" t="s">
        <v>358</v>
      </c>
      <c r="G242" t="s">
        <v>862</v>
      </c>
      <c r="N242" t="s">
        <v>362</v>
      </c>
    </row>
    <row r="243" spans="1:14">
      <c r="A243" t="s">
        <v>359</v>
      </c>
    </row>
    <row r="244" spans="1:14">
      <c r="G244" t="s">
        <v>356</v>
      </c>
      <c r="N244" t="s">
        <v>363</v>
      </c>
    </row>
    <row r="245" spans="1:14">
      <c r="A245" t="s">
        <v>299</v>
      </c>
      <c r="N245" t="s">
        <v>364</v>
      </c>
    </row>
    <row r="246" spans="1:14">
      <c r="A246" t="s">
        <v>360</v>
      </c>
      <c r="G246" t="s">
        <v>357</v>
      </c>
      <c r="N246" t="s">
        <v>1290</v>
      </c>
    </row>
    <row r="247" spans="1:14">
      <c r="A247" t="s">
        <v>361</v>
      </c>
      <c r="G247" t="s">
        <v>358</v>
      </c>
    </row>
    <row r="248" spans="1:14">
      <c r="G248" t="s">
        <v>359</v>
      </c>
      <c r="N248" t="s">
        <v>1260</v>
      </c>
    </row>
    <row r="249" spans="1:14">
      <c r="A249" t="s">
        <v>362</v>
      </c>
      <c r="N249" t="s">
        <v>1289</v>
      </c>
    </row>
    <row r="250" spans="1:14">
      <c r="G250" t="s">
        <v>299</v>
      </c>
      <c r="N250" t="s">
        <v>1291</v>
      </c>
    </row>
    <row r="251" spans="1:14">
      <c r="A251" t="s">
        <v>363</v>
      </c>
      <c r="G251" t="s">
        <v>863</v>
      </c>
    </row>
    <row r="252" spans="1:14">
      <c r="A252" t="s">
        <v>364</v>
      </c>
      <c r="G252" t="s">
        <v>864</v>
      </c>
      <c r="N252" t="s">
        <v>368</v>
      </c>
    </row>
    <row r="253" spans="1:14">
      <c r="A253" t="s">
        <v>365</v>
      </c>
    </row>
    <row r="254" spans="1:14">
      <c r="G254" t="s">
        <v>362</v>
      </c>
      <c r="N254" t="s">
        <v>369</v>
      </c>
    </row>
    <row r="255" spans="1:14">
      <c r="A255" t="s">
        <v>299</v>
      </c>
      <c r="N255" t="s">
        <v>370</v>
      </c>
    </row>
    <row r="256" spans="1:14">
      <c r="A256" t="s">
        <v>366</v>
      </c>
      <c r="G256" t="s">
        <v>363</v>
      </c>
      <c r="N256" t="s">
        <v>1292</v>
      </c>
    </row>
    <row r="257" spans="1:14">
      <c r="A257" t="s">
        <v>367</v>
      </c>
      <c r="G257" t="s">
        <v>364</v>
      </c>
    </row>
    <row r="258" spans="1:14">
      <c r="G258" t="s">
        <v>365</v>
      </c>
      <c r="N258" t="s">
        <v>1260</v>
      </c>
    </row>
    <row r="259" spans="1:14">
      <c r="A259" t="s">
        <v>368</v>
      </c>
      <c r="N259" t="s">
        <v>1293</v>
      </c>
    </row>
    <row r="260" spans="1:14">
      <c r="G260" t="s">
        <v>299</v>
      </c>
      <c r="N260" t="s">
        <v>1294</v>
      </c>
    </row>
    <row r="261" spans="1:14">
      <c r="A261" t="s">
        <v>369</v>
      </c>
      <c r="G261" t="s">
        <v>865</v>
      </c>
    </row>
    <row r="262" spans="1:14">
      <c r="A262" t="s">
        <v>370</v>
      </c>
      <c r="G262" t="s">
        <v>866</v>
      </c>
      <c r="N262" t="s">
        <v>374</v>
      </c>
    </row>
    <row r="263" spans="1:14">
      <c r="A263" t="s">
        <v>371</v>
      </c>
    </row>
    <row r="264" spans="1:14">
      <c r="G264" t="s">
        <v>368</v>
      </c>
      <c r="N264" t="s">
        <v>375</v>
      </c>
    </row>
    <row r="265" spans="1:14">
      <c r="A265" t="s">
        <v>299</v>
      </c>
      <c r="N265" t="s">
        <v>376</v>
      </c>
    </row>
    <row r="266" spans="1:14">
      <c r="A266" t="s">
        <v>372</v>
      </c>
      <c r="G266" t="s">
        <v>369</v>
      </c>
      <c r="N266" t="s">
        <v>1295</v>
      </c>
    </row>
    <row r="267" spans="1:14">
      <c r="A267" t="s">
        <v>373</v>
      </c>
      <c r="G267" t="s">
        <v>370</v>
      </c>
    </row>
    <row r="268" spans="1:14">
      <c r="G268" t="s">
        <v>371</v>
      </c>
      <c r="N268" t="s">
        <v>1260</v>
      </c>
    </row>
    <row r="269" spans="1:14">
      <c r="A269" t="s">
        <v>374</v>
      </c>
      <c r="N269" t="s">
        <v>1296</v>
      </c>
    </row>
    <row r="270" spans="1:14">
      <c r="G270" t="s">
        <v>299</v>
      </c>
      <c r="N270" t="s">
        <v>1297</v>
      </c>
    </row>
    <row r="271" spans="1:14">
      <c r="A271" t="s">
        <v>375</v>
      </c>
      <c r="G271" t="s">
        <v>867</v>
      </c>
    </row>
    <row r="272" spans="1:14">
      <c r="A272" t="s">
        <v>376</v>
      </c>
      <c r="G272" t="s">
        <v>868</v>
      </c>
      <c r="N272" t="s">
        <v>380</v>
      </c>
    </row>
    <row r="273" spans="1:14">
      <c r="A273" t="s">
        <v>377</v>
      </c>
    </row>
    <row r="274" spans="1:14">
      <c r="G274" t="s">
        <v>374</v>
      </c>
      <c r="N274" t="s">
        <v>381</v>
      </c>
    </row>
    <row r="275" spans="1:14">
      <c r="A275" t="s">
        <v>299</v>
      </c>
      <c r="N275" t="s">
        <v>382</v>
      </c>
    </row>
    <row r="276" spans="1:14">
      <c r="A276" t="s">
        <v>378</v>
      </c>
      <c r="G276" t="s">
        <v>375</v>
      </c>
      <c r="N276" t="s">
        <v>1298</v>
      </c>
    </row>
    <row r="277" spans="1:14">
      <c r="A277" t="s">
        <v>379</v>
      </c>
      <c r="G277" t="s">
        <v>376</v>
      </c>
    </row>
    <row r="278" spans="1:14">
      <c r="G278" t="s">
        <v>377</v>
      </c>
      <c r="N278" t="s">
        <v>1260</v>
      </c>
    </row>
    <row r="279" spans="1:14">
      <c r="A279" t="s">
        <v>380</v>
      </c>
      <c r="N279" t="s">
        <v>1299</v>
      </c>
    </row>
    <row r="280" spans="1:14">
      <c r="G280" t="s">
        <v>299</v>
      </c>
      <c r="N280" t="s">
        <v>1300</v>
      </c>
    </row>
    <row r="281" spans="1:14">
      <c r="A281" t="s">
        <v>381</v>
      </c>
      <c r="G281" t="s">
        <v>869</v>
      </c>
    </row>
    <row r="282" spans="1:14">
      <c r="A282" t="s">
        <v>382</v>
      </c>
      <c r="G282" t="s">
        <v>870</v>
      </c>
      <c r="N282" t="s">
        <v>386</v>
      </c>
    </row>
    <row r="283" spans="1:14">
      <c r="A283" t="s">
        <v>383</v>
      </c>
    </row>
    <row r="284" spans="1:14">
      <c r="G284" t="s">
        <v>380</v>
      </c>
      <c r="N284" t="s">
        <v>387</v>
      </c>
    </row>
    <row r="285" spans="1:14">
      <c r="A285" t="s">
        <v>299</v>
      </c>
      <c r="N285" t="s">
        <v>388</v>
      </c>
    </row>
    <row r="286" spans="1:14">
      <c r="A286" t="s">
        <v>384</v>
      </c>
      <c r="G286" t="s">
        <v>381</v>
      </c>
      <c r="N286" t="s">
        <v>1301</v>
      </c>
    </row>
    <row r="287" spans="1:14">
      <c r="A287" t="s">
        <v>385</v>
      </c>
      <c r="G287" t="s">
        <v>382</v>
      </c>
    </row>
    <row r="288" spans="1:14">
      <c r="G288" t="s">
        <v>383</v>
      </c>
      <c r="N288" t="s">
        <v>1260</v>
      </c>
    </row>
    <row r="289" spans="1:14">
      <c r="A289" t="s">
        <v>386</v>
      </c>
      <c r="N289" t="s">
        <v>1302</v>
      </c>
    </row>
    <row r="290" spans="1:14">
      <c r="G290" t="s">
        <v>299</v>
      </c>
      <c r="N290" t="s">
        <v>1303</v>
      </c>
    </row>
    <row r="291" spans="1:14">
      <c r="A291" t="s">
        <v>387</v>
      </c>
      <c r="G291" t="s">
        <v>871</v>
      </c>
    </row>
    <row r="292" spans="1:14">
      <c r="A292" t="s">
        <v>388</v>
      </c>
      <c r="G292" t="s">
        <v>872</v>
      </c>
      <c r="N292" t="s">
        <v>392</v>
      </c>
    </row>
    <row r="293" spans="1:14">
      <c r="A293" t="s">
        <v>389</v>
      </c>
    </row>
    <row r="294" spans="1:14">
      <c r="G294" t="s">
        <v>386</v>
      </c>
      <c r="N294" t="s">
        <v>393</v>
      </c>
    </row>
    <row r="295" spans="1:14">
      <c r="A295" t="s">
        <v>299</v>
      </c>
      <c r="N295" t="s">
        <v>394</v>
      </c>
    </row>
    <row r="296" spans="1:14">
      <c r="A296" t="s">
        <v>390</v>
      </c>
      <c r="G296" t="s">
        <v>387</v>
      </c>
      <c r="N296" t="s">
        <v>1304</v>
      </c>
    </row>
    <row r="297" spans="1:14">
      <c r="A297" t="s">
        <v>391</v>
      </c>
      <c r="G297" t="s">
        <v>388</v>
      </c>
    </row>
    <row r="298" spans="1:14">
      <c r="G298" t="s">
        <v>389</v>
      </c>
      <c r="N298" t="s">
        <v>1260</v>
      </c>
    </row>
    <row r="299" spans="1:14">
      <c r="A299" t="s">
        <v>392</v>
      </c>
      <c r="N299" t="s">
        <v>1305</v>
      </c>
    </row>
    <row r="300" spans="1:14">
      <c r="G300" t="s">
        <v>299</v>
      </c>
      <c r="N300" t="s">
        <v>1306</v>
      </c>
    </row>
    <row r="301" spans="1:14">
      <c r="A301" t="s">
        <v>393</v>
      </c>
      <c r="G301" t="s">
        <v>873</v>
      </c>
    </row>
    <row r="302" spans="1:14">
      <c r="A302" t="s">
        <v>394</v>
      </c>
      <c r="G302" t="s">
        <v>874</v>
      </c>
      <c r="N302" t="s">
        <v>398</v>
      </c>
    </row>
    <row r="303" spans="1:14">
      <c r="A303" t="s">
        <v>395</v>
      </c>
    </row>
    <row r="304" spans="1:14">
      <c r="G304" t="s">
        <v>392</v>
      </c>
      <c r="N304" t="s">
        <v>399</v>
      </c>
    </row>
    <row r="305" spans="1:14">
      <c r="A305" t="s">
        <v>299</v>
      </c>
      <c r="N305" t="s">
        <v>400</v>
      </c>
    </row>
    <row r="306" spans="1:14">
      <c r="A306" t="s">
        <v>396</v>
      </c>
      <c r="G306" t="s">
        <v>393</v>
      </c>
      <c r="N306" t="s">
        <v>1307</v>
      </c>
    </row>
    <row r="307" spans="1:14">
      <c r="A307" t="s">
        <v>397</v>
      </c>
      <c r="G307" t="s">
        <v>394</v>
      </c>
    </row>
    <row r="308" spans="1:14">
      <c r="G308" t="s">
        <v>395</v>
      </c>
      <c r="N308" t="s">
        <v>1260</v>
      </c>
    </row>
    <row r="309" spans="1:14">
      <c r="A309" t="s">
        <v>398</v>
      </c>
      <c r="N309" t="s">
        <v>1308</v>
      </c>
    </row>
    <row r="310" spans="1:14">
      <c r="G310" t="s">
        <v>299</v>
      </c>
      <c r="N310" t="s">
        <v>1309</v>
      </c>
    </row>
    <row r="311" spans="1:14">
      <c r="A311" t="s">
        <v>399</v>
      </c>
      <c r="G311" t="s">
        <v>875</v>
      </c>
    </row>
    <row r="312" spans="1:14">
      <c r="A312" t="s">
        <v>400</v>
      </c>
      <c r="G312" t="s">
        <v>876</v>
      </c>
      <c r="N312" t="s">
        <v>404</v>
      </c>
    </row>
    <row r="313" spans="1:14">
      <c r="A313" t="s">
        <v>401</v>
      </c>
    </row>
    <row r="314" spans="1:14">
      <c r="G314" t="s">
        <v>398</v>
      </c>
      <c r="N314" t="s">
        <v>405</v>
      </c>
    </row>
    <row r="315" spans="1:14">
      <c r="A315" t="s">
        <v>299</v>
      </c>
      <c r="N315" t="s">
        <v>406</v>
      </c>
    </row>
    <row r="316" spans="1:14">
      <c r="A316" t="s">
        <v>402</v>
      </c>
      <c r="G316" t="s">
        <v>399</v>
      </c>
      <c r="N316" t="s">
        <v>1310</v>
      </c>
    </row>
    <row r="317" spans="1:14">
      <c r="A317" t="s">
        <v>403</v>
      </c>
      <c r="G317" t="s">
        <v>400</v>
      </c>
    </row>
    <row r="318" spans="1:14">
      <c r="G318" t="s">
        <v>401</v>
      </c>
      <c r="N318" t="s">
        <v>1260</v>
      </c>
    </row>
    <row r="319" spans="1:14">
      <c r="A319" t="s">
        <v>404</v>
      </c>
      <c r="N319" t="s">
        <v>1311</v>
      </c>
    </row>
    <row r="320" spans="1:14">
      <c r="G320" t="s">
        <v>299</v>
      </c>
      <c r="N320" t="s">
        <v>1312</v>
      </c>
    </row>
    <row r="321" spans="1:15">
      <c r="A321" t="s">
        <v>405</v>
      </c>
      <c r="G321" t="s">
        <v>877</v>
      </c>
    </row>
    <row r="322" spans="1:15">
      <c r="A322" t="s">
        <v>406</v>
      </c>
      <c r="G322" t="s">
        <v>878</v>
      </c>
      <c r="N322" t="s">
        <v>410</v>
      </c>
    </row>
    <row r="323" spans="1:15">
      <c r="A323" t="s">
        <v>407</v>
      </c>
    </row>
    <row r="324" spans="1:15">
      <c r="G324" t="s">
        <v>404</v>
      </c>
      <c r="N324" t="s">
        <v>411</v>
      </c>
    </row>
    <row r="325" spans="1:15">
      <c r="A325" t="s">
        <v>299</v>
      </c>
      <c r="N325" t="s">
        <v>412</v>
      </c>
    </row>
    <row r="326" spans="1:15">
      <c r="A326" t="s">
        <v>408</v>
      </c>
      <c r="G326" t="s">
        <v>405</v>
      </c>
      <c r="N326" t="s">
        <v>1313</v>
      </c>
    </row>
    <row r="327" spans="1:15">
      <c r="A327" t="s">
        <v>409</v>
      </c>
      <c r="G327" t="s">
        <v>406</v>
      </c>
    </row>
    <row r="328" spans="1:15">
      <c r="G328" t="s">
        <v>407</v>
      </c>
      <c r="N328" t="s">
        <v>1260</v>
      </c>
    </row>
    <row r="329" spans="1:15">
      <c r="A329" s="66" t="s">
        <v>410</v>
      </c>
      <c r="B329" s="66"/>
      <c r="C329" s="66"/>
      <c r="D329" s="66"/>
      <c r="E329" s="66"/>
      <c r="N329" t="s">
        <v>1314</v>
      </c>
    </row>
    <row r="330" spans="1:15">
      <c r="A330" s="66"/>
      <c r="B330" s="66"/>
      <c r="C330" s="66"/>
      <c r="D330" s="66"/>
      <c r="E330" s="66"/>
      <c r="G330" t="s">
        <v>299</v>
      </c>
      <c r="N330" t="s">
        <v>1315</v>
      </c>
    </row>
    <row r="331" spans="1:15">
      <c r="A331" s="66" t="s">
        <v>411</v>
      </c>
      <c r="B331" s="66"/>
      <c r="C331" s="66"/>
      <c r="D331" s="66"/>
      <c r="E331" s="66"/>
      <c r="G331" t="s">
        <v>879</v>
      </c>
    </row>
    <row r="332" spans="1:15">
      <c r="A332" s="66" t="s">
        <v>412</v>
      </c>
      <c r="B332" s="66"/>
      <c r="C332" s="66"/>
      <c r="D332" s="66"/>
      <c r="E332" s="66"/>
      <c r="G332" t="s">
        <v>880</v>
      </c>
      <c r="N332" t="s">
        <v>416</v>
      </c>
    </row>
    <row r="333" spans="1:15">
      <c r="A333" s="66" t="s">
        <v>413</v>
      </c>
      <c r="B333" s="66"/>
      <c r="C333" s="66"/>
      <c r="D333" s="66"/>
      <c r="E333" s="66"/>
    </row>
    <row r="334" spans="1:15">
      <c r="A334" s="66"/>
      <c r="B334" s="66"/>
      <c r="C334" s="66"/>
      <c r="D334" s="66"/>
      <c r="E334" s="66"/>
      <c r="G334" s="66" t="s">
        <v>410</v>
      </c>
      <c r="H334" s="66"/>
      <c r="N334" s="88" t="s">
        <v>417</v>
      </c>
      <c r="O334" s="88"/>
    </row>
    <row r="335" spans="1:15" s="88" customFormat="1">
      <c r="A335" s="66" t="s">
        <v>299</v>
      </c>
      <c r="B335" s="66"/>
      <c r="C335" s="66"/>
      <c r="D335" s="66"/>
      <c r="E335" s="66"/>
      <c r="G335" s="66"/>
      <c r="H335" s="66"/>
      <c r="N335" s="88" t="s">
        <v>418</v>
      </c>
    </row>
    <row r="336" spans="1:15" s="88" customFormat="1">
      <c r="A336" s="66" t="s">
        <v>414</v>
      </c>
      <c r="B336" s="66"/>
      <c r="C336" s="66"/>
      <c r="D336" s="66"/>
      <c r="E336" s="66"/>
      <c r="G336" s="66" t="s">
        <v>411</v>
      </c>
      <c r="H336" s="66"/>
      <c r="N336" s="88" t="s">
        <v>1316</v>
      </c>
    </row>
    <row r="337" spans="1:15" s="88" customFormat="1">
      <c r="A337" s="66" t="s">
        <v>415</v>
      </c>
      <c r="B337" s="66"/>
      <c r="C337" s="66"/>
      <c r="D337" s="66"/>
      <c r="E337" s="66"/>
      <c r="G337" s="66" t="s">
        <v>412</v>
      </c>
      <c r="H337" s="66"/>
    </row>
    <row r="338" spans="1:15" s="88" customFormat="1">
      <c r="A338" s="66"/>
      <c r="B338" s="66"/>
      <c r="C338" s="66"/>
      <c r="D338" s="66"/>
      <c r="E338" s="66"/>
      <c r="G338" s="66" t="s">
        <v>413</v>
      </c>
      <c r="H338" s="66"/>
      <c r="N338" s="88" t="s">
        <v>1260</v>
      </c>
    </row>
    <row r="339" spans="1:15" s="88" customFormat="1">
      <c r="A339" s="88" t="s">
        <v>416</v>
      </c>
      <c r="G339" s="66"/>
      <c r="H339" s="66"/>
      <c r="N339" s="88" t="s">
        <v>1317</v>
      </c>
    </row>
    <row r="340" spans="1:15" s="88" customFormat="1">
      <c r="G340" s="66" t="s">
        <v>299</v>
      </c>
      <c r="H340" s="66"/>
      <c r="N340" s="88" t="s">
        <v>1318</v>
      </c>
    </row>
    <row r="341" spans="1:15" s="88" customFormat="1">
      <c r="A341" s="88" t="s">
        <v>417</v>
      </c>
      <c r="G341" s="66" t="s">
        <v>881</v>
      </c>
      <c r="H341" s="66"/>
    </row>
    <row r="342" spans="1:15" s="88" customFormat="1">
      <c r="A342" s="88" t="s">
        <v>418</v>
      </c>
      <c r="G342" s="66" t="s">
        <v>882</v>
      </c>
      <c r="H342" s="66"/>
      <c r="N342" s="88" t="s">
        <v>422</v>
      </c>
    </row>
    <row r="343" spans="1:15" s="88" customFormat="1">
      <c r="A343" s="88" t="s">
        <v>419</v>
      </c>
      <c r="G343"/>
      <c r="H343"/>
      <c r="N343"/>
      <c r="O343"/>
    </row>
    <row r="344" spans="1:15">
      <c r="G344" t="s">
        <v>416</v>
      </c>
      <c r="N344" t="s">
        <v>423</v>
      </c>
    </row>
    <row r="345" spans="1:15">
      <c r="A345" t="s">
        <v>299</v>
      </c>
      <c r="N345" t="s">
        <v>424</v>
      </c>
    </row>
    <row r="346" spans="1:15">
      <c r="A346" t="s">
        <v>420</v>
      </c>
      <c r="G346" t="s">
        <v>417</v>
      </c>
      <c r="N346" t="s">
        <v>1319</v>
      </c>
    </row>
    <row r="347" spans="1:15">
      <c r="A347" t="s">
        <v>421</v>
      </c>
      <c r="G347" t="s">
        <v>418</v>
      </c>
    </row>
    <row r="348" spans="1:15">
      <c r="G348" t="s">
        <v>419</v>
      </c>
      <c r="N348" t="s">
        <v>1260</v>
      </c>
    </row>
    <row r="349" spans="1:15">
      <c r="A349" t="s">
        <v>422</v>
      </c>
      <c r="N349" t="s">
        <v>1320</v>
      </c>
    </row>
    <row r="350" spans="1:15">
      <c r="G350" t="s">
        <v>299</v>
      </c>
      <c r="N350" t="s">
        <v>1321</v>
      </c>
    </row>
    <row r="351" spans="1:15">
      <c r="A351" t="s">
        <v>423</v>
      </c>
      <c r="G351" t="s">
        <v>883</v>
      </c>
    </row>
    <row r="352" spans="1:15">
      <c r="A352" t="s">
        <v>424</v>
      </c>
      <c r="G352" t="s">
        <v>884</v>
      </c>
      <c r="N352" t="s">
        <v>796</v>
      </c>
    </row>
    <row r="353" spans="1:15">
      <c r="A353" t="s">
        <v>425</v>
      </c>
    </row>
    <row r="354" spans="1:15">
      <c r="G354" t="s">
        <v>422</v>
      </c>
      <c r="N354" t="s">
        <v>797</v>
      </c>
    </row>
    <row r="355" spans="1:15">
      <c r="A355" t="s">
        <v>299</v>
      </c>
    </row>
    <row r="356" spans="1:15">
      <c r="A356" t="s">
        <v>426</v>
      </c>
      <c r="G356" t="s">
        <v>423</v>
      </c>
      <c r="N356" t="s">
        <v>798</v>
      </c>
    </row>
    <row r="357" spans="1:15">
      <c r="A357" t="s">
        <v>427</v>
      </c>
      <c r="G357" t="s">
        <v>424</v>
      </c>
      <c r="N357" t="s">
        <v>799</v>
      </c>
    </row>
    <row r="358" spans="1:15">
      <c r="G358" t="s">
        <v>425</v>
      </c>
    </row>
    <row r="359" spans="1:15">
      <c r="A359" t="s">
        <v>428</v>
      </c>
    </row>
    <row r="360" spans="1:15">
      <c r="A360" t="s">
        <v>429</v>
      </c>
      <c r="G360" t="s">
        <v>299</v>
      </c>
      <c r="N360" t="s">
        <v>226</v>
      </c>
    </row>
    <row r="361" spans="1:15">
      <c r="A361" t="s">
        <v>228</v>
      </c>
      <c r="G361" t="s">
        <v>885</v>
      </c>
    </row>
    <row r="362" spans="1:15">
      <c r="A362" t="s">
        <v>430</v>
      </c>
      <c r="G362" t="s">
        <v>886</v>
      </c>
      <c r="N362" t="s">
        <v>227</v>
      </c>
    </row>
    <row r="363" spans="1:15">
      <c r="N363" t="s">
        <v>228</v>
      </c>
      <c r="O363" t="s">
        <v>229</v>
      </c>
    </row>
    <row r="364" spans="1:15">
      <c r="A364" t="s">
        <v>431</v>
      </c>
      <c r="G364" t="s">
        <v>428</v>
      </c>
      <c r="N364" t="s">
        <v>230</v>
      </c>
      <c r="O364" t="s">
        <v>231</v>
      </c>
    </row>
    <row r="365" spans="1:15">
      <c r="G365" t="s">
        <v>429</v>
      </c>
      <c r="N365" t="s">
        <v>232</v>
      </c>
      <c r="O365" t="s">
        <v>1236</v>
      </c>
    </row>
    <row r="366" spans="1:15">
      <c r="A366" t="s">
        <v>432</v>
      </c>
      <c r="G366" t="s">
        <v>228</v>
      </c>
    </row>
    <row r="367" spans="1:15">
      <c r="A367" t="s">
        <v>433</v>
      </c>
      <c r="G367" t="s">
        <v>430</v>
      </c>
      <c r="N367" t="s">
        <v>235</v>
      </c>
      <c r="O367" t="s">
        <v>236</v>
      </c>
    </row>
    <row r="368" spans="1:15">
      <c r="A368" t="s">
        <v>434</v>
      </c>
      <c r="N368" t="s">
        <v>235</v>
      </c>
      <c r="O368" t="s">
        <v>237</v>
      </c>
    </row>
    <row r="369" spans="1:15">
      <c r="A369" t="s">
        <v>435</v>
      </c>
      <c r="G369" t="s">
        <v>431</v>
      </c>
      <c r="N369" t="s">
        <v>235</v>
      </c>
      <c r="O369" t="s">
        <v>238</v>
      </c>
    </row>
    <row r="370" spans="1:15">
      <c r="A370" t="s">
        <v>436</v>
      </c>
      <c r="N370" t="s">
        <v>235</v>
      </c>
      <c r="O370" t="s">
        <v>1322</v>
      </c>
    </row>
    <row r="371" spans="1:15">
      <c r="A371" t="s">
        <v>437</v>
      </c>
      <c r="G371" t="s">
        <v>887</v>
      </c>
    </row>
    <row r="372" spans="1:15">
      <c r="A372" t="s">
        <v>438</v>
      </c>
      <c r="G372" t="s">
        <v>888</v>
      </c>
      <c r="N372" t="s">
        <v>240</v>
      </c>
      <c r="O372" t="s">
        <v>241</v>
      </c>
    </row>
    <row r="373" spans="1:15">
      <c r="A373" t="s">
        <v>439</v>
      </c>
      <c r="G373" t="s">
        <v>889</v>
      </c>
      <c r="N373" t="s">
        <v>232</v>
      </c>
      <c r="O373" t="s">
        <v>242</v>
      </c>
    </row>
    <row r="374" spans="1:15">
      <c r="A374" t="s">
        <v>440</v>
      </c>
      <c r="G374" t="s">
        <v>890</v>
      </c>
      <c r="N374" t="s">
        <v>47</v>
      </c>
      <c r="O374" t="s">
        <v>243</v>
      </c>
    </row>
    <row r="375" spans="1:15">
      <c r="A375" t="s">
        <v>441</v>
      </c>
      <c r="G375" t="s">
        <v>891</v>
      </c>
      <c r="N375" t="s">
        <v>228</v>
      </c>
      <c r="O375" t="s">
        <v>244</v>
      </c>
    </row>
    <row r="376" spans="1:15">
      <c r="A376" t="s">
        <v>442</v>
      </c>
      <c r="G376" t="s">
        <v>892</v>
      </c>
    </row>
    <row r="377" spans="1:15">
      <c r="A377" t="s">
        <v>443</v>
      </c>
      <c r="G377" t="s">
        <v>893</v>
      </c>
      <c r="N377" t="s">
        <v>240</v>
      </c>
      <c r="O377" t="s">
        <v>1224</v>
      </c>
    </row>
    <row r="378" spans="1:15">
      <c r="A378" t="s">
        <v>444</v>
      </c>
      <c r="G378" t="s">
        <v>890</v>
      </c>
    </row>
    <row r="379" spans="1:15">
      <c r="A379" t="s">
        <v>445</v>
      </c>
      <c r="G379" t="s">
        <v>894</v>
      </c>
      <c r="N379" t="s">
        <v>1323</v>
      </c>
    </row>
    <row r="380" spans="1:15">
      <c r="A380" t="s">
        <v>446</v>
      </c>
      <c r="G380" t="s">
        <v>895</v>
      </c>
    </row>
    <row r="381" spans="1:15">
      <c r="A381" t="s">
        <v>447</v>
      </c>
      <c r="G381" t="s">
        <v>896</v>
      </c>
    </row>
    <row r="382" spans="1:15">
      <c r="A382" t="s">
        <v>448</v>
      </c>
      <c r="G382" t="s">
        <v>897</v>
      </c>
    </row>
    <row r="383" spans="1:15">
      <c r="A383" t="s">
        <v>449</v>
      </c>
      <c r="G383" t="s">
        <v>890</v>
      </c>
    </row>
    <row r="384" spans="1:15">
      <c r="A384" t="s">
        <v>450</v>
      </c>
      <c r="G384" t="s">
        <v>898</v>
      </c>
    </row>
    <row r="385" spans="1:7">
      <c r="A385" t="s">
        <v>451</v>
      </c>
      <c r="G385" t="s">
        <v>899</v>
      </c>
    </row>
    <row r="386" spans="1:7">
      <c r="A386" t="s">
        <v>452</v>
      </c>
      <c r="G386" t="s">
        <v>900</v>
      </c>
    </row>
    <row r="387" spans="1:7">
      <c r="A387" t="s">
        <v>450</v>
      </c>
      <c r="G387" t="s">
        <v>901</v>
      </c>
    </row>
    <row r="388" spans="1:7">
      <c r="A388" t="s">
        <v>453</v>
      </c>
      <c r="G388" t="s">
        <v>902</v>
      </c>
    </row>
    <row r="389" spans="1:7">
      <c r="A389" t="s">
        <v>454</v>
      </c>
      <c r="G389" t="s">
        <v>903</v>
      </c>
    </row>
    <row r="390" spans="1:7">
      <c r="A390" t="s">
        <v>455</v>
      </c>
      <c r="G390" t="s">
        <v>904</v>
      </c>
    </row>
    <row r="391" spans="1:7">
      <c r="A391" t="s">
        <v>456</v>
      </c>
      <c r="G391" t="s">
        <v>905</v>
      </c>
    </row>
    <row r="392" spans="1:7">
      <c r="A392" t="s">
        <v>457</v>
      </c>
      <c r="G392" t="s">
        <v>906</v>
      </c>
    </row>
    <row r="393" spans="1:7">
      <c r="A393" t="s">
        <v>458</v>
      </c>
      <c r="G393" t="s">
        <v>906</v>
      </c>
    </row>
    <row r="394" spans="1:7">
      <c r="A394" t="s">
        <v>459</v>
      </c>
      <c r="G394" t="s">
        <v>907</v>
      </c>
    </row>
    <row r="395" spans="1:7">
      <c r="A395" t="s">
        <v>460</v>
      </c>
      <c r="G395" t="s">
        <v>908</v>
      </c>
    </row>
    <row r="396" spans="1:7">
      <c r="A396" t="s">
        <v>461</v>
      </c>
      <c r="G396" t="s">
        <v>909</v>
      </c>
    </row>
    <row r="397" spans="1:7">
      <c r="A397" t="s">
        <v>462</v>
      </c>
      <c r="G397" t="s">
        <v>910</v>
      </c>
    </row>
    <row r="398" spans="1:7">
      <c r="A398" t="s">
        <v>463</v>
      </c>
      <c r="G398" t="s">
        <v>911</v>
      </c>
    </row>
    <row r="399" spans="1:7">
      <c r="A399" t="s">
        <v>464</v>
      </c>
      <c r="G399" t="s">
        <v>903</v>
      </c>
    </row>
    <row r="400" spans="1:7">
      <c r="A400" t="s">
        <v>465</v>
      </c>
      <c r="G400" t="s">
        <v>912</v>
      </c>
    </row>
    <row r="401" spans="1:7">
      <c r="A401" t="s">
        <v>466</v>
      </c>
      <c r="G401" t="s">
        <v>913</v>
      </c>
    </row>
    <row r="402" spans="1:7">
      <c r="A402" t="s">
        <v>467</v>
      </c>
      <c r="G402" t="s">
        <v>914</v>
      </c>
    </row>
    <row r="403" spans="1:7">
      <c r="A403" t="s">
        <v>468</v>
      </c>
      <c r="G403" t="s">
        <v>915</v>
      </c>
    </row>
    <row r="404" spans="1:7">
      <c r="A404" t="s">
        <v>469</v>
      </c>
      <c r="G404" t="s">
        <v>916</v>
      </c>
    </row>
    <row r="405" spans="1:7">
      <c r="A405" t="s">
        <v>470</v>
      </c>
      <c r="G405" t="s">
        <v>917</v>
      </c>
    </row>
    <row r="406" spans="1:7">
      <c r="A406" t="s">
        <v>471</v>
      </c>
      <c r="G406" t="s">
        <v>918</v>
      </c>
    </row>
    <row r="407" spans="1:7">
      <c r="A407" t="s">
        <v>472</v>
      </c>
      <c r="G407" t="s">
        <v>919</v>
      </c>
    </row>
    <row r="408" spans="1:7">
      <c r="A408" t="s">
        <v>473</v>
      </c>
      <c r="G408" t="s">
        <v>920</v>
      </c>
    </row>
    <row r="409" spans="1:7">
      <c r="A409" t="s">
        <v>474</v>
      </c>
      <c r="G409" t="s">
        <v>920</v>
      </c>
    </row>
    <row r="410" spans="1:7">
      <c r="A410" t="s">
        <v>475</v>
      </c>
      <c r="G410" t="s">
        <v>920</v>
      </c>
    </row>
    <row r="411" spans="1:7">
      <c r="A411" t="s">
        <v>476</v>
      </c>
      <c r="G411" t="s">
        <v>921</v>
      </c>
    </row>
    <row r="412" spans="1:7">
      <c r="A412" t="s">
        <v>477</v>
      </c>
      <c r="G412" t="s">
        <v>922</v>
      </c>
    </row>
    <row r="413" spans="1:7">
      <c r="A413" s="66" t="s">
        <v>478</v>
      </c>
      <c r="B413" s="66"/>
      <c r="G413" t="s">
        <v>923</v>
      </c>
    </row>
    <row r="414" spans="1:7">
      <c r="A414" s="66" t="s">
        <v>479</v>
      </c>
      <c r="B414" s="66"/>
      <c r="G414" t="s">
        <v>924</v>
      </c>
    </row>
    <row r="415" spans="1:7">
      <c r="A415" s="66" t="s">
        <v>480</v>
      </c>
      <c r="B415" s="66"/>
      <c r="G415" t="s">
        <v>925</v>
      </c>
    </row>
    <row r="416" spans="1:7">
      <c r="A416" s="66" t="s">
        <v>481</v>
      </c>
      <c r="B416" s="66"/>
      <c r="G416" t="s">
        <v>926</v>
      </c>
    </row>
    <row r="417" spans="1:7">
      <c r="A417" s="66" t="s">
        <v>482</v>
      </c>
      <c r="B417" s="66"/>
      <c r="G417" t="s">
        <v>927</v>
      </c>
    </row>
    <row r="418" spans="1:7">
      <c r="A418" s="66" t="s">
        <v>483</v>
      </c>
      <c r="B418" s="66"/>
      <c r="G418" t="s">
        <v>928</v>
      </c>
    </row>
    <row r="419" spans="1:7">
      <c r="A419" s="66" t="s">
        <v>484</v>
      </c>
      <c r="B419" s="66"/>
      <c r="G419" s="66" t="s">
        <v>479</v>
      </c>
    </row>
    <row r="420" spans="1:7">
      <c r="A420" s="66" t="s">
        <v>485</v>
      </c>
      <c r="B420" s="66"/>
      <c r="G420" s="66" t="s">
        <v>929</v>
      </c>
    </row>
    <row r="421" spans="1:7">
      <c r="A421" s="66" t="s">
        <v>486</v>
      </c>
      <c r="B421" s="66"/>
      <c r="G421" s="66" t="s">
        <v>930</v>
      </c>
    </row>
    <row r="422" spans="1:7">
      <c r="A422" t="s">
        <v>487</v>
      </c>
      <c r="G422" s="66" t="s">
        <v>931</v>
      </c>
    </row>
    <row r="423" spans="1:7">
      <c r="A423" t="s">
        <v>488</v>
      </c>
      <c r="G423" s="66" t="s">
        <v>932</v>
      </c>
    </row>
    <row r="424" spans="1:7">
      <c r="A424" t="s">
        <v>489</v>
      </c>
      <c r="G424" s="66" t="s">
        <v>933</v>
      </c>
    </row>
    <row r="425" spans="1:7">
      <c r="A425" t="s">
        <v>490</v>
      </c>
      <c r="G425" s="66" t="s">
        <v>934</v>
      </c>
    </row>
    <row r="426" spans="1:7">
      <c r="A426" t="s">
        <v>491</v>
      </c>
      <c r="G426" t="s">
        <v>935</v>
      </c>
    </row>
    <row r="427" spans="1:7">
      <c r="A427" t="s">
        <v>492</v>
      </c>
      <c r="G427" t="s">
        <v>936</v>
      </c>
    </row>
    <row r="428" spans="1:7">
      <c r="A428" t="s">
        <v>493</v>
      </c>
      <c r="G428" t="s">
        <v>937</v>
      </c>
    </row>
    <row r="429" spans="1:7">
      <c r="A429" t="s">
        <v>494</v>
      </c>
      <c r="G429" t="s">
        <v>938</v>
      </c>
    </row>
    <row r="430" spans="1:7">
      <c r="A430" t="s">
        <v>495</v>
      </c>
      <c r="G430" t="s">
        <v>939</v>
      </c>
    </row>
    <row r="431" spans="1:7">
      <c r="A431" t="s">
        <v>496</v>
      </c>
      <c r="G431" t="s">
        <v>940</v>
      </c>
    </row>
    <row r="432" spans="1:7">
      <c r="A432" t="s">
        <v>497</v>
      </c>
      <c r="G432" t="s">
        <v>939</v>
      </c>
    </row>
    <row r="433" spans="1:7">
      <c r="A433" t="s">
        <v>498</v>
      </c>
      <c r="G433" t="s">
        <v>941</v>
      </c>
    </row>
    <row r="434" spans="1:7">
      <c r="A434" t="s">
        <v>499</v>
      </c>
      <c r="G434" t="s">
        <v>942</v>
      </c>
    </row>
    <row r="435" spans="1:7">
      <c r="A435" t="s">
        <v>500</v>
      </c>
      <c r="G435" t="s">
        <v>943</v>
      </c>
    </row>
    <row r="436" spans="1:7">
      <c r="A436" t="s">
        <v>501</v>
      </c>
      <c r="G436" t="s">
        <v>944</v>
      </c>
    </row>
    <row r="437" spans="1:7">
      <c r="A437" t="s">
        <v>498</v>
      </c>
      <c r="G437" t="s">
        <v>945</v>
      </c>
    </row>
    <row r="438" spans="1:7">
      <c r="A438" t="s">
        <v>502</v>
      </c>
      <c r="G438" t="s">
        <v>946</v>
      </c>
    </row>
    <row r="439" spans="1:7">
      <c r="A439" t="s">
        <v>503</v>
      </c>
      <c r="G439" t="s">
        <v>947</v>
      </c>
    </row>
    <row r="440" spans="1:7">
      <c r="A440" t="s">
        <v>504</v>
      </c>
      <c r="G440" t="s">
        <v>946</v>
      </c>
    </row>
    <row r="441" spans="1:7">
      <c r="A441" t="s">
        <v>505</v>
      </c>
      <c r="G441" t="s">
        <v>948</v>
      </c>
    </row>
    <row r="442" spans="1:7">
      <c r="A442" t="s">
        <v>506</v>
      </c>
      <c r="G442" t="s">
        <v>949</v>
      </c>
    </row>
    <row r="443" spans="1:7">
      <c r="A443" t="s">
        <v>507</v>
      </c>
      <c r="G443" t="s">
        <v>950</v>
      </c>
    </row>
    <row r="444" spans="1:7">
      <c r="A444" t="s">
        <v>508</v>
      </c>
      <c r="G444" t="s">
        <v>951</v>
      </c>
    </row>
    <row r="445" spans="1:7">
      <c r="A445" t="s">
        <v>505</v>
      </c>
      <c r="G445" t="s">
        <v>952</v>
      </c>
    </row>
    <row r="446" spans="1:7">
      <c r="A446" t="s">
        <v>509</v>
      </c>
      <c r="G446" t="s">
        <v>953</v>
      </c>
    </row>
    <row r="447" spans="1:7">
      <c r="A447" t="s">
        <v>510</v>
      </c>
      <c r="G447" t="s">
        <v>951</v>
      </c>
    </row>
    <row r="448" spans="1:7">
      <c r="A448" t="s">
        <v>511</v>
      </c>
      <c r="G448" t="s">
        <v>954</v>
      </c>
    </row>
    <row r="449" spans="1:7">
      <c r="A449" t="s">
        <v>512</v>
      </c>
      <c r="G449" t="s">
        <v>951</v>
      </c>
    </row>
    <row r="450" spans="1:7">
      <c r="A450" t="s">
        <v>513</v>
      </c>
      <c r="G450" t="s">
        <v>955</v>
      </c>
    </row>
    <row r="451" spans="1:7">
      <c r="A451" t="s">
        <v>514</v>
      </c>
      <c r="G451" t="s">
        <v>956</v>
      </c>
    </row>
    <row r="452" spans="1:7">
      <c r="A452" t="s">
        <v>515</v>
      </c>
      <c r="G452" t="s">
        <v>957</v>
      </c>
    </row>
    <row r="453" spans="1:7">
      <c r="A453" t="s">
        <v>516</v>
      </c>
      <c r="G453" t="s">
        <v>958</v>
      </c>
    </row>
    <row r="454" spans="1:7">
      <c r="A454" t="s">
        <v>507</v>
      </c>
      <c r="G454" t="s">
        <v>959</v>
      </c>
    </row>
    <row r="455" spans="1:7">
      <c r="A455" t="s">
        <v>513</v>
      </c>
      <c r="G455" t="s">
        <v>960</v>
      </c>
    </row>
    <row r="456" spans="1:7">
      <c r="A456" t="s">
        <v>517</v>
      </c>
      <c r="G456" t="s">
        <v>961</v>
      </c>
    </row>
    <row r="457" spans="1:7">
      <c r="A457" t="s">
        <v>518</v>
      </c>
      <c r="G457" t="s">
        <v>962</v>
      </c>
    </row>
    <row r="458" spans="1:7">
      <c r="A458" t="s">
        <v>519</v>
      </c>
      <c r="G458" t="s">
        <v>963</v>
      </c>
    </row>
    <row r="459" spans="1:7">
      <c r="A459" t="s">
        <v>520</v>
      </c>
      <c r="G459" t="s">
        <v>964</v>
      </c>
    </row>
    <row r="460" spans="1:7">
      <c r="A460" t="s">
        <v>521</v>
      </c>
      <c r="G460" t="s">
        <v>965</v>
      </c>
    </row>
    <row r="461" spans="1:7">
      <c r="A461" t="s">
        <v>522</v>
      </c>
      <c r="G461" t="s">
        <v>966</v>
      </c>
    </row>
    <row r="462" spans="1:7">
      <c r="A462" t="s">
        <v>523</v>
      </c>
      <c r="G462" t="s">
        <v>967</v>
      </c>
    </row>
    <row r="463" spans="1:7">
      <c r="A463" t="s">
        <v>524</v>
      </c>
      <c r="G463" t="s">
        <v>968</v>
      </c>
    </row>
    <row r="464" spans="1:7">
      <c r="A464" t="s">
        <v>525</v>
      </c>
      <c r="G464" t="s">
        <v>969</v>
      </c>
    </row>
    <row r="465" spans="1:7">
      <c r="A465" t="s">
        <v>526</v>
      </c>
      <c r="G465" t="s">
        <v>970</v>
      </c>
    </row>
    <row r="466" spans="1:7">
      <c r="A466" t="s">
        <v>527</v>
      </c>
      <c r="G466" t="s">
        <v>971</v>
      </c>
    </row>
    <row r="467" spans="1:7">
      <c r="A467" t="s">
        <v>528</v>
      </c>
      <c r="G467" t="s">
        <v>972</v>
      </c>
    </row>
    <row r="468" spans="1:7">
      <c r="A468" t="s">
        <v>529</v>
      </c>
      <c r="G468" t="s">
        <v>973</v>
      </c>
    </row>
    <row r="469" spans="1:7">
      <c r="A469" t="s">
        <v>530</v>
      </c>
      <c r="G469" t="s">
        <v>974</v>
      </c>
    </row>
    <row r="470" spans="1:7">
      <c r="A470" t="s">
        <v>531</v>
      </c>
      <c r="G470" t="s">
        <v>975</v>
      </c>
    </row>
    <row r="471" spans="1:7">
      <c r="A471" t="s">
        <v>532</v>
      </c>
      <c r="G471" t="s">
        <v>976</v>
      </c>
    </row>
    <row r="472" spans="1:7">
      <c r="A472" t="s">
        <v>533</v>
      </c>
      <c r="G472" t="s">
        <v>977</v>
      </c>
    </row>
    <row r="473" spans="1:7">
      <c r="A473" t="s">
        <v>534</v>
      </c>
      <c r="G473" t="s">
        <v>978</v>
      </c>
    </row>
    <row r="474" spans="1:7">
      <c r="A474" t="s">
        <v>535</v>
      </c>
      <c r="G474" t="s">
        <v>979</v>
      </c>
    </row>
    <row r="475" spans="1:7">
      <c r="A475" t="s">
        <v>536</v>
      </c>
      <c r="G475" t="s">
        <v>980</v>
      </c>
    </row>
    <row r="476" spans="1:7">
      <c r="A476" t="s">
        <v>537</v>
      </c>
      <c r="G476" t="s">
        <v>978</v>
      </c>
    </row>
    <row r="477" spans="1:7">
      <c r="A477" t="s">
        <v>538</v>
      </c>
      <c r="G477" t="s">
        <v>981</v>
      </c>
    </row>
    <row r="478" spans="1:7">
      <c r="A478" t="s">
        <v>539</v>
      </c>
      <c r="G478" t="s">
        <v>980</v>
      </c>
    </row>
    <row r="479" spans="1:7">
      <c r="A479" t="s">
        <v>540</v>
      </c>
      <c r="G479" t="s">
        <v>982</v>
      </c>
    </row>
    <row r="480" spans="1:7">
      <c r="A480" t="s">
        <v>541</v>
      </c>
      <c r="G480" t="s">
        <v>983</v>
      </c>
    </row>
    <row r="481" spans="1:7">
      <c r="A481" t="s">
        <v>542</v>
      </c>
      <c r="G481" t="s">
        <v>984</v>
      </c>
    </row>
    <row r="482" spans="1:7">
      <c r="A482" t="s">
        <v>543</v>
      </c>
      <c r="G482" t="s">
        <v>985</v>
      </c>
    </row>
    <row r="483" spans="1:7">
      <c r="A483" t="s">
        <v>544</v>
      </c>
      <c r="G483" t="s">
        <v>986</v>
      </c>
    </row>
    <row r="484" spans="1:7">
      <c r="A484" t="s">
        <v>545</v>
      </c>
      <c r="G484" t="s">
        <v>987</v>
      </c>
    </row>
    <row r="485" spans="1:7">
      <c r="A485" t="s">
        <v>546</v>
      </c>
      <c r="G485" t="s">
        <v>988</v>
      </c>
    </row>
    <row r="486" spans="1:7">
      <c r="A486" t="s">
        <v>547</v>
      </c>
      <c r="G486" t="s">
        <v>989</v>
      </c>
    </row>
    <row r="487" spans="1:7">
      <c r="A487" t="s">
        <v>548</v>
      </c>
      <c r="G487" t="s">
        <v>990</v>
      </c>
    </row>
    <row r="488" spans="1:7">
      <c r="A488" t="s">
        <v>549</v>
      </c>
      <c r="G488" t="s">
        <v>991</v>
      </c>
    </row>
    <row r="489" spans="1:7">
      <c r="A489" t="s">
        <v>550</v>
      </c>
      <c r="G489" t="s">
        <v>992</v>
      </c>
    </row>
    <row r="490" spans="1:7">
      <c r="A490" s="66" t="s">
        <v>551</v>
      </c>
      <c r="B490" s="66"/>
      <c r="G490" t="s">
        <v>982</v>
      </c>
    </row>
    <row r="491" spans="1:7">
      <c r="A491" s="66" t="s">
        <v>552</v>
      </c>
      <c r="B491" s="66"/>
      <c r="G491" t="s">
        <v>993</v>
      </c>
    </row>
    <row r="492" spans="1:7">
      <c r="A492" s="66" t="s">
        <v>553</v>
      </c>
      <c r="B492" s="66"/>
      <c r="G492" t="s">
        <v>994</v>
      </c>
    </row>
    <row r="493" spans="1:7">
      <c r="A493" s="66" t="s">
        <v>554</v>
      </c>
      <c r="B493" s="66"/>
      <c r="G493" t="s">
        <v>994</v>
      </c>
    </row>
    <row r="494" spans="1:7">
      <c r="A494" s="66" t="s">
        <v>555</v>
      </c>
      <c r="B494" s="66"/>
      <c r="G494" t="s">
        <v>995</v>
      </c>
    </row>
    <row r="495" spans="1:7">
      <c r="A495" s="66" t="s">
        <v>556</v>
      </c>
      <c r="B495" s="66"/>
      <c r="G495" t="s">
        <v>996</v>
      </c>
    </row>
    <row r="496" spans="1:7">
      <c r="A496" s="66" t="s">
        <v>557</v>
      </c>
      <c r="B496" s="66"/>
      <c r="G496" t="s">
        <v>997</v>
      </c>
    </row>
    <row r="497" spans="1:7">
      <c r="A497" s="66" t="s">
        <v>558</v>
      </c>
      <c r="B497" s="66"/>
      <c r="G497" s="66" t="s">
        <v>998</v>
      </c>
    </row>
    <row r="498" spans="1:7">
      <c r="A498" t="s">
        <v>559</v>
      </c>
      <c r="G498" s="66" t="s">
        <v>999</v>
      </c>
    </row>
    <row r="499" spans="1:7">
      <c r="A499" t="s">
        <v>560</v>
      </c>
      <c r="G499" s="66" t="s">
        <v>1000</v>
      </c>
    </row>
    <row r="500" spans="1:7">
      <c r="A500" t="s">
        <v>561</v>
      </c>
      <c r="G500" s="66" t="s">
        <v>1001</v>
      </c>
    </row>
    <row r="501" spans="1:7">
      <c r="A501" t="s">
        <v>562</v>
      </c>
      <c r="G501" s="66" t="s">
        <v>1002</v>
      </c>
    </row>
    <row r="502" spans="1:7">
      <c r="A502" t="s">
        <v>563</v>
      </c>
      <c r="G502" s="66" t="s">
        <v>1003</v>
      </c>
    </row>
    <row r="503" spans="1:7">
      <c r="A503" t="s">
        <v>564</v>
      </c>
      <c r="G503" t="s">
        <v>1004</v>
      </c>
    </row>
    <row r="504" spans="1:7">
      <c r="A504" s="66" t="s">
        <v>565</v>
      </c>
      <c r="B504" s="66"/>
      <c r="G504" t="s">
        <v>1005</v>
      </c>
    </row>
    <row r="505" spans="1:7">
      <c r="A505" s="66" t="s">
        <v>566</v>
      </c>
      <c r="B505" s="66"/>
      <c r="G505" t="s">
        <v>1006</v>
      </c>
    </row>
    <row r="506" spans="1:7">
      <c r="A506" s="66" t="s">
        <v>567</v>
      </c>
      <c r="B506" s="66"/>
      <c r="G506" t="s">
        <v>1007</v>
      </c>
    </row>
    <row r="507" spans="1:7">
      <c r="A507" s="66" t="s">
        <v>568</v>
      </c>
      <c r="B507" s="66"/>
      <c r="G507" t="s">
        <v>1008</v>
      </c>
    </row>
    <row r="508" spans="1:7">
      <c r="A508" s="66" t="s">
        <v>569</v>
      </c>
      <c r="B508" s="66"/>
      <c r="G508" t="s">
        <v>1009</v>
      </c>
    </row>
    <row r="509" spans="1:7">
      <c r="A509" s="66" t="s">
        <v>570</v>
      </c>
      <c r="B509" s="66"/>
      <c r="G509" s="66" t="s">
        <v>1010</v>
      </c>
    </row>
    <row r="510" spans="1:7">
      <c r="A510" t="s">
        <v>571</v>
      </c>
      <c r="G510" s="66" t="s">
        <v>1011</v>
      </c>
    </row>
    <row r="511" spans="1:7">
      <c r="A511" t="s">
        <v>572</v>
      </c>
      <c r="G511" s="66" t="s">
        <v>1012</v>
      </c>
    </row>
    <row r="512" spans="1:7">
      <c r="A512" t="s">
        <v>573</v>
      </c>
      <c r="G512" s="66" t="s">
        <v>1013</v>
      </c>
    </row>
    <row r="513" spans="1:7">
      <c r="A513" t="s">
        <v>574</v>
      </c>
      <c r="G513" s="66" t="s">
        <v>1014</v>
      </c>
    </row>
    <row r="514" spans="1:7">
      <c r="A514" t="s">
        <v>575</v>
      </c>
      <c r="G514" s="66" t="s">
        <v>1015</v>
      </c>
    </row>
    <row r="515" spans="1:7">
      <c r="A515" t="s">
        <v>576</v>
      </c>
      <c r="G515" t="s">
        <v>1016</v>
      </c>
    </row>
    <row r="516" spans="1:7">
      <c r="A516" t="s">
        <v>577</v>
      </c>
      <c r="G516" t="s">
        <v>1017</v>
      </c>
    </row>
    <row r="517" spans="1:7">
      <c r="A517" t="s">
        <v>578</v>
      </c>
      <c r="G517" t="s">
        <v>1018</v>
      </c>
    </row>
    <row r="518" spans="1:7">
      <c r="A518" t="s">
        <v>579</v>
      </c>
      <c r="G518" t="s">
        <v>1019</v>
      </c>
    </row>
    <row r="519" spans="1:7">
      <c r="A519" t="s">
        <v>580</v>
      </c>
      <c r="G519" t="s">
        <v>1020</v>
      </c>
    </row>
    <row r="520" spans="1:7">
      <c r="A520" t="s">
        <v>581</v>
      </c>
      <c r="G520" t="s">
        <v>1018</v>
      </c>
    </row>
    <row r="521" spans="1:7">
      <c r="A521" t="s">
        <v>582</v>
      </c>
      <c r="G521" t="s">
        <v>1021</v>
      </c>
    </row>
    <row r="522" spans="1:7">
      <c r="A522" t="s">
        <v>583</v>
      </c>
      <c r="G522" t="s">
        <v>1022</v>
      </c>
    </row>
    <row r="523" spans="1:7">
      <c r="A523" t="s">
        <v>584</v>
      </c>
      <c r="G523" t="s">
        <v>1023</v>
      </c>
    </row>
    <row r="524" spans="1:7">
      <c r="A524" t="s">
        <v>585</v>
      </c>
      <c r="G524" t="s">
        <v>1024</v>
      </c>
    </row>
    <row r="525" spans="1:7">
      <c r="A525" t="s">
        <v>586</v>
      </c>
      <c r="G525" t="s">
        <v>1025</v>
      </c>
    </row>
    <row r="526" spans="1:7">
      <c r="A526" t="s">
        <v>587</v>
      </c>
      <c r="G526" t="s">
        <v>1026</v>
      </c>
    </row>
    <row r="527" spans="1:7">
      <c r="A527" t="s">
        <v>588</v>
      </c>
      <c r="G527" t="s">
        <v>1027</v>
      </c>
    </row>
    <row r="528" spans="1:7">
      <c r="A528" t="s">
        <v>589</v>
      </c>
      <c r="G528" t="s">
        <v>1028</v>
      </c>
    </row>
    <row r="529" spans="1:7">
      <c r="A529" t="s">
        <v>590</v>
      </c>
      <c r="G529" t="s">
        <v>1029</v>
      </c>
    </row>
    <row r="530" spans="1:7">
      <c r="A530" t="s">
        <v>591</v>
      </c>
      <c r="G530" t="s">
        <v>1030</v>
      </c>
    </row>
    <row r="531" spans="1:7">
      <c r="A531" t="s">
        <v>592</v>
      </c>
      <c r="G531" t="s">
        <v>1031</v>
      </c>
    </row>
    <row r="532" spans="1:7">
      <c r="A532" t="s">
        <v>593</v>
      </c>
      <c r="G532" t="s">
        <v>1032</v>
      </c>
    </row>
    <row r="533" spans="1:7">
      <c r="A533" t="s">
        <v>594</v>
      </c>
      <c r="G533" t="s">
        <v>1033</v>
      </c>
    </row>
    <row r="534" spans="1:7">
      <c r="A534" t="s">
        <v>595</v>
      </c>
      <c r="G534" t="s">
        <v>1034</v>
      </c>
    </row>
    <row r="535" spans="1:7">
      <c r="A535" t="s">
        <v>596</v>
      </c>
      <c r="G535" t="s">
        <v>1035</v>
      </c>
    </row>
    <row r="536" spans="1:7">
      <c r="A536" t="s">
        <v>597</v>
      </c>
      <c r="G536" t="s">
        <v>1036</v>
      </c>
    </row>
    <row r="537" spans="1:7">
      <c r="A537" t="s">
        <v>598</v>
      </c>
      <c r="G537" t="s">
        <v>1037</v>
      </c>
    </row>
    <row r="538" spans="1:7">
      <c r="A538" t="s">
        <v>599</v>
      </c>
      <c r="G538" t="s">
        <v>1038</v>
      </c>
    </row>
    <row r="539" spans="1:7">
      <c r="A539" t="s">
        <v>600</v>
      </c>
      <c r="G539" t="s">
        <v>1038</v>
      </c>
    </row>
    <row r="540" spans="1:7">
      <c r="A540" t="s">
        <v>601</v>
      </c>
      <c r="G540" t="s">
        <v>1039</v>
      </c>
    </row>
    <row r="541" spans="1:7">
      <c r="A541" t="s">
        <v>602</v>
      </c>
      <c r="G541" t="s">
        <v>1040</v>
      </c>
    </row>
    <row r="542" spans="1:7">
      <c r="A542" t="s">
        <v>603</v>
      </c>
      <c r="G542" t="s">
        <v>1041</v>
      </c>
    </row>
    <row r="543" spans="1:7">
      <c r="A543" t="s">
        <v>604</v>
      </c>
      <c r="G543" t="s">
        <v>1042</v>
      </c>
    </row>
    <row r="544" spans="1:7">
      <c r="A544" t="s">
        <v>605</v>
      </c>
      <c r="G544" t="s">
        <v>1043</v>
      </c>
    </row>
    <row r="545" spans="1:7">
      <c r="A545" t="s">
        <v>604</v>
      </c>
      <c r="G545" t="s">
        <v>1044</v>
      </c>
    </row>
    <row r="546" spans="1:7">
      <c r="A546" t="s">
        <v>606</v>
      </c>
      <c r="G546" t="s">
        <v>1045</v>
      </c>
    </row>
    <row r="547" spans="1:7">
      <c r="A547" t="s">
        <v>607</v>
      </c>
      <c r="G547" t="s">
        <v>1041</v>
      </c>
    </row>
    <row r="548" spans="1:7">
      <c r="A548" t="s">
        <v>608</v>
      </c>
      <c r="G548" t="s">
        <v>1046</v>
      </c>
    </row>
    <row r="549" spans="1:7">
      <c r="A549" t="s">
        <v>609</v>
      </c>
      <c r="G549" t="s">
        <v>1047</v>
      </c>
    </row>
    <row r="550" spans="1:7">
      <c r="A550" t="s">
        <v>610</v>
      </c>
      <c r="G550" t="s">
        <v>1048</v>
      </c>
    </row>
    <row r="551" spans="1:7">
      <c r="A551" t="s">
        <v>611</v>
      </c>
      <c r="G551" t="s">
        <v>1049</v>
      </c>
    </row>
    <row r="552" spans="1:7">
      <c r="A552" t="s">
        <v>612</v>
      </c>
      <c r="G552" t="s">
        <v>1050</v>
      </c>
    </row>
    <row r="553" spans="1:7">
      <c r="A553" t="s">
        <v>613</v>
      </c>
      <c r="G553" t="s">
        <v>1051</v>
      </c>
    </row>
    <row r="554" spans="1:7">
      <c r="A554" t="s">
        <v>614</v>
      </c>
      <c r="G554" t="s">
        <v>1052</v>
      </c>
    </row>
    <row r="555" spans="1:7">
      <c r="A555" t="s">
        <v>615</v>
      </c>
      <c r="G555" t="s">
        <v>1053</v>
      </c>
    </row>
    <row r="556" spans="1:7">
      <c r="A556" t="s">
        <v>616</v>
      </c>
      <c r="G556" t="s">
        <v>1054</v>
      </c>
    </row>
    <row r="557" spans="1:7">
      <c r="A557" t="s">
        <v>617</v>
      </c>
      <c r="G557" t="s">
        <v>1055</v>
      </c>
    </row>
    <row r="558" spans="1:7">
      <c r="A558" t="s">
        <v>618</v>
      </c>
      <c r="G558" t="s">
        <v>1056</v>
      </c>
    </row>
    <row r="559" spans="1:7">
      <c r="A559" t="s">
        <v>619</v>
      </c>
      <c r="G559" t="s">
        <v>1057</v>
      </c>
    </row>
    <row r="560" spans="1:7">
      <c r="A560" t="s">
        <v>620</v>
      </c>
      <c r="G560" t="s">
        <v>1058</v>
      </c>
    </row>
    <row r="561" spans="1:7">
      <c r="A561" t="s">
        <v>620</v>
      </c>
      <c r="G561" t="s">
        <v>1059</v>
      </c>
    </row>
    <row r="562" spans="1:7">
      <c r="A562" t="s">
        <v>621</v>
      </c>
      <c r="G562" t="s">
        <v>1060</v>
      </c>
    </row>
    <row r="563" spans="1:7">
      <c r="A563" t="s">
        <v>622</v>
      </c>
      <c r="G563" t="s">
        <v>1061</v>
      </c>
    </row>
    <row r="564" spans="1:7">
      <c r="A564" t="s">
        <v>623</v>
      </c>
      <c r="G564" t="s">
        <v>1062</v>
      </c>
    </row>
    <row r="565" spans="1:7">
      <c r="A565" t="s">
        <v>624</v>
      </c>
      <c r="G565" t="s">
        <v>1063</v>
      </c>
    </row>
    <row r="566" spans="1:7">
      <c r="A566" t="s">
        <v>625</v>
      </c>
      <c r="G566" t="s">
        <v>1064</v>
      </c>
    </row>
    <row r="567" spans="1:7">
      <c r="A567" t="s">
        <v>626</v>
      </c>
      <c r="G567" t="s">
        <v>1065</v>
      </c>
    </row>
    <row r="568" spans="1:7">
      <c r="A568" t="s">
        <v>627</v>
      </c>
      <c r="G568" t="s">
        <v>1066</v>
      </c>
    </row>
    <row r="569" spans="1:7">
      <c r="A569" t="s">
        <v>626</v>
      </c>
      <c r="G569" t="s">
        <v>1067</v>
      </c>
    </row>
    <row r="570" spans="1:7">
      <c r="A570" t="s">
        <v>628</v>
      </c>
      <c r="G570" t="s">
        <v>1068</v>
      </c>
    </row>
    <row r="571" spans="1:7">
      <c r="A571" t="s">
        <v>629</v>
      </c>
      <c r="G571" t="s">
        <v>1069</v>
      </c>
    </row>
    <row r="572" spans="1:7">
      <c r="A572" t="s">
        <v>626</v>
      </c>
      <c r="G572" t="s">
        <v>1070</v>
      </c>
    </row>
    <row r="573" spans="1:7">
      <c r="A573" t="s">
        <v>630</v>
      </c>
      <c r="G573" t="s">
        <v>1069</v>
      </c>
    </row>
    <row r="574" spans="1:7">
      <c r="A574" t="s">
        <v>631</v>
      </c>
      <c r="G574" t="s">
        <v>1071</v>
      </c>
    </row>
    <row r="575" spans="1:7">
      <c r="A575" t="s">
        <v>632</v>
      </c>
      <c r="G575" t="s">
        <v>1072</v>
      </c>
    </row>
    <row r="576" spans="1:7">
      <c r="A576" t="s">
        <v>633</v>
      </c>
      <c r="G576" t="s">
        <v>1073</v>
      </c>
    </row>
    <row r="577" spans="1:7">
      <c r="A577" t="s">
        <v>634</v>
      </c>
      <c r="G577" t="s">
        <v>1074</v>
      </c>
    </row>
    <row r="578" spans="1:7">
      <c r="A578" t="s">
        <v>635</v>
      </c>
      <c r="G578" t="s">
        <v>1075</v>
      </c>
    </row>
    <row r="579" spans="1:7">
      <c r="A579" t="s">
        <v>636</v>
      </c>
      <c r="G579" t="s">
        <v>1076</v>
      </c>
    </row>
    <row r="580" spans="1:7">
      <c r="A580" t="s">
        <v>637</v>
      </c>
      <c r="G580" t="s">
        <v>1077</v>
      </c>
    </row>
    <row r="581" spans="1:7">
      <c r="A581" t="s">
        <v>638</v>
      </c>
      <c r="G581" t="s">
        <v>1077</v>
      </c>
    </row>
    <row r="582" spans="1:7">
      <c r="A582" t="s">
        <v>639</v>
      </c>
      <c r="G582" t="s">
        <v>1078</v>
      </c>
    </row>
    <row r="583" spans="1:7">
      <c r="A583" t="s">
        <v>640</v>
      </c>
      <c r="G583" t="s">
        <v>1079</v>
      </c>
    </row>
    <row r="584" spans="1:7">
      <c r="A584" t="s">
        <v>641</v>
      </c>
      <c r="G584" t="s">
        <v>1080</v>
      </c>
    </row>
    <row r="585" spans="1:7">
      <c r="A585" t="s">
        <v>642</v>
      </c>
      <c r="G585" t="s">
        <v>1074</v>
      </c>
    </row>
    <row r="586" spans="1:7">
      <c r="A586" t="s">
        <v>643</v>
      </c>
      <c r="G586" t="s">
        <v>1081</v>
      </c>
    </row>
    <row r="587" spans="1:7">
      <c r="A587" t="s">
        <v>644</v>
      </c>
      <c r="G587" t="s">
        <v>1082</v>
      </c>
    </row>
    <row r="588" spans="1:7">
      <c r="A588" t="s">
        <v>645</v>
      </c>
      <c r="G588" t="s">
        <v>1083</v>
      </c>
    </row>
    <row r="589" spans="1:7">
      <c r="A589" t="s">
        <v>646</v>
      </c>
      <c r="G589" t="s">
        <v>1084</v>
      </c>
    </row>
    <row r="590" spans="1:7">
      <c r="A590" t="s">
        <v>647</v>
      </c>
      <c r="G590" t="s">
        <v>1085</v>
      </c>
    </row>
    <row r="591" spans="1:7">
      <c r="A591" t="s">
        <v>648</v>
      </c>
      <c r="G591" t="s">
        <v>1086</v>
      </c>
    </row>
    <row r="592" spans="1:7">
      <c r="A592" t="s">
        <v>649</v>
      </c>
      <c r="G592" t="s">
        <v>1087</v>
      </c>
    </row>
    <row r="593" spans="1:7">
      <c r="A593" t="s">
        <v>650</v>
      </c>
      <c r="G593" t="s">
        <v>1088</v>
      </c>
    </row>
    <row r="594" spans="1:7">
      <c r="A594" t="s">
        <v>651</v>
      </c>
      <c r="G594" t="s">
        <v>1089</v>
      </c>
    </row>
    <row r="595" spans="1:7">
      <c r="A595" t="s">
        <v>652</v>
      </c>
      <c r="G595" t="s">
        <v>1090</v>
      </c>
    </row>
    <row r="596" spans="1:7">
      <c r="A596" t="s">
        <v>653</v>
      </c>
      <c r="G596" t="s">
        <v>1091</v>
      </c>
    </row>
    <row r="597" spans="1:7">
      <c r="A597" t="s">
        <v>654</v>
      </c>
      <c r="G597" t="s">
        <v>1092</v>
      </c>
    </row>
    <row r="598" spans="1:7">
      <c r="A598" t="s">
        <v>655</v>
      </c>
      <c r="G598" t="s">
        <v>1093</v>
      </c>
    </row>
    <row r="599" spans="1:7">
      <c r="A599" t="s">
        <v>656</v>
      </c>
      <c r="G599" t="s">
        <v>1094</v>
      </c>
    </row>
    <row r="600" spans="1:7">
      <c r="A600" t="s">
        <v>657</v>
      </c>
      <c r="G600" t="s">
        <v>1095</v>
      </c>
    </row>
    <row r="601" spans="1:7">
      <c r="A601" t="s">
        <v>658</v>
      </c>
      <c r="G601" t="s">
        <v>1096</v>
      </c>
    </row>
    <row r="602" spans="1:7">
      <c r="A602" t="s">
        <v>659</v>
      </c>
      <c r="G602" t="s">
        <v>1097</v>
      </c>
    </row>
    <row r="603" spans="1:7">
      <c r="A603" t="s">
        <v>660</v>
      </c>
      <c r="G603" t="s">
        <v>1098</v>
      </c>
    </row>
    <row r="604" spans="1:7">
      <c r="A604" t="s">
        <v>661</v>
      </c>
      <c r="G604" t="s">
        <v>1099</v>
      </c>
    </row>
    <row r="605" spans="1:7">
      <c r="A605" t="s">
        <v>662</v>
      </c>
      <c r="G605" t="s">
        <v>1100</v>
      </c>
    </row>
    <row r="606" spans="1:7">
      <c r="A606" t="s">
        <v>663</v>
      </c>
      <c r="G606" t="s">
        <v>1101</v>
      </c>
    </row>
    <row r="607" spans="1:7">
      <c r="A607" t="s">
        <v>664</v>
      </c>
      <c r="G607" t="s">
        <v>1102</v>
      </c>
    </row>
    <row r="608" spans="1:7">
      <c r="A608" t="s">
        <v>665</v>
      </c>
      <c r="G608" t="s">
        <v>1103</v>
      </c>
    </row>
    <row r="609" spans="1:7">
      <c r="A609" t="s">
        <v>666</v>
      </c>
      <c r="G609" t="s">
        <v>1104</v>
      </c>
    </row>
    <row r="610" spans="1:7">
      <c r="A610" t="s">
        <v>667</v>
      </c>
      <c r="G610" t="s">
        <v>1105</v>
      </c>
    </row>
    <row r="611" spans="1:7">
      <c r="A611" t="s">
        <v>668</v>
      </c>
      <c r="G611" t="s">
        <v>1106</v>
      </c>
    </row>
    <row r="612" spans="1:7">
      <c r="A612" t="s">
        <v>669</v>
      </c>
      <c r="G612" t="s">
        <v>1107</v>
      </c>
    </row>
    <row r="613" spans="1:7">
      <c r="A613" t="s">
        <v>670</v>
      </c>
      <c r="G613" t="s">
        <v>1108</v>
      </c>
    </row>
    <row r="614" spans="1:7">
      <c r="A614" t="s">
        <v>671</v>
      </c>
      <c r="G614" t="s">
        <v>1109</v>
      </c>
    </row>
    <row r="615" spans="1:7">
      <c r="A615" t="s">
        <v>672</v>
      </c>
      <c r="G615" t="s">
        <v>1110</v>
      </c>
    </row>
    <row r="616" spans="1:7">
      <c r="A616" t="s">
        <v>673</v>
      </c>
      <c r="G616" t="s">
        <v>1111</v>
      </c>
    </row>
    <row r="617" spans="1:7">
      <c r="A617" t="s">
        <v>674</v>
      </c>
      <c r="G617" t="s">
        <v>1110</v>
      </c>
    </row>
    <row r="618" spans="1:7">
      <c r="A618" t="s">
        <v>675</v>
      </c>
      <c r="G618" t="s">
        <v>1112</v>
      </c>
    </row>
    <row r="619" spans="1:7">
      <c r="A619" t="s">
        <v>676</v>
      </c>
      <c r="G619" t="s">
        <v>1113</v>
      </c>
    </row>
    <row r="620" spans="1:7">
      <c r="A620" t="s">
        <v>677</v>
      </c>
      <c r="G620" t="s">
        <v>1114</v>
      </c>
    </row>
    <row r="621" spans="1:7">
      <c r="A621" t="s">
        <v>678</v>
      </c>
      <c r="G621" t="s">
        <v>1115</v>
      </c>
    </row>
    <row r="622" spans="1:7">
      <c r="A622" t="s">
        <v>679</v>
      </c>
      <c r="G622" t="s">
        <v>1116</v>
      </c>
    </row>
    <row r="623" spans="1:7">
      <c r="A623" t="s">
        <v>680</v>
      </c>
      <c r="G623" t="s">
        <v>1117</v>
      </c>
    </row>
    <row r="624" spans="1:7">
      <c r="A624" t="s">
        <v>681</v>
      </c>
      <c r="G624" t="s">
        <v>1118</v>
      </c>
    </row>
    <row r="625" spans="1:7">
      <c r="A625" t="s">
        <v>682</v>
      </c>
      <c r="G625" t="s">
        <v>1119</v>
      </c>
    </row>
    <row r="626" spans="1:7">
      <c r="A626" t="s">
        <v>683</v>
      </c>
      <c r="G626" t="s">
        <v>1120</v>
      </c>
    </row>
    <row r="627" spans="1:7">
      <c r="A627" t="s">
        <v>684</v>
      </c>
      <c r="G627" t="s">
        <v>1121</v>
      </c>
    </row>
    <row r="628" spans="1:7">
      <c r="A628" t="s">
        <v>685</v>
      </c>
      <c r="G628" t="s">
        <v>1120</v>
      </c>
    </row>
    <row r="629" spans="1:7">
      <c r="A629" t="s">
        <v>684</v>
      </c>
      <c r="G629" t="s">
        <v>1122</v>
      </c>
    </row>
    <row r="630" spans="1:7">
      <c r="A630" t="s">
        <v>686</v>
      </c>
      <c r="G630" t="s">
        <v>1123</v>
      </c>
    </row>
    <row r="631" spans="1:7">
      <c r="A631" t="s">
        <v>687</v>
      </c>
      <c r="G631" t="s">
        <v>1124</v>
      </c>
    </row>
    <row r="632" spans="1:7">
      <c r="A632" t="s">
        <v>685</v>
      </c>
      <c r="G632" t="s">
        <v>1125</v>
      </c>
    </row>
    <row r="633" spans="1:7">
      <c r="A633" t="s">
        <v>688</v>
      </c>
      <c r="G633" t="s">
        <v>1126</v>
      </c>
    </row>
    <row r="634" spans="1:7">
      <c r="A634" t="s">
        <v>685</v>
      </c>
      <c r="G634" t="s">
        <v>1127</v>
      </c>
    </row>
    <row r="635" spans="1:7">
      <c r="A635" t="s">
        <v>689</v>
      </c>
      <c r="G635" t="s">
        <v>1128</v>
      </c>
    </row>
    <row r="636" spans="1:7">
      <c r="A636" t="s">
        <v>690</v>
      </c>
      <c r="G636" t="s">
        <v>1126</v>
      </c>
    </row>
    <row r="637" spans="1:7">
      <c r="A637" t="s">
        <v>691</v>
      </c>
      <c r="G637" t="s">
        <v>1127</v>
      </c>
    </row>
    <row r="638" spans="1:7">
      <c r="A638" t="s">
        <v>692</v>
      </c>
      <c r="G638" t="s">
        <v>1129</v>
      </c>
    </row>
    <row r="639" spans="1:7">
      <c r="A639" t="s">
        <v>693</v>
      </c>
      <c r="G639" t="s">
        <v>1130</v>
      </c>
    </row>
    <row r="640" spans="1:7">
      <c r="A640" t="s">
        <v>694</v>
      </c>
      <c r="G640" t="s">
        <v>1131</v>
      </c>
    </row>
    <row r="641" spans="1:7">
      <c r="A641" t="s">
        <v>695</v>
      </c>
      <c r="G641" t="s">
        <v>1132</v>
      </c>
    </row>
    <row r="642" spans="1:7">
      <c r="A642" t="s">
        <v>696</v>
      </c>
      <c r="G642" t="s">
        <v>1133</v>
      </c>
    </row>
    <row r="643" spans="1:7">
      <c r="A643" t="s">
        <v>697</v>
      </c>
      <c r="G643" t="s">
        <v>1134</v>
      </c>
    </row>
    <row r="644" spans="1:7">
      <c r="A644" t="s">
        <v>698</v>
      </c>
      <c r="G644" t="s">
        <v>1135</v>
      </c>
    </row>
    <row r="645" spans="1:7">
      <c r="A645" t="s">
        <v>699</v>
      </c>
      <c r="G645" t="s">
        <v>1136</v>
      </c>
    </row>
    <row r="646" spans="1:7">
      <c r="A646" t="s">
        <v>700</v>
      </c>
      <c r="G646" t="s">
        <v>1132</v>
      </c>
    </row>
    <row r="647" spans="1:7">
      <c r="A647" t="s">
        <v>701</v>
      </c>
      <c r="G647" t="s">
        <v>1137</v>
      </c>
    </row>
    <row r="648" spans="1:7">
      <c r="A648" t="s">
        <v>702</v>
      </c>
      <c r="G648" t="s">
        <v>1138</v>
      </c>
    </row>
    <row r="649" spans="1:7">
      <c r="A649" t="s">
        <v>703</v>
      </c>
      <c r="G649" t="s">
        <v>1139</v>
      </c>
    </row>
    <row r="650" spans="1:7">
      <c r="A650" t="s">
        <v>704</v>
      </c>
      <c r="G650" t="s">
        <v>1140</v>
      </c>
    </row>
    <row r="651" spans="1:7">
      <c r="A651" t="s">
        <v>705</v>
      </c>
      <c r="G651" t="s">
        <v>1137</v>
      </c>
    </row>
    <row r="652" spans="1:7">
      <c r="A652" t="s">
        <v>706</v>
      </c>
      <c r="G652" t="s">
        <v>1141</v>
      </c>
    </row>
    <row r="653" spans="1:7">
      <c r="A653" t="s">
        <v>707</v>
      </c>
      <c r="G653" t="s">
        <v>1142</v>
      </c>
    </row>
    <row r="654" spans="1:7">
      <c r="A654" t="s">
        <v>708</v>
      </c>
      <c r="G654" t="s">
        <v>1143</v>
      </c>
    </row>
    <row r="655" spans="1:7">
      <c r="A655" t="s">
        <v>709</v>
      </c>
      <c r="G655" t="s">
        <v>1144</v>
      </c>
    </row>
    <row r="656" spans="1:7">
      <c r="A656" t="s">
        <v>710</v>
      </c>
      <c r="G656" t="s">
        <v>1145</v>
      </c>
    </row>
    <row r="657" spans="1:7">
      <c r="A657" t="s">
        <v>711</v>
      </c>
      <c r="G657" t="s">
        <v>1144</v>
      </c>
    </row>
    <row r="658" spans="1:7">
      <c r="A658" t="s">
        <v>712</v>
      </c>
      <c r="G658" t="s">
        <v>1146</v>
      </c>
    </row>
    <row r="659" spans="1:7">
      <c r="A659" t="s">
        <v>713</v>
      </c>
      <c r="G659" t="s">
        <v>1147</v>
      </c>
    </row>
    <row r="660" spans="1:7">
      <c r="A660" t="s">
        <v>714</v>
      </c>
      <c r="G660" t="s">
        <v>1148</v>
      </c>
    </row>
    <row r="661" spans="1:7">
      <c r="A661" t="s">
        <v>715</v>
      </c>
      <c r="G661" t="s">
        <v>712</v>
      </c>
    </row>
    <row r="662" spans="1:7">
      <c r="A662" t="s">
        <v>716</v>
      </c>
      <c r="G662" t="s">
        <v>1149</v>
      </c>
    </row>
    <row r="663" spans="1:7">
      <c r="A663" t="s">
        <v>717</v>
      </c>
      <c r="G663" t="s">
        <v>1150</v>
      </c>
    </row>
    <row r="664" spans="1:7">
      <c r="A664" t="s">
        <v>718</v>
      </c>
      <c r="G664" t="s">
        <v>1151</v>
      </c>
    </row>
    <row r="665" spans="1:7">
      <c r="A665" t="s">
        <v>719</v>
      </c>
      <c r="G665" t="s">
        <v>1152</v>
      </c>
    </row>
    <row r="666" spans="1:7">
      <c r="A666" t="s">
        <v>720</v>
      </c>
      <c r="G666" t="s">
        <v>1153</v>
      </c>
    </row>
    <row r="667" spans="1:7">
      <c r="A667" t="s">
        <v>721</v>
      </c>
      <c r="G667" t="s">
        <v>1154</v>
      </c>
    </row>
    <row r="668" spans="1:7">
      <c r="A668" t="s">
        <v>722</v>
      </c>
      <c r="G668" t="s">
        <v>1155</v>
      </c>
    </row>
    <row r="669" spans="1:7">
      <c r="A669" t="s">
        <v>723</v>
      </c>
      <c r="G669" t="s">
        <v>1156</v>
      </c>
    </row>
    <row r="670" spans="1:7">
      <c r="A670" t="s">
        <v>724</v>
      </c>
      <c r="G670" t="s">
        <v>1157</v>
      </c>
    </row>
    <row r="671" spans="1:7">
      <c r="A671" t="s">
        <v>725</v>
      </c>
      <c r="G671" t="s">
        <v>1158</v>
      </c>
    </row>
    <row r="672" spans="1:7">
      <c r="A672" t="s">
        <v>726</v>
      </c>
      <c r="G672" t="s">
        <v>1159</v>
      </c>
    </row>
    <row r="673" spans="1:7">
      <c r="A673" t="s">
        <v>727</v>
      </c>
      <c r="G673" t="s">
        <v>1160</v>
      </c>
    </row>
    <row r="674" spans="1:7">
      <c r="A674" t="s">
        <v>728</v>
      </c>
      <c r="G674" t="s">
        <v>1161</v>
      </c>
    </row>
    <row r="675" spans="1:7">
      <c r="A675" s="66" t="s">
        <v>729</v>
      </c>
      <c r="B675" s="66"/>
      <c r="G675" t="s">
        <v>719</v>
      </c>
    </row>
    <row r="676" spans="1:7">
      <c r="A676" s="66" t="s">
        <v>730</v>
      </c>
      <c r="B676" s="66"/>
      <c r="G676" t="s">
        <v>1162</v>
      </c>
    </row>
    <row r="677" spans="1:7">
      <c r="A677" s="66" t="s">
        <v>731</v>
      </c>
      <c r="B677" s="66"/>
      <c r="G677" t="s">
        <v>1163</v>
      </c>
    </row>
    <row r="678" spans="1:7">
      <c r="A678" s="66" t="s">
        <v>731</v>
      </c>
      <c r="B678" s="66"/>
      <c r="G678" t="s">
        <v>1164</v>
      </c>
    </row>
    <row r="679" spans="1:7">
      <c r="A679" s="66" t="s">
        <v>732</v>
      </c>
      <c r="B679" s="66"/>
      <c r="G679" t="s">
        <v>1165</v>
      </c>
    </row>
    <row r="680" spans="1:7">
      <c r="A680" s="66" t="s">
        <v>733</v>
      </c>
      <c r="B680" s="66"/>
      <c r="G680" s="66" t="s">
        <v>1166</v>
      </c>
    </row>
    <row r="681" spans="1:7">
      <c r="A681" t="s">
        <v>734</v>
      </c>
      <c r="G681" s="66" t="s">
        <v>1166</v>
      </c>
    </row>
    <row r="682" spans="1:7">
      <c r="A682" t="s">
        <v>735</v>
      </c>
      <c r="G682" s="66" t="s">
        <v>1167</v>
      </c>
    </row>
    <row r="683" spans="1:7">
      <c r="A683" t="s">
        <v>736</v>
      </c>
      <c r="G683" s="66" t="s">
        <v>1168</v>
      </c>
    </row>
    <row r="684" spans="1:7">
      <c r="A684" t="s">
        <v>737</v>
      </c>
      <c r="G684" s="66" t="s">
        <v>1168</v>
      </c>
    </row>
    <row r="685" spans="1:7">
      <c r="A685" t="s">
        <v>734</v>
      </c>
      <c r="G685" s="66" t="s">
        <v>729</v>
      </c>
    </row>
    <row r="686" spans="1:7">
      <c r="A686" t="s">
        <v>738</v>
      </c>
      <c r="G686" t="s">
        <v>1169</v>
      </c>
    </row>
    <row r="687" spans="1:7">
      <c r="A687" t="s">
        <v>739</v>
      </c>
      <c r="G687" t="s">
        <v>1170</v>
      </c>
    </row>
    <row r="688" spans="1:7">
      <c r="A688" t="s">
        <v>740</v>
      </c>
      <c r="G688" t="s">
        <v>1171</v>
      </c>
    </row>
    <row r="689" spans="1:7">
      <c r="A689" t="s">
        <v>741</v>
      </c>
      <c r="G689" t="s">
        <v>1172</v>
      </c>
    </row>
    <row r="690" spans="1:7">
      <c r="A690" t="s">
        <v>742</v>
      </c>
      <c r="G690" t="s">
        <v>1173</v>
      </c>
    </row>
    <row r="691" spans="1:7">
      <c r="A691" t="s">
        <v>743</v>
      </c>
      <c r="G691" t="s">
        <v>1174</v>
      </c>
    </row>
    <row r="692" spans="1:7">
      <c r="A692" t="s">
        <v>744</v>
      </c>
      <c r="G692" t="s">
        <v>1175</v>
      </c>
    </row>
    <row r="693" spans="1:7">
      <c r="A693" t="s">
        <v>745</v>
      </c>
      <c r="G693" t="s">
        <v>1176</v>
      </c>
    </row>
    <row r="694" spans="1:7">
      <c r="A694" t="s">
        <v>746</v>
      </c>
      <c r="G694" t="s">
        <v>1176</v>
      </c>
    </row>
    <row r="695" spans="1:7">
      <c r="A695" t="s">
        <v>747</v>
      </c>
      <c r="G695" t="s">
        <v>1177</v>
      </c>
    </row>
    <row r="696" spans="1:7">
      <c r="A696" t="s">
        <v>748</v>
      </c>
      <c r="G696" t="s">
        <v>1178</v>
      </c>
    </row>
    <row r="697" spans="1:7">
      <c r="A697" s="66" t="s">
        <v>749</v>
      </c>
      <c r="B697" s="66"/>
      <c r="G697" t="s">
        <v>1179</v>
      </c>
    </row>
    <row r="698" spans="1:7">
      <c r="A698" s="66" t="s">
        <v>750</v>
      </c>
      <c r="B698" s="66"/>
      <c r="G698" t="s">
        <v>1179</v>
      </c>
    </row>
    <row r="699" spans="1:7">
      <c r="A699" t="s">
        <v>751</v>
      </c>
      <c r="G699" t="s">
        <v>1180</v>
      </c>
    </row>
    <row r="700" spans="1:7">
      <c r="A700" s="66" t="s">
        <v>752</v>
      </c>
      <c r="B700" s="66"/>
      <c r="G700" t="s">
        <v>1181</v>
      </c>
    </row>
    <row r="701" spans="1:7">
      <c r="A701" s="66" t="s">
        <v>753</v>
      </c>
      <c r="B701" s="66"/>
      <c r="G701" t="s">
        <v>1182</v>
      </c>
    </row>
    <row r="702" spans="1:7">
      <c r="A702" s="66" t="s">
        <v>754</v>
      </c>
      <c r="B702" s="66"/>
      <c r="G702" t="s">
        <v>1183</v>
      </c>
    </row>
    <row r="703" spans="1:7">
      <c r="A703" s="66" t="s">
        <v>755</v>
      </c>
      <c r="B703" s="66"/>
      <c r="G703" t="s">
        <v>1184</v>
      </c>
    </row>
    <row r="704" spans="1:7">
      <c r="A704" s="66" t="s">
        <v>756</v>
      </c>
      <c r="B704" s="66"/>
      <c r="G704" t="s">
        <v>1185</v>
      </c>
    </row>
    <row r="705" spans="1:7">
      <c r="A705" t="s">
        <v>757</v>
      </c>
      <c r="G705" t="s">
        <v>1185</v>
      </c>
    </row>
    <row r="706" spans="1:7">
      <c r="A706" s="66" t="s">
        <v>758</v>
      </c>
      <c r="B706" s="66"/>
      <c r="G706" t="s">
        <v>751</v>
      </c>
    </row>
    <row r="707" spans="1:7">
      <c r="A707" s="66" t="s">
        <v>759</v>
      </c>
      <c r="B707" s="66"/>
      <c r="G707" s="66" t="s">
        <v>1186</v>
      </c>
    </row>
    <row r="708" spans="1:7">
      <c r="A708" s="66" t="s">
        <v>760</v>
      </c>
      <c r="B708" s="66"/>
      <c r="G708" s="66" t="s">
        <v>1187</v>
      </c>
    </row>
    <row r="709" spans="1:7">
      <c r="A709" s="66" t="s">
        <v>761</v>
      </c>
      <c r="B709" s="66"/>
      <c r="G709" t="s">
        <v>748</v>
      </c>
    </row>
    <row r="710" spans="1:7">
      <c r="A710" s="66" t="s">
        <v>762</v>
      </c>
      <c r="B710" s="66"/>
      <c r="G710" s="66" t="s">
        <v>1188</v>
      </c>
    </row>
    <row r="711" spans="1:7">
      <c r="A711" s="66" t="s">
        <v>763</v>
      </c>
      <c r="B711" s="66"/>
      <c r="G711" s="66" t="s">
        <v>1189</v>
      </c>
    </row>
    <row r="712" spans="1:7">
      <c r="A712" s="66" t="s">
        <v>764</v>
      </c>
      <c r="B712" s="66"/>
      <c r="G712" s="66" t="s">
        <v>1190</v>
      </c>
    </row>
    <row r="713" spans="1:7">
      <c r="A713" s="66" t="s">
        <v>765</v>
      </c>
      <c r="B713" s="66"/>
      <c r="G713" s="66" t="s">
        <v>765</v>
      </c>
    </row>
    <row r="714" spans="1:7">
      <c r="A714" s="66" t="s">
        <v>766</v>
      </c>
      <c r="B714" s="66"/>
      <c r="G714" s="66" t="s">
        <v>1191</v>
      </c>
    </row>
    <row r="715" spans="1:7">
      <c r="A715" s="66" t="s">
        <v>767</v>
      </c>
      <c r="B715" s="66"/>
      <c r="G715" s="66" t="s">
        <v>1192</v>
      </c>
    </row>
    <row r="716" spans="1:7">
      <c r="A716" s="66" t="s">
        <v>768</v>
      </c>
      <c r="B716" s="66"/>
      <c r="G716" s="66" t="s">
        <v>1193</v>
      </c>
    </row>
    <row r="717" spans="1:7">
      <c r="A717" s="66" t="s">
        <v>769</v>
      </c>
      <c r="B717" s="66"/>
      <c r="G717" s="66" t="s">
        <v>1194</v>
      </c>
    </row>
    <row r="718" spans="1:7">
      <c r="A718" s="66" t="s">
        <v>770</v>
      </c>
      <c r="B718" s="66"/>
      <c r="G718" s="66" t="s">
        <v>1195</v>
      </c>
    </row>
    <row r="719" spans="1:7">
      <c r="A719" s="66" t="s">
        <v>771</v>
      </c>
      <c r="B719" s="66"/>
      <c r="G719" t="s">
        <v>1196</v>
      </c>
    </row>
    <row r="720" spans="1:7">
      <c r="A720" s="66" t="s">
        <v>772</v>
      </c>
      <c r="B720" s="66"/>
      <c r="G720" t="s">
        <v>1197</v>
      </c>
    </row>
    <row r="721" spans="1:7">
      <c r="A721" s="66" t="s">
        <v>773</v>
      </c>
      <c r="B721" s="66"/>
      <c r="G721" t="s">
        <v>1198</v>
      </c>
    </row>
    <row r="722" spans="1:7">
      <c r="A722" s="66" t="s">
        <v>774</v>
      </c>
      <c r="B722" s="66"/>
      <c r="G722" t="s">
        <v>1199</v>
      </c>
    </row>
    <row r="723" spans="1:7">
      <c r="A723" s="66" t="s">
        <v>775</v>
      </c>
      <c r="B723" s="66"/>
      <c r="G723" t="s">
        <v>1200</v>
      </c>
    </row>
    <row r="724" spans="1:7">
      <c r="A724" t="s">
        <v>776</v>
      </c>
      <c r="G724" t="s">
        <v>1201</v>
      </c>
    </row>
    <row r="725" spans="1:7">
      <c r="A725" t="s">
        <v>777</v>
      </c>
      <c r="G725" s="66" t="s">
        <v>1202</v>
      </c>
    </row>
    <row r="726" spans="1:7">
      <c r="A726" t="s">
        <v>778</v>
      </c>
      <c r="G726" s="66" t="s">
        <v>1203</v>
      </c>
    </row>
    <row r="727" spans="1:7">
      <c r="A727" s="66" t="s">
        <v>779</v>
      </c>
      <c r="B727" s="66"/>
      <c r="G727" s="66" t="s">
        <v>1202</v>
      </c>
    </row>
    <row r="728" spans="1:7">
      <c r="A728" s="66" t="s">
        <v>780</v>
      </c>
      <c r="B728" s="66"/>
      <c r="G728" t="s">
        <v>1204</v>
      </c>
    </row>
    <row r="729" spans="1:7">
      <c r="A729" s="66" t="s">
        <v>781</v>
      </c>
      <c r="B729" s="66"/>
      <c r="G729" t="s">
        <v>1205</v>
      </c>
    </row>
    <row r="730" spans="1:7">
      <c r="A730" s="66" t="s">
        <v>782</v>
      </c>
      <c r="B730" s="66"/>
      <c r="G730" t="s">
        <v>1206</v>
      </c>
    </row>
    <row r="731" spans="1:7">
      <c r="A731" s="66" t="s">
        <v>783</v>
      </c>
      <c r="B731" s="66"/>
      <c r="G731" t="s">
        <v>1207</v>
      </c>
    </row>
    <row r="732" spans="1:7">
      <c r="A732" s="66" t="s">
        <v>784</v>
      </c>
      <c r="B732" s="66"/>
      <c r="G732" t="s">
        <v>1208</v>
      </c>
    </row>
    <row r="733" spans="1:7">
      <c r="A733" s="66" t="s">
        <v>785</v>
      </c>
      <c r="B733" s="66"/>
      <c r="G733" t="s">
        <v>1209</v>
      </c>
    </row>
    <row r="734" spans="1:7">
      <c r="A734" s="66" t="s">
        <v>786</v>
      </c>
      <c r="B734" s="66"/>
      <c r="G734" t="s">
        <v>778</v>
      </c>
    </row>
    <row r="735" spans="1:7">
      <c r="A735" t="s">
        <v>787</v>
      </c>
      <c r="G735" s="66" t="s">
        <v>786</v>
      </c>
    </row>
    <row r="736" spans="1:7">
      <c r="A736" t="s">
        <v>788</v>
      </c>
      <c r="G736" s="66" t="s">
        <v>1210</v>
      </c>
    </row>
    <row r="737" spans="1:7">
      <c r="A737" t="s">
        <v>789</v>
      </c>
      <c r="G737" s="66" t="s">
        <v>1211</v>
      </c>
    </row>
    <row r="738" spans="1:7">
      <c r="A738" t="s">
        <v>790</v>
      </c>
      <c r="G738" s="66" t="s">
        <v>1212</v>
      </c>
    </row>
    <row r="739" spans="1:7">
      <c r="A739" t="s">
        <v>791</v>
      </c>
      <c r="G739" t="s">
        <v>1213</v>
      </c>
    </row>
    <row r="740" spans="1:7">
      <c r="A740" t="s">
        <v>792</v>
      </c>
      <c r="G740" t="s">
        <v>1214</v>
      </c>
    </row>
    <row r="741" spans="1:7">
      <c r="A741" t="s">
        <v>793</v>
      </c>
      <c r="G741" t="s">
        <v>1215</v>
      </c>
    </row>
    <row r="742" spans="1:7">
      <c r="A742" t="s">
        <v>794</v>
      </c>
      <c r="G742" t="s">
        <v>1216</v>
      </c>
    </row>
    <row r="743" spans="1:7">
      <c r="A743" t="s">
        <v>795</v>
      </c>
      <c r="G743" t="s">
        <v>1217</v>
      </c>
    </row>
    <row r="744" spans="1:7">
      <c r="G744" t="s">
        <v>1218</v>
      </c>
    </row>
    <row r="745" spans="1:7">
      <c r="A745" t="s">
        <v>796</v>
      </c>
      <c r="G745" t="s">
        <v>1219</v>
      </c>
    </row>
    <row r="746" spans="1:7">
      <c r="G746" t="s">
        <v>1220</v>
      </c>
    </row>
    <row r="747" spans="1:7">
      <c r="A747" t="s">
        <v>797</v>
      </c>
      <c r="G747" t="s">
        <v>1221</v>
      </c>
    </row>
    <row r="748" spans="1:7">
      <c r="G748" t="s">
        <v>1222</v>
      </c>
    </row>
    <row r="749" spans="1:7">
      <c r="A749" t="s">
        <v>798</v>
      </c>
    </row>
    <row r="750" spans="1:7">
      <c r="A750" t="s">
        <v>799</v>
      </c>
      <c r="G750" t="s">
        <v>796</v>
      </c>
    </row>
    <row r="752" spans="1:7">
      <c r="G752" t="s">
        <v>797</v>
      </c>
    </row>
    <row r="754" spans="7:8">
      <c r="G754" t="s">
        <v>798</v>
      </c>
    </row>
    <row r="755" spans="7:8">
      <c r="G755" t="s">
        <v>799</v>
      </c>
    </row>
    <row r="758" spans="7:8">
      <c r="G758" t="s">
        <v>226</v>
      </c>
    </row>
    <row r="760" spans="7:8">
      <c r="G760" t="s">
        <v>227</v>
      </c>
    </row>
    <row r="761" spans="7:8">
      <c r="G761" t="s">
        <v>240</v>
      </c>
      <c r="H761" t="s">
        <v>229</v>
      </c>
    </row>
    <row r="762" spans="7:8">
      <c r="G762" t="s">
        <v>230</v>
      </c>
      <c r="H762" t="s">
        <v>231</v>
      </c>
    </row>
    <row r="763" spans="7:8">
      <c r="G763" t="s">
        <v>232</v>
      </c>
      <c r="H763" t="s">
        <v>233</v>
      </c>
    </row>
    <row r="764" spans="7:8">
      <c r="G764" t="s">
        <v>228</v>
      </c>
      <c r="H764" t="s">
        <v>824</v>
      </c>
    </row>
    <row r="766" spans="7:8">
      <c r="G766" t="s">
        <v>235</v>
      </c>
      <c r="H766" t="s">
        <v>236</v>
      </c>
    </row>
    <row r="767" spans="7:8">
      <c r="G767" t="s">
        <v>235</v>
      </c>
      <c r="H767" t="s">
        <v>237</v>
      </c>
    </row>
    <row r="768" spans="7:8">
      <c r="G768" t="s">
        <v>235</v>
      </c>
      <c r="H768" t="s">
        <v>238</v>
      </c>
    </row>
    <row r="769" spans="7:8">
      <c r="G769" t="s">
        <v>235</v>
      </c>
      <c r="H769" t="s">
        <v>1223</v>
      </c>
    </row>
    <row r="771" spans="7:8">
      <c r="G771" t="s">
        <v>240</v>
      </c>
      <c r="H771" t="s">
        <v>241</v>
      </c>
    </row>
    <row r="772" spans="7:8">
      <c r="G772" t="s">
        <v>232</v>
      </c>
      <c r="H772" t="s">
        <v>242</v>
      </c>
    </row>
    <row r="773" spans="7:8">
      <c r="G773" t="s">
        <v>47</v>
      </c>
      <c r="H773" t="s">
        <v>243</v>
      </c>
    </row>
    <row r="774" spans="7:8">
      <c r="G774" t="s">
        <v>228</v>
      </c>
      <c r="H774" t="s">
        <v>244</v>
      </c>
    </row>
    <row r="776" spans="7:8">
      <c r="G776" t="s">
        <v>240</v>
      </c>
      <c r="H776" t="s">
        <v>1224</v>
      </c>
    </row>
    <row r="778" spans="7:8">
      <c r="G778" t="s">
        <v>1225</v>
      </c>
    </row>
  </sheetData>
  <mergeCells count="3">
    <mergeCell ref="A49:B49"/>
    <mergeCell ref="G49:H49"/>
    <mergeCell ref="N49:O49"/>
  </mergeCells>
  <pageMargins left="0.7" right="0.7" top="0.75" bottom="0.75" header="0.3" footer="0.3"/>
  <pageSetup paperSize="9" scale="5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F8525-8CC5-4B10-90BC-971D68DB0AD6}">
  <dimension ref="A1:AR75"/>
  <sheetViews>
    <sheetView topLeftCell="A28" workbookViewId="0">
      <selection activeCell="G42" sqref="G42"/>
    </sheetView>
  </sheetViews>
  <sheetFormatPr defaultRowHeight="14.5"/>
  <cols>
    <col min="5" max="5" width="9.1796875" bestFit="1" customWidth="1"/>
    <col min="6" max="6" width="15.54296875" bestFit="1" customWidth="1"/>
    <col min="7" max="7" width="36.1796875" bestFit="1" customWidth="1"/>
  </cols>
  <sheetData>
    <row r="1" spans="1:44">
      <c r="A1" s="1" t="s">
        <v>145</v>
      </c>
      <c r="B1" s="1" t="s">
        <v>146</v>
      </c>
      <c r="C1" s="1" t="s">
        <v>147</v>
      </c>
      <c r="D1" s="96" t="s">
        <v>148</v>
      </c>
      <c r="E1" s="97" t="s">
        <v>149</v>
      </c>
      <c r="F1" s="97" t="s">
        <v>1366</v>
      </c>
      <c r="G1" s="1" t="s">
        <v>1367</v>
      </c>
      <c r="H1" s="76" t="s">
        <v>1370</v>
      </c>
    </row>
    <row r="2" spans="1:44">
      <c r="A2" s="110" t="s">
        <v>1337</v>
      </c>
      <c r="D2" s="111" t="s">
        <v>174</v>
      </c>
      <c r="E2" s="105" t="s">
        <v>175</v>
      </c>
      <c r="F2" s="105"/>
    </row>
    <row r="3" spans="1:44">
      <c r="A3" s="123"/>
      <c r="D3" s="111"/>
      <c r="E3" s="124" t="s">
        <v>191</v>
      </c>
      <c r="F3" s="124"/>
      <c r="H3" t="s">
        <v>1368</v>
      </c>
    </row>
    <row r="4" spans="1:44">
      <c r="A4" s="129" t="s">
        <v>215</v>
      </c>
      <c r="B4" s="130"/>
      <c r="C4" s="1"/>
      <c r="D4" s="96" t="s">
        <v>200</v>
      </c>
      <c r="E4" s="97" t="s">
        <v>201</v>
      </c>
      <c r="F4" s="97"/>
    </row>
    <row r="5" spans="1:44" s="151" customFormat="1">
      <c r="A5" s="148" t="s">
        <v>1950</v>
      </c>
      <c r="B5" s="149" t="s">
        <v>217</v>
      </c>
      <c r="C5" s="150"/>
      <c r="E5" s="152"/>
      <c r="F5" s="153"/>
      <c r="G5" s="148"/>
      <c r="H5" s="185" t="s">
        <v>218</v>
      </c>
      <c r="I5" s="154" t="s">
        <v>220</v>
      </c>
      <c r="J5" s="155"/>
      <c r="K5" s="155"/>
      <c r="L5" s="155"/>
      <c r="M5" s="156"/>
      <c r="N5" s="156"/>
      <c r="O5" s="156"/>
      <c r="P5" s="156"/>
      <c r="Q5" s="157"/>
      <c r="R5" s="155"/>
      <c r="S5" s="155"/>
      <c r="T5" s="158"/>
      <c r="U5" s="158"/>
      <c r="V5" s="159"/>
      <c r="W5" s="145"/>
      <c r="X5" s="146"/>
      <c r="Y5" s="160"/>
      <c r="Z5" s="155"/>
      <c r="AA5" s="155"/>
      <c r="AB5" s="161"/>
      <c r="AC5" s="161"/>
      <c r="AD5" s="162"/>
      <c r="AE5" s="162"/>
      <c r="AG5" s="162"/>
      <c r="AH5" s="148"/>
      <c r="AJ5" s="154"/>
      <c r="AL5" s="155"/>
      <c r="AM5" s="163"/>
      <c r="AN5" s="164"/>
      <c r="AO5" s="155"/>
      <c r="AP5" s="155"/>
      <c r="AQ5" s="155"/>
      <c r="AR5" s="155"/>
    </row>
    <row r="6" spans="1:44">
      <c r="A6">
        <f>main!A7</f>
        <v>2019</v>
      </c>
      <c r="B6" t="str">
        <f>main!B7</f>
        <v>47_1000</v>
      </c>
      <c r="C6" t="str">
        <f>main!C7</f>
        <v>D 1</v>
      </c>
      <c r="D6">
        <f>main!D7</f>
        <v>8</v>
      </c>
      <c r="E6">
        <f>main!E7</f>
        <v>877.15714285714284</v>
      </c>
      <c r="F6" s="67">
        <v>44090</v>
      </c>
      <c r="G6" t="s">
        <v>1369</v>
      </c>
      <c r="H6" t="s">
        <v>1371</v>
      </c>
    </row>
    <row r="7" spans="1:44">
      <c r="A7">
        <f>main!A8</f>
        <v>2019</v>
      </c>
      <c r="B7" t="str">
        <f>main!B8</f>
        <v>47_1000</v>
      </c>
      <c r="C7">
        <f>main!C8</f>
        <v>2</v>
      </c>
      <c r="D7">
        <f>main!D8</f>
        <v>6</v>
      </c>
      <c r="E7">
        <f>main!E8</f>
        <v>537.64285714285722</v>
      </c>
      <c r="F7" s="67">
        <v>44090</v>
      </c>
      <c r="G7" t="s">
        <v>1373</v>
      </c>
      <c r="H7" t="s">
        <v>1371</v>
      </c>
    </row>
    <row r="8" spans="1:44">
      <c r="A8">
        <f>main!A9</f>
        <v>2019</v>
      </c>
      <c r="B8" t="str">
        <f>main!B9</f>
        <v>47_1000</v>
      </c>
      <c r="C8">
        <f>main!C9</f>
        <v>3</v>
      </c>
      <c r="D8">
        <f>main!D9</f>
        <v>2</v>
      </c>
      <c r="E8">
        <f>main!E9</f>
        <v>232.68571428571425</v>
      </c>
      <c r="F8" s="67">
        <v>44090</v>
      </c>
      <c r="H8" t="s">
        <v>1371</v>
      </c>
    </row>
    <row r="9" spans="1:44">
      <c r="A9">
        <f>main!A10</f>
        <v>2019</v>
      </c>
      <c r="B9" t="str">
        <f>main!B10</f>
        <v>47_1000</v>
      </c>
      <c r="C9">
        <f>main!C10</f>
        <v>4</v>
      </c>
      <c r="D9">
        <f>main!D10</f>
        <v>10</v>
      </c>
      <c r="E9">
        <f>main!E10</f>
        <v>398.94285714285718</v>
      </c>
      <c r="F9" s="67">
        <v>44090</v>
      </c>
      <c r="H9" t="s">
        <v>1371</v>
      </c>
    </row>
    <row r="10" spans="1:44">
      <c r="A10">
        <f>main!A11</f>
        <v>2019</v>
      </c>
      <c r="B10" t="str">
        <f>main!B11</f>
        <v>47_1000</v>
      </c>
      <c r="C10">
        <f>main!C11</f>
        <v>5</v>
      </c>
      <c r="D10">
        <f>main!D11</f>
        <v>6</v>
      </c>
      <c r="E10">
        <f>main!E11</f>
        <v>286.78571428571428</v>
      </c>
      <c r="F10" s="67">
        <v>44090</v>
      </c>
      <c r="H10" t="s">
        <v>1371</v>
      </c>
    </row>
    <row r="11" spans="1:44">
      <c r="A11">
        <f>main!A12</f>
        <v>2019</v>
      </c>
      <c r="B11" t="str">
        <f>main!B12</f>
        <v>47_1000</v>
      </c>
      <c r="C11">
        <f>main!C12</f>
        <v>6</v>
      </c>
      <c r="D11">
        <f>main!D12</f>
        <v>5</v>
      </c>
      <c r="E11">
        <f>main!E12</f>
        <v>328.2285714285714</v>
      </c>
      <c r="F11" s="67">
        <v>44090</v>
      </c>
      <c r="H11" t="s">
        <v>1371</v>
      </c>
    </row>
    <row r="12" spans="1:44">
      <c r="A12">
        <f>main!A13</f>
        <v>2019</v>
      </c>
      <c r="B12" t="str">
        <f>main!B13</f>
        <v>47_1000</v>
      </c>
      <c r="C12">
        <f>main!C13</f>
        <v>7</v>
      </c>
      <c r="D12">
        <f>main!D13</f>
        <v>5</v>
      </c>
      <c r="E12">
        <f>main!E13</f>
        <v>183.15714285714284</v>
      </c>
      <c r="F12" s="67">
        <v>44090</v>
      </c>
      <c r="G12" t="s">
        <v>1374</v>
      </c>
      <c r="H12" t="s">
        <v>1371</v>
      </c>
    </row>
    <row r="13" spans="1:44">
      <c r="A13">
        <f>main!A14</f>
        <v>2019</v>
      </c>
      <c r="B13" t="str">
        <f>main!B14</f>
        <v>47_1000</v>
      </c>
      <c r="C13">
        <f>main!C14</f>
        <v>8</v>
      </c>
      <c r="D13" t="str">
        <f>main!D14</f>
        <v>1 (+large swimmers)</v>
      </c>
      <c r="E13">
        <f>main!E14</f>
        <v>89.5</v>
      </c>
      <c r="F13" s="67">
        <v>44090</v>
      </c>
      <c r="G13" t="s">
        <v>1375</v>
      </c>
      <c r="H13" t="s">
        <v>1371</v>
      </c>
    </row>
    <row r="14" spans="1:44">
      <c r="A14">
        <f>main!A15</f>
        <v>2019</v>
      </c>
      <c r="B14" t="str">
        <f>main!B15</f>
        <v>47_1000</v>
      </c>
      <c r="C14">
        <f>main!C15</f>
        <v>9</v>
      </c>
      <c r="D14">
        <f>main!D15</f>
        <v>3</v>
      </c>
      <c r="E14">
        <f>main!E15</f>
        <v>88.871428571428567</v>
      </c>
      <c r="F14" s="67">
        <v>44090</v>
      </c>
      <c r="H14" t="s">
        <v>1371</v>
      </c>
    </row>
    <row r="15" spans="1:44">
      <c r="A15">
        <f>main!A16</f>
        <v>2019</v>
      </c>
      <c r="B15" t="str">
        <f>main!B16</f>
        <v>47_1000</v>
      </c>
      <c r="C15">
        <f>main!C16</f>
        <v>10</v>
      </c>
      <c r="D15">
        <f>main!D16</f>
        <v>3</v>
      </c>
      <c r="E15">
        <f>main!E16</f>
        <v>175.98571428571429</v>
      </c>
      <c r="F15" s="67">
        <v>44090</v>
      </c>
      <c r="H15" t="s">
        <v>1371</v>
      </c>
    </row>
    <row r="16" spans="1:44">
      <c r="A16">
        <f>main!A17</f>
        <v>2019</v>
      </c>
      <c r="B16" t="str">
        <f>main!B17</f>
        <v>47_1000</v>
      </c>
      <c r="C16">
        <f>main!C17</f>
        <v>11</v>
      </c>
      <c r="D16">
        <f>main!D17</f>
        <v>5</v>
      </c>
      <c r="E16">
        <f>main!E17</f>
        <v>554.94285714285718</v>
      </c>
      <c r="F16" s="67">
        <v>44090</v>
      </c>
      <c r="H16" t="s">
        <v>1371</v>
      </c>
    </row>
    <row r="17" spans="1:44">
      <c r="A17">
        <f>main!A18</f>
        <v>2019</v>
      </c>
      <c r="B17" t="str">
        <f>main!B18</f>
        <v>47_1000</v>
      </c>
      <c r="C17">
        <f>main!C18</f>
        <v>12</v>
      </c>
      <c r="D17">
        <f>main!D18</f>
        <v>5</v>
      </c>
      <c r="E17">
        <f>main!E18</f>
        <v>863.91428571428582</v>
      </c>
      <c r="F17" s="67">
        <v>44091</v>
      </c>
      <c r="G17" t="s">
        <v>1373</v>
      </c>
      <c r="H17" t="s">
        <v>1371</v>
      </c>
    </row>
    <row r="18" spans="1:44">
      <c r="A18">
        <f>main!A19</f>
        <v>2019</v>
      </c>
      <c r="B18" t="str">
        <f>main!B19</f>
        <v>47_1000</v>
      </c>
      <c r="C18">
        <f>main!C19</f>
        <v>13</v>
      </c>
      <c r="D18">
        <f>main!D19</f>
        <v>15</v>
      </c>
      <c r="E18">
        <f>main!E19</f>
        <v>2098.2714285714287</v>
      </c>
      <c r="F18" s="67">
        <v>44091</v>
      </c>
      <c r="H18" t="s">
        <v>1371</v>
      </c>
    </row>
    <row r="19" spans="1:44">
      <c r="A19">
        <f>main!A20</f>
        <v>2019</v>
      </c>
      <c r="B19" t="str">
        <f>main!B20</f>
        <v>47_1000</v>
      </c>
      <c r="C19">
        <f>main!C20</f>
        <v>14</v>
      </c>
      <c r="D19">
        <f>main!D20</f>
        <v>10</v>
      </c>
      <c r="E19">
        <f>main!E20</f>
        <v>1958.8428571428572</v>
      </c>
      <c r="F19" s="67">
        <v>44091</v>
      </c>
      <c r="G19" t="s">
        <v>1376</v>
      </c>
      <c r="H19" t="s">
        <v>1371</v>
      </c>
    </row>
    <row r="20" spans="1:44">
      <c r="A20">
        <f>main!A21</f>
        <v>2019</v>
      </c>
      <c r="B20" t="str">
        <f>main!B21</f>
        <v>47_1000</v>
      </c>
      <c r="C20">
        <f>main!C21</f>
        <v>15</v>
      </c>
      <c r="D20">
        <f>main!D21</f>
        <v>10</v>
      </c>
      <c r="E20">
        <f>main!E21</f>
        <v>866.17142857142869</v>
      </c>
      <c r="F20" s="67">
        <v>44091</v>
      </c>
      <c r="H20" t="s">
        <v>1371</v>
      </c>
    </row>
    <row r="21" spans="1:44">
      <c r="A21">
        <f>main!A22</f>
        <v>2019</v>
      </c>
      <c r="B21" t="str">
        <f>main!B22</f>
        <v>47_1000</v>
      </c>
      <c r="C21">
        <f>main!C22</f>
        <v>16</v>
      </c>
      <c r="D21">
        <f>main!D22</f>
        <v>4</v>
      </c>
      <c r="E21">
        <f>main!E22</f>
        <v>390.62857142857138</v>
      </c>
      <c r="F21" s="67">
        <v>44091</v>
      </c>
      <c r="G21" t="s">
        <v>1377</v>
      </c>
      <c r="H21" t="s">
        <v>1371</v>
      </c>
    </row>
    <row r="22" spans="1:44">
      <c r="A22">
        <f>main!A23</f>
        <v>2019</v>
      </c>
      <c r="B22" t="str">
        <f>main!B23</f>
        <v>47_1000</v>
      </c>
      <c r="C22">
        <f>main!C23</f>
        <v>17</v>
      </c>
      <c r="D22">
        <f>main!D23</f>
        <v>5</v>
      </c>
      <c r="E22">
        <f>main!E23</f>
        <v>234.24285714285713</v>
      </c>
      <c r="F22" s="67">
        <v>44091</v>
      </c>
      <c r="G22" t="s">
        <v>1378</v>
      </c>
      <c r="H22" t="s">
        <v>1371</v>
      </c>
    </row>
    <row r="23" spans="1:44">
      <c r="A23">
        <f>main!A24</f>
        <v>2019</v>
      </c>
      <c r="B23" t="str">
        <f>main!B24</f>
        <v>47_1000</v>
      </c>
      <c r="C23">
        <f>main!C24</f>
        <v>18</v>
      </c>
      <c r="D23">
        <f>main!D24</f>
        <v>8</v>
      </c>
      <c r="E23">
        <f>main!E24</f>
        <v>250.32857142857148</v>
      </c>
      <c r="F23" s="67">
        <v>44091</v>
      </c>
      <c r="G23" t="s">
        <v>1379</v>
      </c>
      <c r="H23" t="s">
        <v>1371</v>
      </c>
    </row>
    <row r="24" spans="1:44">
      <c r="A24">
        <f>main!A25</f>
        <v>2019</v>
      </c>
      <c r="B24" t="str">
        <f>main!B25</f>
        <v>47_1000</v>
      </c>
      <c r="C24">
        <f>main!C25</f>
        <v>19</v>
      </c>
      <c r="D24">
        <f>main!D25</f>
        <v>10</v>
      </c>
      <c r="E24">
        <f>main!E25</f>
        <v>324.08571428571429</v>
      </c>
      <c r="F24" s="67">
        <v>44091</v>
      </c>
      <c r="G24" t="s">
        <v>1380</v>
      </c>
      <c r="H24" t="s">
        <v>1371</v>
      </c>
    </row>
    <row r="25" spans="1:44">
      <c r="A25">
        <f>main!A26</f>
        <v>2019</v>
      </c>
      <c r="B25" t="str">
        <f>main!B26</f>
        <v>47_1000</v>
      </c>
      <c r="C25">
        <f>main!C26</f>
        <v>20</v>
      </c>
      <c r="D25">
        <f>main!D26</f>
        <v>9</v>
      </c>
      <c r="E25">
        <f>main!E26</f>
        <v>238.44285714285715</v>
      </c>
      <c r="F25" s="67">
        <v>44091</v>
      </c>
      <c r="G25" t="s">
        <v>1382</v>
      </c>
      <c r="H25" t="s">
        <v>1371</v>
      </c>
    </row>
    <row r="26" spans="1:44">
      <c r="A26">
        <f>main!A27</f>
        <v>2019</v>
      </c>
      <c r="B26" t="str">
        <f>main!B27</f>
        <v>47_1000</v>
      </c>
      <c r="C26">
        <f>main!C27</f>
        <v>21</v>
      </c>
      <c r="D26">
        <f>main!D27</f>
        <v>7</v>
      </c>
      <c r="E26">
        <f>main!E27</f>
        <v>415.82857142857154</v>
      </c>
      <c r="F26" s="67">
        <v>44091</v>
      </c>
      <c r="G26" t="s">
        <v>1381</v>
      </c>
      <c r="H26" t="s">
        <v>1372</v>
      </c>
    </row>
    <row r="27" spans="1:44">
      <c r="A27" t="str">
        <f>main!A28</f>
        <v>Pick up 04/09/2020 IN2020_V09</v>
      </c>
    </row>
    <row r="29" spans="1:44" s="151" customFormat="1">
      <c r="A29" s="148" t="s">
        <v>213</v>
      </c>
      <c r="B29" s="149" t="s">
        <v>222</v>
      </c>
      <c r="C29" s="150"/>
      <c r="E29" s="152"/>
      <c r="F29" s="153"/>
      <c r="G29" s="148"/>
      <c r="H29" s="185" t="s">
        <v>218</v>
      </c>
      <c r="I29" s="154" t="s">
        <v>220</v>
      </c>
      <c r="J29" s="155"/>
      <c r="K29" s="155"/>
      <c r="L29" s="155"/>
      <c r="M29" s="156"/>
      <c r="N29" s="156"/>
      <c r="O29" s="156"/>
      <c r="P29" s="156"/>
      <c r="Q29" s="157"/>
      <c r="R29" s="155"/>
      <c r="S29" s="155"/>
      <c r="T29" s="158"/>
      <c r="U29" s="158"/>
      <c r="V29" s="159"/>
      <c r="W29" s="145"/>
      <c r="X29" s="146"/>
      <c r="Y29" s="160"/>
      <c r="Z29" s="155"/>
      <c r="AA29" s="155"/>
      <c r="AB29" s="161"/>
      <c r="AC29" s="161"/>
      <c r="AD29" s="162"/>
      <c r="AE29" s="162"/>
      <c r="AG29" s="162"/>
      <c r="AH29" s="148"/>
      <c r="AJ29" s="154"/>
      <c r="AL29" s="155"/>
      <c r="AM29" s="163"/>
      <c r="AN29" s="164"/>
      <c r="AO29" s="155"/>
      <c r="AP29" s="155"/>
      <c r="AQ29" s="155"/>
      <c r="AR29" s="155"/>
    </row>
    <row r="30" spans="1:44">
      <c r="A30">
        <f>main!A31</f>
        <v>2019</v>
      </c>
      <c r="B30" t="str">
        <f>main!B31</f>
        <v>47_2000</v>
      </c>
      <c r="C30" t="str">
        <f>main!C31</f>
        <v>E 1</v>
      </c>
      <c r="D30">
        <f>main!D31</f>
        <v>8</v>
      </c>
      <c r="E30">
        <f>main!E31</f>
        <v>736.7</v>
      </c>
      <c r="F30" s="67">
        <v>44091</v>
      </c>
      <c r="G30" t="s">
        <v>1384</v>
      </c>
      <c r="H30" t="s">
        <v>1383</v>
      </c>
    </row>
    <row r="31" spans="1:44">
      <c r="A31">
        <f>main!A32</f>
        <v>2019</v>
      </c>
      <c r="B31" t="str">
        <f>main!B32</f>
        <v>47_2000</v>
      </c>
      <c r="C31">
        <f>main!C32</f>
        <v>2</v>
      </c>
      <c r="D31">
        <f>main!D32</f>
        <v>8</v>
      </c>
      <c r="E31">
        <f>main!E32</f>
        <v>715.44285714285718</v>
      </c>
      <c r="F31" s="67">
        <v>44091</v>
      </c>
      <c r="G31" t="s">
        <v>1385</v>
      </c>
      <c r="H31" t="s">
        <v>1383</v>
      </c>
    </row>
    <row r="32" spans="1:44">
      <c r="A32">
        <f>main!A33</f>
        <v>2019</v>
      </c>
      <c r="B32" t="str">
        <f>main!B33</f>
        <v>47_2000</v>
      </c>
      <c r="C32">
        <f>main!C33</f>
        <v>3</v>
      </c>
      <c r="D32">
        <f>main!D33</f>
        <v>5</v>
      </c>
      <c r="E32">
        <f>main!E33</f>
        <v>476.64285714285711</v>
      </c>
      <c r="F32" s="67">
        <v>44091</v>
      </c>
      <c r="H32" t="s">
        <v>1383</v>
      </c>
    </row>
    <row r="33" spans="1:8">
      <c r="A33">
        <f>main!A34</f>
        <v>2019</v>
      </c>
      <c r="B33" t="str">
        <f>main!B34</f>
        <v>47_2000</v>
      </c>
      <c r="C33">
        <f>main!C34</f>
        <v>4</v>
      </c>
      <c r="D33">
        <f>main!D34</f>
        <v>12</v>
      </c>
      <c r="E33">
        <f>main!E34</f>
        <v>989.07142857142856</v>
      </c>
      <c r="F33" s="67">
        <v>44091</v>
      </c>
      <c r="G33" t="s">
        <v>1386</v>
      </c>
      <c r="H33" t="s">
        <v>1383</v>
      </c>
    </row>
    <row r="34" spans="1:8">
      <c r="A34">
        <f>main!A35</f>
        <v>2019</v>
      </c>
      <c r="B34" t="str">
        <f>main!B35</f>
        <v>47_2000</v>
      </c>
      <c r="C34">
        <f>main!C35</f>
        <v>5</v>
      </c>
      <c r="D34">
        <f>main!D35</f>
        <v>9</v>
      </c>
      <c r="E34">
        <f>main!E35</f>
        <v>407.71428571428567</v>
      </c>
      <c r="F34" s="67">
        <v>44091</v>
      </c>
      <c r="H34" t="s">
        <v>1383</v>
      </c>
    </row>
    <row r="35" spans="1:8">
      <c r="A35">
        <f>main!A36</f>
        <v>2019</v>
      </c>
      <c r="B35" t="str">
        <f>main!B36</f>
        <v>47_2000</v>
      </c>
      <c r="C35">
        <f>main!C36</f>
        <v>6</v>
      </c>
      <c r="D35">
        <f>main!D36</f>
        <v>8</v>
      </c>
      <c r="E35">
        <f>main!E36</f>
        <v>418.12857142857138</v>
      </c>
      <c r="F35" s="67">
        <v>44091</v>
      </c>
      <c r="H35" t="s">
        <v>1383</v>
      </c>
    </row>
    <row r="36" spans="1:8">
      <c r="A36">
        <f>main!A37</f>
        <v>2019</v>
      </c>
      <c r="B36" t="str">
        <f>main!B37</f>
        <v>47_2000</v>
      </c>
      <c r="C36">
        <f>main!C37</f>
        <v>7</v>
      </c>
      <c r="D36">
        <f>main!D37</f>
        <v>5</v>
      </c>
      <c r="E36">
        <f>main!E37</f>
        <v>277.61428571428576</v>
      </c>
      <c r="F36" s="67">
        <v>44092</v>
      </c>
      <c r="H36" t="s">
        <v>1383</v>
      </c>
    </row>
    <row r="37" spans="1:8">
      <c r="A37">
        <f>main!A38</f>
        <v>2019</v>
      </c>
      <c r="B37" t="str">
        <f>main!B38</f>
        <v>47_2000</v>
      </c>
      <c r="C37">
        <f>main!C38</f>
        <v>8</v>
      </c>
      <c r="D37">
        <f>main!D38</f>
        <v>2</v>
      </c>
      <c r="E37">
        <f>main!E38</f>
        <v>172.24285714285713</v>
      </c>
      <c r="F37" s="67">
        <v>44092</v>
      </c>
      <c r="H37" t="s">
        <v>1383</v>
      </c>
    </row>
    <row r="38" spans="1:8">
      <c r="A38">
        <f>main!A39</f>
        <v>2019</v>
      </c>
      <c r="B38" t="str">
        <f>main!B39</f>
        <v>47_2000</v>
      </c>
      <c r="C38">
        <f>main!C39</f>
        <v>9</v>
      </c>
      <c r="D38">
        <f>main!D39</f>
        <v>1</v>
      </c>
      <c r="E38">
        <f>main!E39</f>
        <v>146.64285714285714</v>
      </c>
      <c r="F38" s="67">
        <v>44092</v>
      </c>
      <c r="H38" t="s">
        <v>1383</v>
      </c>
    </row>
    <row r="39" spans="1:8">
      <c r="A39">
        <f>main!A40</f>
        <v>2019</v>
      </c>
      <c r="B39" t="str">
        <f>main!B40</f>
        <v>47_2000</v>
      </c>
      <c r="C39">
        <f>main!C40</f>
        <v>10</v>
      </c>
      <c r="D39">
        <f>main!D40</f>
        <v>1</v>
      </c>
      <c r="E39">
        <f>main!E40</f>
        <v>189.7</v>
      </c>
      <c r="F39" s="67">
        <v>44092</v>
      </c>
      <c r="H39" t="s">
        <v>1383</v>
      </c>
    </row>
    <row r="40" spans="1:8">
      <c r="A40">
        <f>main!A41</f>
        <v>2019</v>
      </c>
      <c r="B40" t="str">
        <f>main!B41</f>
        <v>47_2000</v>
      </c>
      <c r="C40">
        <f>main!C41</f>
        <v>11</v>
      </c>
      <c r="D40">
        <f>main!D41</f>
        <v>1</v>
      </c>
      <c r="E40">
        <f>main!E41</f>
        <v>197.38571428571424</v>
      </c>
      <c r="F40" s="67">
        <v>44092</v>
      </c>
      <c r="G40" t="s">
        <v>1581</v>
      </c>
      <c r="H40" t="s">
        <v>1383</v>
      </c>
    </row>
    <row r="41" spans="1:8">
      <c r="A41">
        <f>main!A42</f>
        <v>2019</v>
      </c>
      <c r="B41" t="str">
        <f>main!B42</f>
        <v>47_2000</v>
      </c>
      <c r="C41">
        <f>main!C42</f>
        <v>12</v>
      </c>
      <c r="D41">
        <f>main!D42</f>
        <v>2</v>
      </c>
      <c r="E41">
        <f>main!E42</f>
        <v>358.38571428571424</v>
      </c>
      <c r="F41" s="67">
        <v>44092</v>
      </c>
      <c r="H41" t="s">
        <v>1383</v>
      </c>
    </row>
    <row r="42" spans="1:8" s="66" customFormat="1">
      <c r="A42" s="66">
        <f>main!A43</f>
        <v>2019</v>
      </c>
      <c r="B42" s="66" t="str">
        <f>main!B43</f>
        <v>47_2000</v>
      </c>
      <c r="C42" s="66">
        <f>main!C43</f>
        <v>13</v>
      </c>
      <c r="D42" s="66">
        <f>main!D43</f>
        <v>30</v>
      </c>
      <c r="E42" s="66">
        <f>main!E43</f>
        <v>739.7</v>
      </c>
      <c r="F42" s="210">
        <v>44092</v>
      </c>
      <c r="G42" s="66" t="s">
        <v>1387</v>
      </c>
      <c r="H42" s="66" t="s">
        <v>1383</v>
      </c>
    </row>
    <row r="43" spans="1:8" s="66" customFormat="1">
      <c r="A43" s="66">
        <f>main!A44</f>
        <v>2019</v>
      </c>
      <c r="B43" s="66" t="str">
        <f>main!B44</f>
        <v>47_2000</v>
      </c>
      <c r="C43" s="66">
        <f>main!C44</f>
        <v>14</v>
      </c>
      <c r="D43" s="66">
        <f>main!D44</f>
        <v>25</v>
      </c>
      <c r="E43" s="66">
        <f>main!E44</f>
        <v>1475.9571428571426</v>
      </c>
      <c r="F43" s="210">
        <v>44092</v>
      </c>
      <c r="G43" s="66" t="s">
        <v>1389</v>
      </c>
      <c r="H43" s="66" t="s">
        <v>1383</v>
      </c>
    </row>
    <row r="44" spans="1:8">
      <c r="A44">
        <f>main!A45</f>
        <v>2019</v>
      </c>
      <c r="B44" t="str">
        <f>main!B45</f>
        <v>47_2000</v>
      </c>
      <c r="C44">
        <f>main!C45</f>
        <v>15</v>
      </c>
      <c r="D44">
        <f>main!D45</f>
        <v>3</v>
      </c>
      <c r="E44">
        <f>main!E45</f>
        <v>831.84285714285704</v>
      </c>
      <c r="F44" s="67">
        <v>44092</v>
      </c>
      <c r="G44" t="s">
        <v>1388</v>
      </c>
      <c r="H44" t="s">
        <v>1383</v>
      </c>
    </row>
    <row r="45" spans="1:8">
      <c r="A45">
        <f>main!A46</f>
        <v>2019</v>
      </c>
      <c r="B45" t="str">
        <f>main!B46</f>
        <v>47_2000</v>
      </c>
      <c r="C45">
        <f>main!C46</f>
        <v>16</v>
      </c>
      <c r="D45">
        <f>main!D46</f>
        <v>1</v>
      </c>
      <c r="E45">
        <f>main!E46</f>
        <v>125.22857142857143</v>
      </c>
      <c r="F45" s="67">
        <v>44092</v>
      </c>
      <c r="G45" t="s">
        <v>1943</v>
      </c>
      <c r="H45" t="s">
        <v>1383</v>
      </c>
    </row>
    <row r="46" spans="1:8">
      <c r="A46">
        <f>main!A47</f>
        <v>2019</v>
      </c>
      <c r="B46" t="str">
        <f>main!B47</f>
        <v>47_2000</v>
      </c>
      <c r="C46">
        <f>main!C47</f>
        <v>17</v>
      </c>
      <c r="D46" t="str">
        <f>main!D47</f>
        <v>&lt;1</v>
      </c>
      <c r="E46">
        <f>main!E47</f>
        <v>75.04285714285713</v>
      </c>
      <c r="F46" s="67">
        <v>44092</v>
      </c>
      <c r="G46" t="s">
        <v>1390</v>
      </c>
      <c r="H46" t="s">
        <v>1383</v>
      </c>
    </row>
    <row r="47" spans="1:8">
      <c r="A47">
        <f>main!A48</f>
        <v>2019</v>
      </c>
      <c r="B47" t="str">
        <f>main!B48</f>
        <v>47_2000</v>
      </c>
      <c r="C47">
        <f>main!C48</f>
        <v>18</v>
      </c>
      <c r="D47" t="str">
        <f>main!D48</f>
        <v>&lt;1</v>
      </c>
      <c r="E47">
        <f>main!E48</f>
        <v>115.81428571428572</v>
      </c>
      <c r="F47" s="67">
        <v>44092</v>
      </c>
      <c r="G47" t="s">
        <v>1391</v>
      </c>
      <c r="H47" t="s">
        <v>1383</v>
      </c>
    </row>
    <row r="48" spans="1:8">
      <c r="A48">
        <f>main!A49</f>
        <v>2019</v>
      </c>
      <c r="B48" t="str">
        <f>main!B49</f>
        <v>47_2000</v>
      </c>
      <c r="C48">
        <f>main!C49</f>
        <v>19</v>
      </c>
      <c r="D48" t="str">
        <f>main!D49</f>
        <v>&lt;1</v>
      </c>
      <c r="E48">
        <f>main!E49</f>
        <v>31.957142857142852</v>
      </c>
      <c r="F48" s="67">
        <v>44092</v>
      </c>
      <c r="H48" t="s">
        <v>1383</v>
      </c>
    </row>
    <row r="49" spans="1:44">
      <c r="A49">
        <f>main!A50</f>
        <v>2019</v>
      </c>
      <c r="B49" t="str">
        <f>main!B50</f>
        <v>47_2000</v>
      </c>
      <c r="C49">
        <f>main!C50</f>
        <v>20</v>
      </c>
      <c r="D49">
        <f>main!D50</f>
        <v>2</v>
      </c>
      <c r="E49">
        <f>main!E50</f>
        <v>234.75714285714281</v>
      </c>
      <c r="F49" s="67">
        <v>44092</v>
      </c>
      <c r="G49" t="s">
        <v>1392</v>
      </c>
      <c r="H49" t="s">
        <v>1383</v>
      </c>
    </row>
    <row r="50" spans="1:44">
      <c r="A50">
        <f>main!A51</f>
        <v>2019</v>
      </c>
      <c r="B50" t="str">
        <f>main!B51</f>
        <v>47_2000</v>
      </c>
      <c r="C50">
        <f>main!C51</f>
        <v>21</v>
      </c>
      <c r="D50">
        <f>main!D51</f>
        <v>1</v>
      </c>
      <c r="E50">
        <f>main!E51</f>
        <v>127.17142857142859</v>
      </c>
      <c r="F50" s="67">
        <v>44092</v>
      </c>
      <c r="G50" t="s">
        <v>1393</v>
      </c>
      <c r="H50" t="s">
        <v>1383</v>
      </c>
    </row>
    <row r="51" spans="1:44">
      <c r="A51" t="str">
        <f>main!A52</f>
        <v>Pick up 04/09/2020 IN2020_V09</v>
      </c>
    </row>
    <row r="53" spans="1:44" s="151" customFormat="1">
      <c r="A53" s="148" t="s">
        <v>213</v>
      </c>
      <c r="B53" s="149" t="s">
        <v>807</v>
      </c>
      <c r="C53" s="150"/>
      <c r="E53" s="152"/>
      <c r="F53" s="153"/>
      <c r="G53" s="148"/>
      <c r="H53" s="185" t="s">
        <v>218</v>
      </c>
      <c r="I53" s="154" t="s">
        <v>220</v>
      </c>
      <c r="J53" s="155"/>
      <c r="K53" s="155"/>
      <c r="L53" s="155"/>
      <c r="M53" s="156"/>
      <c r="N53" s="156"/>
      <c r="O53" s="156"/>
      <c r="P53" s="156"/>
      <c r="Q53" s="157"/>
      <c r="R53" s="155"/>
      <c r="S53" s="155"/>
      <c r="T53" s="158"/>
      <c r="U53" s="158"/>
      <c r="V53" s="159"/>
      <c r="W53" s="145"/>
      <c r="X53" s="146"/>
      <c r="Y53" s="160"/>
      <c r="Z53" s="155"/>
      <c r="AA53" s="155"/>
      <c r="AB53" s="161"/>
      <c r="AC53" s="161"/>
      <c r="AD53" s="162"/>
      <c r="AE53" s="162"/>
      <c r="AG53" s="162"/>
      <c r="AH53" s="148"/>
      <c r="AJ53" s="154"/>
      <c r="AL53" s="155"/>
      <c r="AM53" s="163"/>
      <c r="AN53" s="164"/>
      <c r="AO53" s="155"/>
      <c r="AP53" s="155"/>
      <c r="AQ53" s="155"/>
      <c r="AR53" s="155"/>
    </row>
    <row r="54" spans="1:44">
      <c r="A54">
        <f>main!A55</f>
        <v>2019</v>
      </c>
      <c r="B54" t="str">
        <f>main!B55</f>
        <v>47_3800</v>
      </c>
      <c r="C54" t="str">
        <f>main!C55</f>
        <v>L 1</v>
      </c>
      <c r="D54">
        <f>main!D55</f>
        <v>5</v>
      </c>
      <c r="E54">
        <f>main!E55</f>
        <v>614.01428571428573</v>
      </c>
      <c r="F54" s="67">
        <v>44095</v>
      </c>
      <c r="G54" t="s">
        <v>1384</v>
      </c>
      <c r="H54" t="s">
        <v>1383</v>
      </c>
    </row>
    <row r="55" spans="1:44">
      <c r="A55">
        <f>main!A56</f>
        <v>2019</v>
      </c>
      <c r="B55" t="str">
        <f>main!B56</f>
        <v>47_3800</v>
      </c>
      <c r="C55">
        <f>main!C56</f>
        <v>2</v>
      </c>
      <c r="D55">
        <f>main!D56</f>
        <v>5</v>
      </c>
      <c r="E55">
        <f>main!E56</f>
        <v>574.61428571428576</v>
      </c>
      <c r="F55" s="67">
        <v>44095</v>
      </c>
      <c r="H55" t="s">
        <v>1383</v>
      </c>
    </row>
    <row r="56" spans="1:44">
      <c r="A56">
        <f>main!A57</f>
        <v>2019</v>
      </c>
      <c r="B56" t="str">
        <f>main!B57</f>
        <v>47_3800</v>
      </c>
      <c r="C56">
        <f>main!C57</f>
        <v>3</v>
      </c>
      <c r="D56">
        <f>main!D57</f>
        <v>3</v>
      </c>
      <c r="E56">
        <f>main!E57</f>
        <v>463.2</v>
      </c>
      <c r="F56" s="67">
        <v>44095</v>
      </c>
      <c r="H56" t="s">
        <v>1383</v>
      </c>
    </row>
    <row r="57" spans="1:44">
      <c r="A57">
        <f>main!A58</f>
        <v>2019</v>
      </c>
      <c r="B57" t="str">
        <f>main!B58</f>
        <v>47_3800</v>
      </c>
      <c r="C57">
        <f>main!C58</f>
        <v>4</v>
      </c>
      <c r="D57">
        <f>main!D58</f>
        <v>4</v>
      </c>
      <c r="E57">
        <f>main!E58</f>
        <v>496.91428571428571</v>
      </c>
      <c r="F57" s="67">
        <v>44095</v>
      </c>
      <c r="H57" t="s">
        <v>1383</v>
      </c>
    </row>
    <row r="58" spans="1:44">
      <c r="A58">
        <f>main!A59</f>
        <v>2019</v>
      </c>
      <c r="B58" t="str">
        <f>main!B59</f>
        <v>47_3800</v>
      </c>
      <c r="C58">
        <f>main!C59</f>
        <v>5</v>
      </c>
      <c r="D58">
        <f>main!D59</f>
        <v>10</v>
      </c>
      <c r="E58">
        <f>main!E59</f>
        <v>526.18571428571431</v>
      </c>
      <c r="F58" s="67">
        <v>44095</v>
      </c>
      <c r="H58" t="s">
        <v>1399</v>
      </c>
    </row>
    <row r="59" spans="1:44">
      <c r="A59">
        <f>main!A60</f>
        <v>2019</v>
      </c>
      <c r="B59" t="str">
        <f>main!B60</f>
        <v>47_3800</v>
      </c>
      <c r="C59">
        <f>main!C60</f>
        <v>6</v>
      </c>
      <c r="D59">
        <f>main!D60</f>
        <v>9</v>
      </c>
      <c r="E59">
        <f>main!E60</f>
        <v>505.47142857142853</v>
      </c>
      <c r="F59" s="67">
        <v>44095</v>
      </c>
      <c r="G59" t="s">
        <v>1384</v>
      </c>
      <c r="H59" t="s">
        <v>1400</v>
      </c>
    </row>
    <row r="60" spans="1:44">
      <c r="A60">
        <f>main!A61</f>
        <v>2019</v>
      </c>
      <c r="B60" t="str">
        <f>main!B61</f>
        <v>47_3800</v>
      </c>
      <c r="C60">
        <f>main!C61</f>
        <v>7</v>
      </c>
      <c r="D60">
        <f>main!D61</f>
        <v>5</v>
      </c>
      <c r="E60">
        <f>main!E61</f>
        <v>365.55714285714282</v>
      </c>
      <c r="F60" s="67">
        <v>44095</v>
      </c>
      <c r="H60" t="s">
        <v>1400</v>
      </c>
    </row>
    <row r="61" spans="1:44">
      <c r="A61">
        <f>main!A62</f>
        <v>2019</v>
      </c>
      <c r="B61" t="str">
        <f>main!B62</f>
        <v>47_3800</v>
      </c>
      <c r="C61">
        <f>main!C62</f>
        <v>8</v>
      </c>
      <c r="D61">
        <f>main!D62</f>
        <v>6</v>
      </c>
      <c r="E61">
        <f>main!E62</f>
        <v>386.72857142857146</v>
      </c>
      <c r="F61" s="67">
        <v>44095</v>
      </c>
      <c r="H61" t="s">
        <v>1400</v>
      </c>
    </row>
    <row r="62" spans="1:44">
      <c r="A62">
        <f>main!A63</f>
        <v>2019</v>
      </c>
      <c r="B62" t="str">
        <f>main!B63</f>
        <v>47_3800</v>
      </c>
      <c r="C62">
        <f>main!C63</f>
        <v>9</v>
      </c>
      <c r="D62">
        <f>main!D63</f>
        <v>2</v>
      </c>
      <c r="E62">
        <f>main!E63</f>
        <v>323.44285714285712</v>
      </c>
      <c r="F62" s="67">
        <v>44095</v>
      </c>
      <c r="H62" t="s">
        <v>1400</v>
      </c>
    </row>
    <row r="63" spans="1:44">
      <c r="A63">
        <f>main!A64</f>
        <v>2019</v>
      </c>
      <c r="B63" t="str">
        <f>main!B64</f>
        <v>47_3800</v>
      </c>
      <c r="C63">
        <f>main!C64</f>
        <v>10</v>
      </c>
      <c r="D63">
        <f>main!D64</f>
        <v>2</v>
      </c>
      <c r="E63">
        <f>main!E64</f>
        <v>255.07142857142856</v>
      </c>
      <c r="F63" s="67">
        <v>44095</v>
      </c>
      <c r="H63" t="s">
        <v>1400</v>
      </c>
    </row>
    <row r="64" spans="1:44">
      <c r="A64">
        <f>main!A65</f>
        <v>2019</v>
      </c>
      <c r="B64" t="str">
        <f>main!B65</f>
        <v>47_3800</v>
      </c>
      <c r="C64">
        <f>main!C65</f>
        <v>11</v>
      </c>
      <c r="D64">
        <f>main!D65</f>
        <v>4</v>
      </c>
      <c r="E64">
        <f>main!E65</f>
        <v>271.5</v>
      </c>
      <c r="F64" s="67">
        <v>44095</v>
      </c>
      <c r="H64" t="s">
        <v>1400</v>
      </c>
    </row>
    <row r="65" spans="1:8">
      <c r="A65">
        <f>main!A66</f>
        <v>2019</v>
      </c>
      <c r="B65" t="str">
        <f>main!B66</f>
        <v>47_3800</v>
      </c>
      <c r="C65">
        <f>main!C66</f>
        <v>12</v>
      </c>
      <c r="D65">
        <f>main!D66</f>
        <v>5</v>
      </c>
      <c r="E65">
        <f>main!E66</f>
        <v>487.01428571428562</v>
      </c>
      <c r="F65" s="67">
        <v>44095</v>
      </c>
      <c r="H65" t="s">
        <v>1400</v>
      </c>
    </row>
    <row r="66" spans="1:8">
      <c r="A66">
        <f>main!A67</f>
        <v>2019</v>
      </c>
      <c r="B66" t="str">
        <f>main!B67</f>
        <v>47_3800</v>
      </c>
      <c r="C66">
        <f>main!C67</f>
        <v>13</v>
      </c>
      <c r="D66">
        <f>main!D67</f>
        <v>5</v>
      </c>
      <c r="E66">
        <f>main!E67</f>
        <v>820.12857142857138</v>
      </c>
      <c r="F66" s="67">
        <v>44095</v>
      </c>
      <c r="H66" t="s">
        <v>1400</v>
      </c>
    </row>
    <row r="67" spans="1:8">
      <c r="A67">
        <f>main!A68</f>
        <v>2019</v>
      </c>
      <c r="B67" t="str">
        <f>main!B68</f>
        <v>47_3800</v>
      </c>
      <c r="C67">
        <f>main!C68</f>
        <v>14</v>
      </c>
      <c r="D67">
        <f>main!D68</f>
        <v>5</v>
      </c>
      <c r="E67">
        <f>main!E68</f>
        <v>692.14285714285711</v>
      </c>
      <c r="F67" s="67">
        <v>44095</v>
      </c>
      <c r="G67" t="s">
        <v>1384</v>
      </c>
      <c r="H67" t="s">
        <v>1400</v>
      </c>
    </row>
    <row r="68" spans="1:8">
      <c r="A68">
        <f>main!A69</f>
        <v>2019</v>
      </c>
      <c r="B68" t="str">
        <f>main!B69</f>
        <v>47_3800</v>
      </c>
      <c r="C68">
        <f>main!C69</f>
        <v>15</v>
      </c>
      <c r="D68">
        <f>main!D69</f>
        <v>5</v>
      </c>
      <c r="E68">
        <f>main!E69</f>
        <v>639.51428571428573</v>
      </c>
      <c r="F68" s="67">
        <v>44095</v>
      </c>
      <c r="H68" t="s">
        <v>1400</v>
      </c>
    </row>
    <row r="69" spans="1:8">
      <c r="A69">
        <f>main!A70</f>
        <v>2019</v>
      </c>
      <c r="B69" t="str">
        <f>main!B70</f>
        <v>47_3800</v>
      </c>
      <c r="C69">
        <f>main!C70</f>
        <v>16</v>
      </c>
      <c r="D69">
        <f>main!D70</f>
        <v>50</v>
      </c>
      <c r="E69">
        <f>main!E70</f>
        <v>1350.5285714285715</v>
      </c>
      <c r="F69" s="67">
        <v>44095</v>
      </c>
      <c r="H69" t="s">
        <v>1400</v>
      </c>
    </row>
    <row r="70" spans="1:8">
      <c r="A70">
        <f>main!A71</f>
        <v>2019</v>
      </c>
      <c r="B70" t="str">
        <f>main!B71</f>
        <v>47_3800</v>
      </c>
      <c r="C70">
        <f>main!C71</f>
        <v>17</v>
      </c>
      <c r="D70">
        <f>main!D71</f>
        <v>30</v>
      </c>
      <c r="E70">
        <f>main!E71</f>
        <v>801.0428571428572</v>
      </c>
      <c r="F70" s="67">
        <v>44096</v>
      </c>
      <c r="G70" t="s">
        <v>1384</v>
      </c>
      <c r="H70" t="s">
        <v>1400</v>
      </c>
    </row>
    <row r="71" spans="1:8">
      <c r="A71">
        <f>main!A72</f>
        <v>2019</v>
      </c>
      <c r="B71" t="str">
        <f>main!B72</f>
        <v>47_3800</v>
      </c>
      <c r="C71">
        <f>main!C72</f>
        <v>18</v>
      </c>
      <c r="D71">
        <f>main!D72</f>
        <v>25</v>
      </c>
      <c r="E71">
        <f>main!E72</f>
        <v>649.40000000000009</v>
      </c>
      <c r="F71" s="67">
        <v>44096</v>
      </c>
      <c r="G71" t="s">
        <v>1384</v>
      </c>
      <c r="H71" t="s">
        <v>1400</v>
      </c>
    </row>
    <row r="72" spans="1:8">
      <c r="A72">
        <f>main!A73</f>
        <v>2019</v>
      </c>
      <c r="B72" t="str">
        <f>main!B73</f>
        <v>47_3800</v>
      </c>
      <c r="C72">
        <f>main!C73</f>
        <v>19</v>
      </c>
      <c r="D72">
        <f>main!D73</f>
        <v>20</v>
      </c>
      <c r="E72">
        <f>main!E73</f>
        <v>869.64285714285711</v>
      </c>
      <c r="F72" s="67">
        <v>44096</v>
      </c>
      <c r="G72" t="s">
        <v>1384</v>
      </c>
      <c r="H72" t="s">
        <v>1400</v>
      </c>
    </row>
    <row r="73" spans="1:8">
      <c r="A73">
        <f>main!A74</f>
        <v>2019</v>
      </c>
      <c r="B73" t="str">
        <f>main!B74</f>
        <v>47_3800</v>
      </c>
      <c r="C73">
        <f>main!C74</f>
        <v>20</v>
      </c>
      <c r="D73">
        <f>main!D74</f>
        <v>10</v>
      </c>
      <c r="E73">
        <f>main!E74</f>
        <v>712.12857142857149</v>
      </c>
      <c r="F73" s="67">
        <v>44096</v>
      </c>
      <c r="G73" t="s">
        <v>1384</v>
      </c>
      <c r="H73" t="s">
        <v>1400</v>
      </c>
    </row>
    <row r="74" spans="1:8">
      <c r="A74">
        <f>main!A75</f>
        <v>2019</v>
      </c>
      <c r="B74" t="str">
        <f>main!B75</f>
        <v>47_3800</v>
      </c>
      <c r="C74">
        <f>main!C75</f>
        <v>21</v>
      </c>
      <c r="D74">
        <f>main!D75</f>
        <v>8</v>
      </c>
      <c r="E74">
        <f>main!E75</f>
        <v>424.35714285714289</v>
      </c>
      <c r="F74" s="67">
        <v>44096</v>
      </c>
      <c r="G74" t="s">
        <v>1384</v>
      </c>
      <c r="H74" t="s">
        <v>1401</v>
      </c>
    </row>
    <row r="75" spans="1:8">
      <c r="A75" t="str">
        <f>main!A76</f>
        <v>Pick up 04/09/2020 IN2020_V09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A63B-C8DA-457B-B1B2-211CF1755A35}">
  <dimension ref="A1:AC111"/>
  <sheetViews>
    <sheetView topLeftCell="K100" zoomScale="80" zoomScaleNormal="80" workbookViewId="0">
      <selection activeCell="Z21" sqref="Z21"/>
    </sheetView>
  </sheetViews>
  <sheetFormatPr defaultRowHeight="14.5"/>
  <cols>
    <col min="6" max="6" width="10.81640625" bestFit="1" customWidth="1"/>
    <col min="11" max="11" width="10.81640625" bestFit="1" customWidth="1"/>
    <col min="20" max="20" width="39.81640625" bestFit="1" customWidth="1"/>
    <col min="22" max="22" width="12.1796875" bestFit="1" customWidth="1"/>
  </cols>
  <sheetData>
    <row r="1" spans="1:28" ht="15.5">
      <c r="A1" s="186" t="s">
        <v>145</v>
      </c>
      <c r="B1" s="186" t="s">
        <v>146</v>
      </c>
      <c r="C1" s="186" t="s">
        <v>147</v>
      </c>
      <c r="D1" s="187" t="s">
        <v>161</v>
      </c>
      <c r="E1" s="187" t="s">
        <v>1340</v>
      </c>
      <c r="F1" s="187" t="s">
        <v>1341</v>
      </c>
      <c r="G1" s="188" t="s">
        <v>161</v>
      </c>
      <c r="H1" s="189" t="s">
        <v>1342</v>
      </c>
      <c r="I1" s="190" t="s">
        <v>162</v>
      </c>
      <c r="J1" s="189" t="s">
        <v>1342</v>
      </c>
      <c r="K1" s="191" t="s">
        <v>162</v>
      </c>
      <c r="L1" s="187" t="s">
        <v>162</v>
      </c>
      <c r="M1" s="189" t="s">
        <v>1342</v>
      </c>
      <c r="N1" s="186"/>
      <c r="O1" s="188" t="s">
        <v>161</v>
      </c>
      <c r="P1" s="188" t="s">
        <v>162</v>
      </c>
      <c r="Q1" s="192"/>
      <c r="R1" s="189" t="s">
        <v>1343</v>
      </c>
      <c r="S1" s="186" t="s">
        <v>1344</v>
      </c>
      <c r="T1" s="188" t="s">
        <v>1345</v>
      </c>
      <c r="U1" s="188" t="s">
        <v>1395</v>
      </c>
      <c r="V1" s="188"/>
      <c r="W1" s="188"/>
      <c r="X1" s="188"/>
      <c r="Y1" s="188"/>
      <c r="Z1" s="188"/>
      <c r="AA1" s="188"/>
      <c r="AB1" s="188"/>
    </row>
    <row r="2" spans="1:28" ht="15.5">
      <c r="A2" s="186"/>
      <c r="B2" s="186" t="s">
        <v>1346</v>
      </c>
      <c r="C2" s="186"/>
      <c r="D2" s="187"/>
      <c r="E2" s="193" t="s">
        <v>1347</v>
      </c>
      <c r="F2" s="193"/>
      <c r="G2" s="188" t="s">
        <v>1348</v>
      </c>
      <c r="H2" s="193" t="s">
        <v>1347</v>
      </c>
      <c r="I2" s="194"/>
      <c r="J2" s="193" t="s">
        <v>1347</v>
      </c>
      <c r="K2" s="192" t="s">
        <v>1349</v>
      </c>
      <c r="L2" s="187" t="s">
        <v>1348</v>
      </c>
      <c r="M2" s="193" t="s">
        <v>1347</v>
      </c>
      <c r="N2" s="186"/>
      <c r="O2" s="188" t="s">
        <v>1350</v>
      </c>
      <c r="P2" s="188" t="s">
        <v>1350</v>
      </c>
      <c r="Q2" s="192"/>
      <c r="R2" s="189"/>
      <c r="S2" s="186"/>
      <c r="T2" s="186"/>
      <c r="U2" s="186" t="s">
        <v>1396</v>
      </c>
      <c r="V2" s="186"/>
      <c r="W2" s="188"/>
      <c r="X2" s="188"/>
      <c r="Y2" s="188"/>
      <c r="Z2" s="195"/>
      <c r="AA2" s="195"/>
      <c r="AB2" s="188"/>
    </row>
    <row r="3" spans="1:28" ht="15.5">
      <c r="A3" s="37">
        <v>2019</v>
      </c>
      <c r="B3" s="37">
        <v>1000</v>
      </c>
      <c r="C3" s="37">
        <v>1</v>
      </c>
      <c r="D3" s="108">
        <v>38.25</v>
      </c>
      <c r="E3" s="172">
        <v>31.5</v>
      </c>
      <c r="F3" s="170">
        <v>44091</v>
      </c>
      <c r="G3" s="172"/>
      <c r="H3" s="37"/>
      <c r="I3" s="196">
        <v>8.1029999999999998</v>
      </c>
      <c r="J3" s="37">
        <v>30.6</v>
      </c>
      <c r="K3" s="170">
        <v>44091</v>
      </c>
      <c r="L3" s="172"/>
      <c r="M3" s="172"/>
      <c r="N3" s="172"/>
      <c r="O3" s="37"/>
      <c r="P3" s="170"/>
      <c r="Q3" s="170"/>
      <c r="R3" s="197" t="s">
        <v>1351</v>
      </c>
      <c r="S3" s="37"/>
      <c r="T3" s="37" t="s">
        <v>1352</v>
      </c>
      <c r="U3" s="198"/>
      <c r="V3" s="213">
        <v>44091</v>
      </c>
      <c r="W3" s="198"/>
      <c r="X3" s="198"/>
      <c r="Y3" s="37"/>
      <c r="Z3" s="37"/>
      <c r="AA3" s="37"/>
      <c r="AB3" s="37"/>
    </row>
    <row r="4" spans="1:28" ht="15.5">
      <c r="A4" s="37">
        <v>2019</v>
      </c>
      <c r="B4" s="37">
        <v>1000</v>
      </c>
      <c r="C4" s="198">
        <v>2</v>
      </c>
      <c r="D4" s="198">
        <v>38.020000000000003</v>
      </c>
      <c r="E4" s="172">
        <v>31.7</v>
      </c>
      <c r="F4" s="170">
        <v>44091</v>
      </c>
      <c r="G4" s="198"/>
      <c r="H4" s="198"/>
      <c r="I4" s="199">
        <v>8.2650000000000006</v>
      </c>
      <c r="J4" s="37">
        <v>30.7</v>
      </c>
      <c r="K4" s="170">
        <v>44091</v>
      </c>
      <c r="L4" s="198"/>
      <c r="M4" s="198"/>
      <c r="N4" s="198"/>
      <c r="O4" s="198"/>
      <c r="P4" s="198"/>
      <c r="Q4" s="198"/>
      <c r="R4" s="197" t="s">
        <v>1351</v>
      </c>
      <c r="S4" s="198"/>
      <c r="T4" s="172" t="s">
        <v>1364</v>
      </c>
      <c r="U4" s="198"/>
      <c r="V4" s="198"/>
      <c r="W4" s="198"/>
      <c r="X4" s="198"/>
      <c r="Y4" s="198"/>
      <c r="Z4" s="198"/>
      <c r="AA4" s="198"/>
      <c r="AB4" s="198"/>
    </row>
    <row r="5" spans="1:28" ht="15.5">
      <c r="A5" s="37">
        <v>2019</v>
      </c>
      <c r="B5" s="37">
        <v>1000</v>
      </c>
      <c r="C5" s="198">
        <v>3</v>
      </c>
      <c r="D5" s="198">
        <v>36.71</v>
      </c>
      <c r="E5" s="172">
        <v>31.8</v>
      </c>
      <c r="F5" s="170">
        <v>44091</v>
      </c>
      <c r="G5" s="198">
        <v>36.65</v>
      </c>
      <c r="H5" s="198">
        <v>31.6</v>
      </c>
      <c r="I5" s="199">
        <v>8.2789999999999999</v>
      </c>
      <c r="J5" s="37">
        <v>30.7</v>
      </c>
      <c r="K5" s="170">
        <v>44091</v>
      </c>
      <c r="L5" s="198">
        <v>8.2680000000000007</v>
      </c>
      <c r="M5" s="198">
        <v>30.6</v>
      </c>
      <c r="N5" s="198"/>
      <c r="O5" s="198">
        <f>G5-D5</f>
        <v>-6.0000000000002274E-2</v>
      </c>
      <c r="P5" s="198">
        <f>L5-I5</f>
        <v>-1.0999999999999233E-2</v>
      </c>
      <c r="Q5" s="198"/>
      <c r="R5" s="197" t="s">
        <v>1351</v>
      </c>
      <c r="S5" s="198"/>
      <c r="T5" s="37" t="s">
        <v>1365</v>
      </c>
      <c r="U5" s="37" t="s">
        <v>1353</v>
      </c>
      <c r="V5" s="198"/>
      <c r="W5" s="37" t="s">
        <v>1354</v>
      </c>
      <c r="X5" s="198"/>
      <c r="Y5" s="198" t="s">
        <v>1355</v>
      </c>
      <c r="Z5" s="198" t="s">
        <v>1356</v>
      </c>
      <c r="AA5" s="198"/>
      <c r="AB5" s="198"/>
    </row>
    <row r="6" spans="1:28" ht="15.5">
      <c r="A6" s="37">
        <v>2019</v>
      </c>
      <c r="B6" s="37">
        <v>1000</v>
      </c>
      <c r="C6" s="198">
        <v>4</v>
      </c>
      <c r="D6" s="198">
        <v>37.479999999999997</v>
      </c>
      <c r="E6" s="172">
        <v>31.8</v>
      </c>
      <c r="F6" s="170">
        <v>44091</v>
      </c>
      <c r="G6" s="198"/>
      <c r="H6" s="198"/>
      <c r="I6" s="199">
        <v>8.2360000000000007</v>
      </c>
      <c r="J6" s="37">
        <v>30.7</v>
      </c>
      <c r="K6" s="170">
        <v>44091</v>
      </c>
      <c r="L6" s="198"/>
      <c r="M6" s="198"/>
      <c r="N6" s="198"/>
      <c r="O6" s="198"/>
      <c r="P6" s="198"/>
      <c r="Q6" s="198"/>
      <c r="R6" s="197" t="s">
        <v>1351</v>
      </c>
      <c r="S6" s="198"/>
      <c r="T6" s="37"/>
      <c r="U6" s="200"/>
      <c r="V6" s="201"/>
      <c r="W6" s="198"/>
      <c r="X6" s="198"/>
      <c r="Y6" s="200"/>
      <c r="Z6" s="198">
        <f>_xlfn.STDEV.P(Y7:Y9,Y12:Y15)</f>
        <v>1.5456091650939857E-2</v>
      </c>
      <c r="AA6" s="198">
        <f>Z6/SQRT(COUNT(Y7:Y9,Y12:Y14))</f>
        <v>6.3099229937489832E-3</v>
      </c>
      <c r="AB6" s="206">
        <f>AA6</f>
        <v>6.3099229937489832E-3</v>
      </c>
    </row>
    <row r="7" spans="1:28" ht="15.5">
      <c r="A7" s="37">
        <v>2019</v>
      </c>
      <c r="B7" s="37">
        <v>1000</v>
      </c>
      <c r="C7" s="198">
        <v>5</v>
      </c>
      <c r="D7" s="198">
        <v>38.26</v>
      </c>
      <c r="E7" s="172">
        <v>31.7</v>
      </c>
      <c r="F7" s="170">
        <v>44091</v>
      </c>
      <c r="G7" s="198"/>
      <c r="H7" s="198"/>
      <c r="I7" s="199">
        <v>8.2789999999999999</v>
      </c>
      <c r="J7" s="37">
        <v>30.6</v>
      </c>
      <c r="K7" s="170">
        <v>44091</v>
      </c>
      <c r="L7" s="198"/>
      <c r="M7" s="198"/>
      <c r="N7" s="198"/>
      <c r="Q7" s="198"/>
      <c r="R7" s="197" t="s">
        <v>1351</v>
      </c>
      <c r="S7" s="198"/>
      <c r="T7" s="37" t="s">
        <v>1357</v>
      </c>
      <c r="U7" s="198">
        <v>49</v>
      </c>
      <c r="V7" s="201" t="s">
        <v>1358</v>
      </c>
      <c r="W7" s="37"/>
      <c r="X7" s="198"/>
      <c r="Y7" s="198">
        <f>(50-U7)/50</f>
        <v>0.02</v>
      </c>
      <c r="Z7" s="198"/>
      <c r="AA7" s="198"/>
      <c r="AB7" s="198"/>
    </row>
    <row r="8" spans="1:28" ht="15.5">
      <c r="A8" s="37">
        <v>2019</v>
      </c>
      <c r="B8" s="37">
        <v>1000</v>
      </c>
      <c r="C8" s="37">
        <v>6</v>
      </c>
      <c r="D8" s="37">
        <v>38.69</v>
      </c>
      <c r="E8" s="198">
        <v>31.4</v>
      </c>
      <c r="F8" s="170">
        <v>44091</v>
      </c>
      <c r="G8" s="198"/>
      <c r="H8" s="198"/>
      <c r="I8" s="199">
        <v>8.4540000000000006</v>
      </c>
      <c r="J8" s="37">
        <v>30.5</v>
      </c>
      <c r="K8" s="170">
        <v>44091</v>
      </c>
      <c r="L8" s="198"/>
      <c r="M8" s="198"/>
      <c r="N8" s="198"/>
      <c r="O8" s="198"/>
      <c r="P8" s="198"/>
      <c r="Q8" s="198"/>
      <c r="R8" s="197" t="s">
        <v>1351</v>
      </c>
      <c r="S8" s="198"/>
      <c r="T8" s="37" t="s">
        <v>1359</v>
      </c>
      <c r="U8" s="198">
        <v>52.3</v>
      </c>
      <c r="V8" s="201" t="s">
        <v>1358</v>
      </c>
      <c r="W8" s="198"/>
      <c r="X8" s="198"/>
      <c r="Y8" s="202">
        <f>(53-U8)/53</f>
        <v>1.3207547169811375E-2</v>
      </c>
      <c r="Z8" s="198"/>
      <c r="AA8" s="198"/>
      <c r="AB8" s="198"/>
    </row>
    <row r="9" spans="1:28" ht="15.5">
      <c r="A9" s="37">
        <v>2019</v>
      </c>
      <c r="B9" s="37">
        <v>1000</v>
      </c>
      <c r="C9" s="198">
        <v>7</v>
      </c>
      <c r="D9" s="198">
        <v>37.51</v>
      </c>
      <c r="E9" s="198">
        <v>31.5</v>
      </c>
      <c r="F9" s="170">
        <v>44091</v>
      </c>
      <c r="G9" s="198"/>
      <c r="H9" s="198"/>
      <c r="I9" s="199">
        <v>8.3420000000000005</v>
      </c>
      <c r="J9" s="37">
        <v>30.5</v>
      </c>
      <c r="K9" s="170">
        <v>44091</v>
      </c>
      <c r="L9" s="198"/>
      <c r="M9" s="198"/>
      <c r="N9" s="198"/>
      <c r="O9" s="198"/>
      <c r="P9" s="198"/>
      <c r="Q9" s="198"/>
      <c r="R9" s="197" t="s">
        <v>1351</v>
      </c>
      <c r="S9" s="198"/>
      <c r="T9" s="198" t="s">
        <v>1360</v>
      </c>
      <c r="U9" s="198">
        <v>12.97</v>
      </c>
      <c r="V9" s="201" t="s">
        <v>1358</v>
      </c>
      <c r="W9" s="198"/>
      <c r="X9" s="198"/>
      <c r="Y9" s="202">
        <f>(12.8-U9)/12.8</f>
        <v>-1.3281249999999994E-2</v>
      </c>
      <c r="Z9" s="198"/>
      <c r="AA9" s="198"/>
      <c r="AB9" s="198"/>
    </row>
    <row r="10" spans="1:28" ht="15.5">
      <c r="A10" s="37">
        <v>2019</v>
      </c>
      <c r="B10" s="37">
        <v>1000</v>
      </c>
      <c r="C10" s="198">
        <v>8</v>
      </c>
      <c r="D10" s="198">
        <v>36.71</v>
      </c>
      <c r="E10" s="198">
        <v>31.6</v>
      </c>
      <c r="F10" s="170">
        <v>44091</v>
      </c>
      <c r="G10" s="198"/>
      <c r="H10" s="198"/>
      <c r="I10" s="199">
        <v>8.1010000000000009</v>
      </c>
      <c r="J10" s="198">
        <v>30.5</v>
      </c>
      <c r="K10" s="170">
        <v>44091</v>
      </c>
      <c r="L10" s="198"/>
      <c r="M10" s="198"/>
      <c r="N10" s="198"/>
      <c r="O10" s="198"/>
      <c r="P10" s="198"/>
      <c r="Q10" s="198"/>
      <c r="R10" s="197" t="s">
        <v>1351</v>
      </c>
      <c r="S10" s="198"/>
      <c r="X10" s="198"/>
      <c r="Y10" s="198"/>
      <c r="Z10" s="198"/>
      <c r="AA10" s="198"/>
      <c r="AB10" s="198"/>
    </row>
    <row r="11" spans="1:28" ht="15.5">
      <c r="A11" s="37">
        <v>2019</v>
      </c>
      <c r="B11" s="37">
        <v>1000</v>
      </c>
      <c r="C11" s="198">
        <v>9</v>
      </c>
      <c r="D11" s="198">
        <v>38.29</v>
      </c>
      <c r="E11" s="198">
        <v>31.6</v>
      </c>
      <c r="F11" s="170">
        <v>44091</v>
      </c>
      <c r="G11" s="198"/>
      <c r="H11" s="198"/>
      <c r="I11" s="199">
        <v>8.5210000000000008</v>
      </c>
      <c r="J11" s="198">
        <v>30.5</v>
      </c>
      <c r="K11" s="170">
        <v>44091</v>
      </c>
      <c r="L11" s="198"/>
      <c r="M11" s="198"/>
      <c r="N11" s="198"/>
      <c r="O11" s="198"/>
      <c r="P11" s="198"/>
      <c r="Q11" s="198"/>
      <c r="R11" s="197" t="s">
        <v>1351</v>
      </c>
      <c r="S11" s="198"/>
      <c r="T11" s="37" t="s">
        <v>1361</v>
      </c>
      <c r="U11" s="37" t="s">
        <v>1353</v>
      </c>
      <c r="V11" s="198"/>
      <c r="W11" s="37" t="s">
        <v>1354</v>
      </c>
      <c r="X11" s="198"/>
      <c r="Y11" s="203"/>
      <c r="Z11" s="198"/>
      <c r="AA11" s="198"/>
      <c r="AB11" s="198"/>
    </row>
    <row r="12" spans="1:28" ht="15.5">
      <c r="A12" s="37">
        <v>2019</v>
      </c>
      <c r="B12" s="37">
        <v>1000</v>
      </c>
      <c r="C12" s="198">
        <v>10</v>
      </c>
      <c r="D12" s="198">
        <v>38.729999999999997</v>
      </c>
      <c r="E12" s="198">
        <v>31.6</v>
      </c>
      <c r="F12" s="170">
        <v>44091</v>
      </c>
      <c r="G12" s="198"/>
      <c r="H12" s="198"/>
      <c r="I12" s="199">
        <v>8.5129999999999999</v>
      </c>
      <c r="J12" s="198">
        <v>30.4</v>
      </c>
      <c r="K12" s="170">
        <v>44091</v>
      </c>
      <c r="L12" s="198"/>
      <c r="M12" s="198"/>
      <c r="N12" s="198"/>
      <c r="O12" s="198"/>
      <c r="P12" s="198"/>
      <c r="Q12" s="198"/>
      <c r="R12" s="197" t="s">
        <v>1351</v>
      </c>
      <c r="S12" s="198"/>
      <c r="T12" s="37" t="s">
        <v>1357</v>
      </c>
      <c r="U12" s="198">
        <v>48.5</v>
      </c>
      <c r="V12" s="201" t="s">
        <v>1358</v>
      </c>
      <c r="W12" s="198"/>
      <c r="X12" s="198"/>
      <c r="Y12" s="202">
        <f>(50-U12)/50</f>
        <v>0.03</v>
      </c>
      <c r="Z12" s="198"/>
      <c r="AA12" s="198"/>
      <c r="AB12" s="198"/>
    </row>
    <row r="13" spans="1:28" ht="15.5">
      <c r="A13" s="37">
        <v>2019</v>
      </c>
      <c r="B13" s="37">
        <v>1000</v>
      </c>
      <c r="C13" s="37">
        <v>11</v>
      </c>
      <c r="D13" s="37">
        <v>38.840000000000003</v>
      </c>
      <c r="E13" s="198">
        <v>31.5</v>
      </c>
      <c r="F13" s="170">
        <v>44091</v>
      </c>
      <c r="G13" s="198"/>
      <c r="H13" s="198"/>
      <c r="I13" s="199">
        <v>8.3719999999999999</v>
      </c>
      <c r="J13" s="198">
        <v>30.4</v>
      </c>
      <c r="K13" s="170">
        <v>44091</v>
      </c>
      <c r="L13" s="198"/>
      <c r="M13" s="198"/>
      <c r="N13" s="198"/>
      <c r="O13" s="198"/>
      <c r="P13" s="198"/>
      <c r="Q13" s="198"/>
      <c r="R13" s="197" t="s">
        <v>1351</v>
      </c>
      <c r="S13" s="198"/>
      <c r="T13" s="37" t="s">
        <v>1359</v>
      </c>
      <c r="U13" s="198">
        <v>51.2</v>
      </c>
      <c r="V13" s="201" t="s">
        <v>1358</v>
      </c>
      <c r="W13" s="198"/>
      <c r="X13" s="198"/>
      <c r="Y13" s="202">
        <f>(53-U13)/53</f>
        <v>3.396226415094334E-2</v>
      </c>
      <c r="Z13" s="198"/>
      <c r="AA13" s="198"/>
      <c r="AB13" s="198"/>
    </row>
    <row r="14" spans="1:28" ht="15.5">
      <c r="A14" s="37">
        <v>2019</v>
      </c>
      <c r="B14" s="37">
        <v>1000</v>
      </c>
      <c r="C14" s="198">
        <v>12</v>
      </c>
      <c r="D14" s="198">
        <v>37.96</v>
      </c>
      <c r="E14" s="198">
        <v>31.5</v>
      </c>
      <c r="F14" s="170">
        <v>44091</v>
      </c>
      <c r="G14" s="198">
        <v>37.729999999999997</v>
      </c>
      <c r="H14" s="198">
        <v>31.3</v>
      </c>
      <c r="I14" s="199">
        <v>8.1890000000000001</v>
      </c>
      <c r="J14" s="198">
        <v>30.3</v>
      </c>
      <c r="K14" s="170">
        <v>44091</v>
      </c>
      <c r="L14" s="198">
        <v>8.1999999999999993</v>
      </c>
      <c r="M14" s="198">
        <v>30.1</v>
      </c>
      <c r="N14" s="198"/>
      <c r="O14" s="198">
        <f>G14-D14</f>
        <v>-0.23000000000000398</v>
      </c>
      <c r="P14" s="198">
        <f>L14-I14</f>
        <v>1.0999999999999233E-2</v>
      </c>
      <c r="Q14" s="198"/>
      <c r="R14" s="197" t="s">
        <v>1351</v>
      </c>
      <c r="S14" s="198"/>
      <c r="T14" s="198" t="s">
        <v>1360</v>
      </c>
      <c r="U14" s="204">
        <v>12.67</v>
      </c>
      <c r="V14" s="201" t="s">
        <v>1358</v>
      </c>
      <c r="W14" s="204"/>
      <c r="X14" s="204"/>
      <c r="Y14" s="202">
        <f>(12.8-U14)/12.8</f>
        <v>1.0156250000000061E-2</v>
      </c>
      <c r="Z14" s="198"/>
      <c r="AA14" s="198"/>
      <c r="AB14" s="198"/>
    </row>
    <row r="15" spans="1:28" ht="15.5">
      <c r="A15" s="37">
        <v>2019</v>
      </c>
      <c r="B15" s="37">
        <v>1000</v>
      </c>
      <c r="C15" s="198">
        <v>13</v>
      </c>
      <c r="D15" s="198">
        <v>38.159999999999997</v>
      </c>
      <c r="E15" s="198">
        <v>31.4</v>
      </c>
      <c r="F15" s="170">
        <v>44091</v>
      </c>
      <c r="G15" s="198"/>
      <c r="H15" s="198"/>
      <c r="I15" s="199">
        <v>8.2789999999999999</v>
      </c>
      <c r="J15" s="198">
        <v>30.3</v>
      </c>
      <c r="K15" s="170">
        <v>44091</v>
      </c>
      <c r="L15" s="198"/>
      <c r="M15" s="198"/>
      <c r="N15" s="198"/>
      <c r="O15" s="198"/>
      <c r="P15" s="198"/>
      <c r="Q15" s="198"/>
      <c r="R15" s="197" t="s">
        <v>1351</v>
      </c>
      <c r="S15" s="198"/>
      <c r="T15" s="198"/>
      <c r="U15" s="198"/>
      <c r="V15" s="201"/>
      <c r="W15" s="198"/>
      <c r="X15" s="198"/>
      <c r="Y15" s="202"/>
      <c r="Z15" s="198"/>
      <c r="AA15" s="198"/>
      <c r="AB15" s="198"/>
    </row>
    <row r="16" spans="1:28" ht="15.5">
      <c r="A16" s="37">
        <v>2019</v>
      </c>
      <c r="B16" s="37">
        <v>1000</v>
      </c>
      <c r="C16" s="198">
        <v>14</v>
      </c>
      <c r="D16" s="198">
        <v>38.03</v>
      </c>
      <c r="E16" s="198">
        <v>31.1</v>
      </c>
      <c r="F16" s="170">
        <v>44091</v>
      </c>
      <c r="G16" s="198"/>
      <c r="H16" s="198"/>
      <c r="I16" s="199">
        <v>8.0839999999999996</v>
      </c>
      <c r="J16" s="198">
        <v>30.1</v>
      </c>
      <c r="K16" s="170">
        <v>44091</v>
      </c>
      <c r="L16" s="198"/>
      <c r="M16" s="198"/>
      <c r="N16" s="198"/>
      <c r="O16" s="198"/>
      <c r="P16" s="198"/>
      <c r="Q16" s="198"/>
      <c r="R16" s="197" t="s">
        <v>1351</v>
      </c>
      <c r="S16" s="198"/>
      <c r="T16" s="198"/>
      <c r="U16" s="198"/>
      <c r="V16" s="198"/>
      <c r="W16" s="198"/>
      <c r="X16" s="198"/>
      <c r="Y16" s="198"/>
      <c r="Z16" s="198"/>
      <c r="AA16" s="198"/>
      <c r="AB16" s="198"/>
    </row>
    <row r="17" spans="1:29" ht="15.5">
      <c r="A17" s="37">
        <v>2019</v>
      </c>
      <c r="B17" s="37">
        <v>1000</v>
      </c>
      <c r="C17" s="198">
        <v>15</v>
      </c>
      <c r="D17" s="198">
        <v>38.200000000000003</v>
      </c>
      <c r="E17" s="198">
        <v>31.4</v>
      </c>
      <c r="F17" s="170">
        <v>44091</v>
      </c>
      <c r="G17" s="198"/>
      <c r="H17" s="198"/>
      <c r="I17" s="199">
        <v>8.3469999999999995</v>
      </c>
      <c r="J17" s="198">
        <v>30.1</v>
      </c>
      <c r="K17" s="170">
        <v>44091</v>
      </c>
      <c r="L17" s="198"/>
      <c r="M17" s="198"/>
      <c r="N17" s="198"/>
      <c r="O17" s="198"/>
      <c r="P17" s="198"/>
      <c r="Q17" s="198"/>
      <c r="R17" s="197" t="s">
        <v>1351</v>
      </c>
      <c r="S17" s="198"/>
      <c r="T17" s="37" t="s">
        <v>162</v>
      </c>
      <c r="U17" s="198"/>
      <c r="V17" s="198"/>
      <c r="W17" s="198"/>
      <c r="X17" s="198"/>
      <c r="Y17" s="198"/>
      <c r="Z17" s="198"/>
      <c r="AA17" s="198"/>
      <c r="AB17" s="198"/>
    </row>
    <row r="18" spans="1:29" ht="15.5">
      <c r="A18" s="37">
        <v>2019</v>
      </c>
      <c r="B18" s="37">
        <v>1000</v>
      </c>
      <c r="C18" s="37">
        <v>16</v>
      </c>
      <c r="D18" s="37">
        <v>37.33</v>
      </c>
      <c r="E18" s="198">
        <v>31.3</v>
      </c>
      <c r="F18" s="170">
        <v>44091</v>
      </c>
      <c r="G18" s="198"/>
      <c r="H18" s="198"/>
      <c r="I18" s="199">
        <v>8.2210000000000001</v>
      </c>
      <c r="J18" s="198">
        <v>30</v>
      </c>
      <c r="K18" s="170">
        <v>44091</v>
      </c>
      <c r="L18" s="198"/>
      <c r="M18" s="198"/>
      <c r="N18" s="198"/>
      <c r="O18" s="198"/>
      <c r="P18" s="198"/>
      <c r="Q18" s="198"/>
      <c r="R18" s="197" t="s">
        <v>1351</v>
      </c>
      <c r="S18" s="198"/>
      <c r="T18" s="172" t="s">
        <v>1362</v>
      </c>
      <c r="U18" s="198"/>
      <c r="V18" s="198"/>
      <c r="W18" s="198"/>
      <c r="X18" s="198"/>
      <c r="Y18" s="198"/>
      <c r="Z18" s="198"/>
      <c r="AA18" s="198"/>
      <c r="AB18" s="198"/>
    </row>
    <row r="19" spans="1:29" ht="15.5">
      <c r="A19" s="37">
        <v>2019</v>
      </c>
      <c r="B19" s="37">
        <v>1000</v>
      </c>
      <c r="C19" s="198">
        <v>17</v>
      </c>
      <c r="D19" s="198">
        <v>37.74</v>
      </c>
      <c r="E19" s="198">
        <v>31.2</v>
      </c>
      <c r="F19" s="170">
        <v>44091</v>
      </c>
      <c r="G19" s="198"/>
      <c r="H19" s="198"/>
      <c r="I19" s="199">
        <v>8.3650000000000002</v>
      </c>
      <c r="J19" s="198">
        <v>30</v>
      </c>
      <c r="K19" s="170">
        <v>44091</v>
      </c>
      <c r="L19" s="198"/>
      <c r="M19" s="198"/>
      <c r="N19" s="198"/>
      <c r="Q19" s="198"/>
      <c r="R19" s="197" t="s">
        <v>1351</v>
      </c>
      <c r="S19" s="198"/>
      <c r="T19" s="37" t="s">
        <v>1402</v>
      </c>
      <c r="U19" s="37" t="s">
        <v>1353</v>
      </c>
      <c r="V19" s="198"/>
      <c r="W19" s="37" t="s">
        <v>1354</v>
      </c>
      <c r="X19" s="198"/>
      <c r="Y19" s="198" t="s">
        <v>1355</v>
      </c>
      <c r="Z19" s="198" t="s">
        <v>1356</v>
      </c>
      <c r="AA19" s="198"/>
      <c r="AB19" s="198"/>
    </row>
    <row r="20" spans="1:29" ht="15.5">
      <c r="A20" s="37">
        <v>2019</v>
      </c>
      <c r="B20" s="37">
        <v>1000</v>
      </c>
      <c r="C20" s="198">
        <v>18</v>
      </c>
      <c r="D20" s="198">
        <v>36.909999999999997</v>
      </c>
      <c r="E20" s="198">
        <v>31.2</v>
      </c>
      <c r="F20" s="170">
        <v>44091</v>
      </c>
      <c r="G20" s="170"/>
      <c r="H20" s="198"/>
      <c r="I20" s="199">
        <v>8.2590000000000003</v>
      </c>
      <c r="J20" s="198">
        <v>29.9</v>
      </c>
      <c r="K20" s="170">
        <v>44091</v>
      </c>
      <c r="L20" s="198"/>
      <c r="M20" s="198"/>
      <c r="N20" s="198"/>
      <c r="O20" s="198"/>
      <c r="P20" s="198"/>
      <c r="Q20" s="198"/>
      <c r="R20" s="197" t="s">
        <v>1351</v>
      </c>
      <c r="S20" s="198"/>
      <c r="T20" s="37">
        <v>9.18</v>
      </c>
      <c r="U20" s="198">
        <v>9.0579999999999998</v>
      </c>
      <c r="V20" s="201"/>
      <c r="W20" s="198">
        <v>30.1</v>
      </c>
      <c r="X20" s="198"/>
      <c r="Y20" s="205">
        <f>(U20-T20)/T20</f>
        <v>-1.3289760348583866E-2</v>
      </c>
      <c r="Z20" s="205">
        <f>_xlfn.STDEV.P(Y20:Y25)</f>
        <v>4.5751633986927907E-3</v>
      </c>
      <c r="AA20" s="205">
        <f>Z20/SQRT(2)</f>
        <v>3.2351290642521641E-3</v>
      </c>
      <c r="AB20" s="206">
        <f>AA20</f>
        <v>3.2351290642521641E-3</v>
      </c>
    </row>
    <row r="21" spans="1:29" ht="15.5">
      <c r="A21" s="37">
        <v>2019</v>
      </c>
      <c r="B21" s="37">
        <v>1000</v>
      </c>
      <c r="C21" s="198">
        <v>19</v>
      </c>
      <c r="D21" s="198">
        <v>36.840000000000003</v>
      </c>
      <c r="E21" s="198">
        <v>31.2</v>
      </c>
      <c r="F21" s="170">
        <v>44091</v>
      </c>
      <c r="G21" s="170"/>
      <c r="H21" s="198"/>
      <c r="I21" s="199">
        <v>8.2159999999999993</v>
      </c>
      <c r="J21" s="198">
        <v>30</v>
      </c>
      <c r="K21" s="170">
        <v>44091</v>
      </c>
      <c r="L21" s="198"/>
      <c r="M21" s="198"/>
      <c r="N21" s="198"/>
      <c r="O21" s="198"/>
      <c r="P21" s="198"/>
      <c r="Q21" s="198"/>
      <c r="R21" s="197" t="s">
        <v>1351</v>
      </c>
      <c r="S21" s="198"/>
      <c r="T21" s="37" t="s">
        <v>1363</v>
      </c>
      <c r="U21" s="37" t="s">
        <v>1353</v>
      </c>
      <c r="V21" s="198"/>
      <c r="W21" s="37" t="s">
        <v>1354</v>
      </c>
      <c r="X21" s="198"/>
      <c r="Y21" s="205"/>
      <c r="Z21" s="205"/>
      <c r="AA21" s="205"/>
      <c r="AB21" s="198"/>
    </row>
    <row r="22" spans="1:29" ht="15.5">
      <c r="A22" s="37">
        <v>2019</v>
      </c>
      <c r="B22" s="37">
        <v>1000</v>
      </c>
      <c r="C22" s="198">
        <v>20</v>
      </c>
      <c r="D22" s="198">
        <v>36.39</v>
      </c>
      <c r="E22" s="198">
        <v>31.1</v>
      </c>
      <c r="F22" s="170">
        <v>44091</v>
      </c>
      <c r="G22" s="170"/>
      <c r="H22" s="198"/>
      <c r="I22" s="199">
        <v>8.2260000000000009</v>
      </c>
      <c r="J22" s="198">
        <v>29.9</v>
      </c>
      <c r="K22" s="170">
        <v>44091</v>
      </c>
      <c r="L22" s="198"/>
      <c r="M22" s="198"/>
      <c r="N22" s="198"/>
      <c r="O22" s="198"/>
      <c r="P22" s="198"/>
      <c r="Q22" s="198"/>
      <c r="R22" s="197" t="s">
        <v>1351</v>
      </c>
      <c r="S22" s="198"/>
      <c r="T22" s="37">
        <v>7.01</v>
      </c>
      <c r="U22" s="198"/>
      <c r="V22" s="201"/>
      <c r="W22" s="198"/>
      <c r="X22" s="198"/>
      <c r="Y22" s="205"/>
      <c r="Z22" s="205"/>
      <c r="AA22" s="205"/>
      <c r="AB22" s="198"/>
    </row>
    <row r="23" spans="1:29" ht="15.5">
      <c r="A23" s="37">
        <v>2019</v>
      </c>
      <c r="B23" s="207">
        <v>1000</v>
      </c>
      <c r="C23" s="207">
        <v>21</v>
      </c>
      <c r="D23" s="204">
        <v>36.72</v>
      </c>
      <c r="E23" s="198">
        <v>31.1</v>
      </c>
      <c r="F23" s="170">
        <v>44091</v>
      </c>
      <c r="G23" s="170"/>
      <c r="H23" s="204"/>
      <c r="I23" s="208">
        <v>8.1059999999999999</v>
      </c>
      <c r="J23" s="198">
        <v>29.9</v>
      </c>
      <c r="K23" s="170">
        <v>44091</v>
      </c>
      <c r="L23" s="204"/>
      <c r="M23" s="204"/>
      <c r="N23" s="204"/>
      <c r="O23" s="204"/>
      <c r="P23" s="204"/>
      <c r="Q23" s="204"/>
      <c r="R23" s="197" t="s">
        <v>1351</v>
      </c>
      <c r="S23" s="204"/>
      <c r="T23" s="37">
        <v>10.01</v>
      </c>
      <c r="U23" s="198"/>
      <c r="V23" s="201"/>
      <c r="W23" s="198"/>
      <c r="X23" s="198"/>
      <c r="Y23" s="205"/>
      <c r="Z23" s="205"/>
      <c r="AA23" s="205"/>
      <c r="AB23" s="198"/>
    </row>
    <row r="24" spans="1:29" ht="15.5">
      <c r="A24" s="37">
        <v>2019</v>
      </c>
      <c r="B24" s="37">
        <v>2000</v>
      </c>
      <c r="C24" s="37">
        <v>1</v>
      </c>
      <c r="D24" s="198">
        <v>39.31</v>
      </c>
      <c r="E24" s="198">
        <v>25.7</v>
      </c>
      <c r="F24" s="170">
        <v>44092</v>
      </c>
      <c r="G24" s="198"/>
      <c r="H24" s="198"/>
      <c r="I24" s="199">
        <v>8.59</v>
      </c>
      <c r="J24" s="198">
        <v>26</v>
      </c>
      <c r="K24" s="170">
        <v>44092</v>
      </c>
      <c r="L24" s="198"/>
      <c r="M24" s="198"/>
      <c r="N24" s="198"/>
      <c r="O24" s="198"/>
      <c r="P24" s="198"/>
      <c r="Q24" s="198"/>
      <c r="R24" s="197" t="s">
        <v>1351</v>
      </c>
      <c r="S24" s="198"/>
      <c r="T24" s="37">
        <v>12.45</v>
      </c>
      <c r="U24" s="198"/>
      <c r="V24" s="201"/>
      <c r="W24" s="198"/>
      <c r="X24" s="204"/>
      <c r="Y24" s="205"/>
      <c r="Z24" s="209"/>
      <c r="AA24" s="209"/>
      <c r="AB24" s="204"/>
    </row>
    <row r="25" spans="1:29" ht="16" thickBot="1">
      <c r="A25" s="37">
        <v>2019</v>
      </c>
      <c r="B25" s="37">
        <v>2000</v>
      </c>
      <c r="C25" s="198">
        <v>2</v>
      </c>
      <c r="D25" s="198">
        <v>38.46</v>
      </c>
      <c r="E25" s="198">
        <v>26</v>
      </c>
      <c r="F25" s="170">
        <v>44092</v>
      </c>
      <c r="G25" s="198"/>
      <c r="H25" s="198"/>
      <c r="I25" s="199">
        <v>8.4640000000000004</v>
      </c>
      <c r="J25" s="198">
        <v>26</v>
      </c>
      <c r="K25" s="170">
        <v>44092</v>
      </c>
      <c r="L25" s="198"/>
      <c r="M25" s="198"/>
      <c r="N25" s="198"/>
      <c r="O25" s="198"/>
      <c r="P25" s="198"/>
      <c r="Q25" s="198"/>
      <c r="R25" s="197" t="s">
        <v>1351</v>
      </c>
      <c r="S25" s="198"/>
      <c r="T25" s="214">
        <v>9.18</v>
      </c>
      <c r="U25" s="215">
        <v>9.1419999999999995</v>
      </c>
      <c r="V25" s="216"/>
      <c r="W25" s="215">
        <v>29.1</v>
      </c>
      <c r="X25" s="215"/>
      <c r="Y25" s="217">
        <f>(U25-T25)/T25</f>
        <v>-4.1394335511982855E-3</v>
      </c>
      <c r="Z25" s="217"/>
      <c r="AA25" s="217"/>
      <c r="AB25" s="215"/>
      <c r="AC25" s="218"/>
    </row>
    <row r="26" spans="1:29" ht="15.5">
      <c r="A26" s="37">
        <v>2019</v>
      </c>
      <c r="B26" s="37">
        <v>2000</v>
      </c>
      <c r="C26" s="198">
        <v>3</v>
      </c>
      <c r="D26" s="198">
        <v>36.729999999999997</v>
      </c>
      <c r="E26" s="198">
        <v>26</v>
      </c>
      <c r="F26" s="170">
        <v>44092</v>
      </c>
      <c r="G26" s="198">
        <v>36.71</v>
      </c>
      <c r="H26" s="198">
        <v>26</v>
      </c>
      <c r="I26" s="211">
        <v>8.5449999999999999</v>
      </c>
      <c r="J26" s="198">
        <v>26</v>
      </c>
      <c r="K26" s="170">
        <v>44092</v>
      </c>
      <c r="L26" s="212">
        <v>8.5389999999999997</v>
      </c>
      <c r="M26" s="212">
        <v>25.8</v>
      </c>
      <c r="O26" s="198">
        <f>G26-D26</f>
        <v>-1.9999999999996021E-2</v>
      </c>
      <c r="P26" s="198">
        <f>L26-I26</f>
        <v>-6.0000000000002274E-3</v>
      </c>
      <c r="R26" s="197" t="s">
        <v>1351</v>
      </c>
      <c r="T26" s="37" t="s">
        <v>1352</v>
      </c>
      <c r="U26" s="198"/>
      <c r="V26" s="213">
        <v>44092</v>
      </c>
      <c r="W26" s="198"/>
      <c r="X26" s="198"/>
      <c r="Y26" s="37"/>
      <c r="Z26" s="37"/>
      <c r="AA26" s="37"/>
      <c r="AB26" s="37"/>
    </row>
    <row r="27" spans="1:29" ht="15.5">
      <c r="A27" s="37">
        <v>2019</v>
      </c>
      <c r="B27" s="37">
        <v>2000</v>
      </c>
      <c r="C27" s="198">
        <v>4</v>
      </c>
      <c r="D27" s="198">
        <v>37.83</v>
      </c>
      <c r="E27" s="198">
        <v>26</v>
      </c>
      <c r="F27" s="170">
        <v>44092</v>
      </c>
      <c r="I27" s="211">
        <v>8.4610000000000003</v>
      </c>
      <c r="J27" s="198">
        <v>25.9</v>
      </c>
      <c r="K27" s="170">
        <v>44092</v>
      </c>
      <c r="O27" s="198"/>
      <c r="P27" s="198"/>
      <c r="R27" s="197" t="s">
        <v>1351</v>
      </c>
      <c r="T27" s="172" t="s">
        <v>1364</v>
      </c>
      <c r="U27" s="198"/>
      <c r="V27" s="198"/>
      <c r="W27" s="198"/>
      <c r="X27" s="198"/>
      <c r="Y27" s="198"/>
      <c r="Z27" s="198"/>
      <c r="AA27" s="198"/>
      <c r="AB27" s="198"/>
    </row>
    <row r="28" spans="1:29" ht="15.5">
      <c r="A28" s="37">
        <v>2019</v>
      </c>
      <c r="B28" s="37">
        <v>2000</v>
      </c>
      <c r="C28" s="198">
        <v>5</v>
      </c>
      <c r="D28" s="198">
        <v>39.18</v>
      </c>
      <c r="E28" s="198">
        <v>25.9</v>
      </c>
      <c r="F28" s="170">
        <v>44092</v>
      </c>
      <c r="I28" s="211">
        <v>8.5920000000000005</v>
      </c>
      <c r="J28" s="198">
        <v>25.7</v>
      </c>
      <c r="K28" s="170">
        <v>44092</v>
      </c>
      <c r="R28" s="197" t="s">
        <v>1351</v>
      </c>
      <c r="T28" s="37" t="s">
        <v>1394</v>
      </c>
      <c r="U28" s="37" t="s">
        <v>1353</v>
      </c>
      <c r="V28" s="198"/>
      <c r="W28" s="37" t="s">
        <v>1354</v>
      </c>
      <c r="X28" s="198"/>
      <c r="Y28" s="198" t="s">
        <v>1355</v>
      </c>
      <c r="Z28" s="198" t="s">
        <v>1356</v>
      </c>
      <c r="AA28" s="198"/>
      <c r="AB28" s="198"/>
    </row>
    <row r="29" spans="1:29" ht="15.5">
      <c r="A29" s="37">
        <v>2019</v>
      </c>
      <c r="B29" s="37">
        <v>2000</v>
      </c>
      <c r="C29" s="37">
        <v>6</v>
      </c>
      <c r="D29" s="198">
        <v>39.04</v>
      </c>
      <c r="E29" s="198">
        <v>26</v>
      </c>
      <c r="F29" s="170">
        <v>44092</v>
      </c>
      <c r="I29" s="211">
        <v>8.6199999999999992</v>
      </c>
      <c r="J29" s="198">
        <v>25.6</v>
      </c>
      <c r="K29" s="170">
        <v>44092</v>
      </c>
      <c r="O29" s="198"/>
      <c r="P29" s="198"/>
      <c r="R29" s="197" t="s">
        <v>1351</v>
      </c>
      <c r="T29" s="37"/>
      <c r="U29" s="200"/>
      <c r="V29" s="201"/>
      <c r="W29" s="198"/>
      <c r="X29" s="198"/>
      <c r="Y29" s="200"/>
      <c r="Z29" s="198">
        <f>_xlfn.STDEV.P(Y30:Y32,Y35:Y38)</f>
        <v>8.5271613626159756E-3</v>
      </c>
      <c r="AA29" s="198">
        <f>Z29/SQRT(COUNT(Y30:Y32,Y35:Y37))</f>
        <v>3.4811990487974768E-3</v>
      </c>
      <c r="AB29" s="206">
        <f>AA29</f>
        <v>3.4811990487974768E-3</v>
      </c>
    </row>
    <row r="30" spans="1:29" ht="15.5">
      <c r="A30" s="37">
        <v>2019</v>
      </c>
      <c r="B30" s="37">
        <v>2000</v>
      </c>
      <c r="C30" s="198">
        <v>7</v>
      </c>
      <c r="D30" s="198">
        <v>38.479999999999997</v>
      </c>
      <c r="E30" s="198">
        <v>25.9</v>
      </c>
      <c r="F30" s="170">
        <v>44092</v>
      </c>
      <c r="I30" s="211">
        <v>8.6470000000000002</v>
      </c>
      <c r="J30" s="198">
        <v>25.6</v>
      </c>
      <c r="K30" s="170">
        <v>44092</v>
      </c>
      <c r="O30" s="198"/>
      <c r="P30" s="198"/>
      <c r="R30" s="197" t="s">
        <v>1351</v>
      </c>
      <c r="T30" s="37" t="s">
        <v>1357</v>
      </c>
      <c r="U30" s="198">
        <v>49.7</v>
      </c>
      <c r="V30" s="201" t="s">
        <v>1358</v>
      </c>
      <c r="W30" s="37">
        <v>25.4</v>
      </c>
      <c r="X30" s="198"/>
      <c r="Y30" s="198">
        <f>(50-U30)/50</f>
        <v>5.9999999999999429E-3</v>
      </c>
      <c r="Z30" s="198"/>
      <c r="AA30" s="198"/>
      <c r="AB30" s="198"/>
    </row>
    <row r="31" spans="1:29" ht="15.5">
      <c r="A31" s="37">
        <v>2019</v>
      </c>
      <c r="B31" s="37">
        <v>2000</v>
      </c>
      <c r="C31" s="198">
        <v>8</v>
      </c>
      <c r="D31" s="198">
        <v>35.619999999999997</v>
      </c>
      <c r="E31" s="198">
        <v>25.8</v>
      </c>
      <c r="F31" s="170">
        <v>44092</v>
      </c>
      <c r="I31" s="211">
        <v>8.5459999999999994</v>
      </c>
      <c r="J31" s="198">
        <v>25.5</v>
      </c>
      <c r="K31" s="170">
        <v>44092</v>
      </c>
      <c r="O31" s="198"/>
      <c r="P31" s="198"/>
      <c r="R31" s="197" t="s">
        <v>1351</v>
      </c>
      <c r="T31" s="37" t="s">
        <v>1359</v>
      </c>
      <c r="U31" s="198">
        <v>53</v>
      </c>
      <c r="V31" s="201" t="s">
        <v>1358</v>
      </c>
      <c r="W31" s="198">
        <v>25.4</v>
      </c>
      <c r="X31" s="198"/>
      <c r="Y31" s="202">
        <f>(53-U31)/53</f>
        <v>0</v>
      </c>
      <c r="Z31" s="198"/>
      <c r="AA31" s="198"/>
      <c r="AB31" s="198"/>
    </row>
    <row r="32" spans="1:29" ht="15.5">
      <c r="A32" s="37">
        <v>2019</v>
      </c>
      <c r="B32" s="37">
        <v>2000</v>
      </c>
      <c r="C32" s="198">
        <v>9</v>
      </c>
      <c r="D32" s="198">
        <v>37.47</v>
      </c>
      <c r="E32" s="198">
        <v>25.7</v>
      </c>
      <c r="F32" s="170">
        <v>44092</v>
      </c>
      <c r="I32" s="211">
        <v>8.6379999999999999</v>
      </c>
      <c r="J32" s="198">
        <v>25.6</v>
      </c>
      <c r="K32" s="170">
        <v>44092</v>
      </c>
      <c r="O32" s="198"/>
      <c r="P32" s="198"/>
      <c r="R32" s="197" t="s">
        <v>1351</v>
      </c>
      <c r="T32" s="198" t="s">
        <v>1360</v>
      </c>
      <c r="U32" s="198">
        <v>12.84</v>
      </c>
      <c r="V32" s="201" t="s">
        <v>1358</v>
      </c>
      <c r="W32" s="198">
        <v>25.8</v>
      </c>
      <c r="X32" s="198"/>
      <c r="Y32" s="202">
        <f>(12.8-U32)/12.8</f>
        <v>-3.1249999999999334E-3</v>
      </c>
      <c r="Z32" s="198"/>
      <c r="AA32" s="198"/>
      <c r="AB32" s="198"/>
    </row>
    <row r="33" spans="1:28" ht="15.5">
      <c r="A33" s="37">
        <v>2019</v>
      </c>
      <c r="B33" s="37">
        <v>2000</v>
      </c>
      <c r="C33" s="198">
        <v>10</v>
      </c>
      <c r="D33" s="198">
        <v>37.43</v>
      </c>
      <c r="E33" s="198">
        <v>25.7</v>
      </c>
      <c r="F33" s="170">
        <v>44092</v>
      </c>
      <c r="I33" s="211">
        <v>8.5950000000000006</v>
      </c>
      <c r="J33" s="198">
        <v>25.5</v>
      </c>
      <c r="K33" s="170">
        <v>44092</v>
      </c>
      <c r="O33" s="198"/>
      <c r="P33" s="198"/>
      <c r="R33" s="197" t="s">
        <v>1351</v>
      </c>
      <c r="X33" s="198"/>
      <c r="Y33" s="198"/>
      <c r="Z33" s="198"/>
      <c r="AA33" s="198"/>
      <c r="AB33" s="198"/>
    </row>
    <row r="34" spans="1:28" ht="15.5">
      <c r="A34" s="37">
        <v>2019</v>
      </c>
      <c r="B34" s="37">
        <v>2000</v>
      </c>
      <c r="C34" s="37">
        <v>11</v>
      </c>
      <c r="D34" s="198">
        <v>37.75</v>
      </c>
      <c r="E34" s="198">
        <v>25.6</v>
      </c>
      <c r="F34" s="170">
        <v>44092</v>
      </c>
      <c r="I34" s="211">
        <v>8.4849999999999994</v>
      </c>
      <c r="J34" s="198">
        <v>25.6</v>
      </c>
      <c r="K34" s="170">
        <v>44092</v>
      </c>
      <c r="O34" s="198"/>
      <c r="P34" s="198"/>
      <c r="R34" s="197" t="s">
        <v>1351</v>
      </c>
      <c r="T34" s="37" t="s">
        <v>1361</v>
      </c>
      <c r="U34" s="37" t="s">
        <v>1353</v>
      </c>
      <c r="V34" s="198"/>
      <c r="W34" s="37" t="s">
        <v>1354</v>
      </c>
      <c r="X34" s="198"/>
      <c r="Y34" s="203"/>
      <c r="Z34" s="198"/>
      <c r="AA34" s="198"/>
      <c r="AB34" s="198"/>
    </row>
    <row r="35" spans="1:28" ht="15.5">
      <c r="A35" s="37">
        <v>2019</v>
      </c>
      <c r="B35" s="37">
        <v>2000</v>
      </c>
      <c r="C35" s="198">
        <v>12</v>
      </c>
      <c r="D35" s="198">
        <v>37.32</v>
      </c>
      <c r="E35" s="198">
        <v>25.7</v>
      </c>
      <c r="F35" s="170">
        <v>44092</v>
      </c>
      <c r="G35" s="198">
        <v>37.28</v>
      </c>
      <c r="H35" s="198">
        <v>25</v>
      </c>
      <c r="I35" s="211">
        <v>8.609</v>
      </c>
      <c r="J35" s="198">
        <v>25.5</v>
      </c>
      <c r="K35" s="170">
        <v>44092</v>
      </c>
      <c r="L35" s="212">
        <v>8.61</v>
      </c>
      <c r="M35" s="212">
        <v>25.3</v>
      </c>
      <c r="O35" s="198">
        <f>G35-D35</f>
        <v>-3.9999999999999147E-2</v>
      </c>
      <c r="P35" s="198">
        <f>L35-I35</f>
        <v>9.9999999999944578E-4</v>
      </c>
      <c r="R35" s="197" t="s">
        <v>1351</v>
      </c>
      <c r="T35" s="37" t="s">
        <v>1357</v>
      </c>
      <c r="U35" s="198">
        <v>49</v>
      </c>
      <c r="V35" s="201" t="s">
        <v>1358</v>
      </c>
      <c r="W35" s="198">
        <v>25.7</v>
      </c>
      <c r="X35" s="198"/>
      <c r="Y35" s="202">
        <f>(50-U35)/50</f>
        <v>0.02</v>
      </c>
      <c r="Z35" s="198"/>
      <c r="AA35" s="198"/>
      <c r="AB35" s="198"/>
    </row>
    <row r="36" spans="1:28" ht="15.5">
      <c r="A36" s="37">
        <v>2019</v>
      </c>
      <c r="B36" s="37">
        <v>2000</v>
      </c>
      <c r="C36" s="198">
        <v>13</v>
      </c>
      <c r="D36" s="198">
        <v>37.86</v>
      </c>
      <c r="E36" s="198">
        <v>25.6</v>
      </c>
      <c r="F36" s="170">
        <v>44092</v>
      </c>
      <c r="I36" s="211">
        <v>8.0850000000000009</v>
      </c>
      <c r="J36" s="198">
        <v>25.5</v>
      </c>
      <c r="K36" s="170">
        <v>44092</v>
      </c>
      <c r="R36" s="197" t="s">
        <v>1351</v>
      </c>
      <c r="T36" s="37" t="s">
        <v>1359</v>
      </c>
      <c r="U36" s="198">
        <v>52.4</v>
      </c>
      <c r="V36" s="201" t="s">
        <v>1358</v>
      </c>
      <c r="W36" s="198">
        <v>25.7</v>
      </c>
      <c r="X36" s="198"/>
      <c r="Y36" s="202">
        <f>(53-U36)/53</f>
        <v>1.1320754716981159E-2</v>
      </c>
      <c r="Z36" s="198"/>
      <c r="AA36" s="198"/>
      <c r="AB36" s="198"/>
    </row>
    <row r="37" spans="1:28" ht="15.5">
      <c r="A37" s="37">
        <v>2019</v>
      </c>
      <c r="B37" s="37">
        <v>2000</v>
      </c>
      <c r="C37" s="198">
        <v>14</v>
      </c>
      <c r="D37" s="198">
        <v>36.950000000000003</v>
      </c>
      <c r="E37" s="198">
        <v>25.7</v>
      </c>
      <c r="F37" s="170">
        <v>44092</v>
      </c>
      <c r="I37" s="211">
        <v>8.4030000000000005</v>
      </c>
      <c r="J37" s="198">
        <v>26.1</v>
      </c>
      <c r="K37" s="170">
        <v>44092</v>
      </c>
      <c r="R37" s="197" t="s">
        <v>1351</v>
      </c>
      <c r="T37" s="198" t="s">
        <v>1360</v>
      </c>
      <c r="U37" s="204">
        <v>12.85</v>
      </c>
      <c r="V37" s="201" t="s">
        <v>1358</v>
      </c>
      <c r="W37" s="204">
        <v>25.4</v>
      </c>
      <c r="X37" s="204"/>
      <c r="Y37" s="202">
        <f>(12.8-U37)/12.8</f>
        <v>-3.9062499999999167E-3</v>
      </c>
      <c r="Z37" s="198"/>
      <c r="AA37" s="198"/>
      <c r="AB37" s="198"/>
    </row>
    <row r="38" spans="1:28" ht="15.5">
      <c r="A38" s="37">
        <v>2019</v>
      </c>
      <c r="B38" s="37">
        <v>2000</v>
      </c>
      <c r="C38" s="198">
        <v>15</v>
      </c>
      <c r="D38" s="198">
        <v>36.68</v>
      </c>
      <c r="E38" s="198">
        <v>25.6</v>
      </c>
      <c r="F38" s="170">
        <v>44092</v>
      </c>
      <c r="I38" s="211">
        <v>8.5139999999999993</v>
      </c>
      <c r="J38" s="198">
        <v>25.6</v>
      </c>
      <c r="K38" s="170">
        <v>44092</v>
      </c>
      <c r="R38" s="197" t="s">
        <v>1351</v>
      </c>
      <c r="T38" s="198"/>
      <c r="U38" s="198"/>
      <c r="V38" s="201"/>
      <c r="W38" s="198"/>
      <c r="X38" s="198"/>
      <c r="Y38" s="202"/>
      <c r="Z38" s="198"/>
      <c r="AA38" s="198"/>
      <c r="AB38" s="198"/>
    </row>
    <row r="39" spans="1:28" ht="15.5">
      <c r="A39" s="37">
        <v>2019</v>
      </c>
      <c r="B39" s="37">
        <v>2000</v>
      </c>
      <c r="C39" s="37">
        <v>16</v>
      </c>
      <c r="D39" s="198">
        <v>39.450000000000003</v>
      </c>
      <c r="E39" s="198">
        <v>25.5</v>
      </c>
      <c r="F39" s="170">
        <v>44092</v>
      </c>
      <c r="I39" s="211">
        <v>8.657</v>
      </c>
      <c r="J39" s="198">
        <v>26</v>
      </c>
      <c r="K39" s="170">
        <v>44092</v>
      </c>
      <c r="R39" s="197" t="s">
        <v>1351</v>
      </c>
      <c r="T39" s="198"/>
      <c r="U39" s="198"/>
      <c r="V39" s="198"/>
      <c r="W39" s="198"/>
      <c r="X39" s="198"/>
      <c r="Y39" s="198"/>
      <c r="Z39" s="198"/>
      <c r="AA39" s="198"/>
      <c r="AB39" s="198"/>
    </row>
    <row r="40" spans="1:28" ht="15.5">
      <c r="A40" s="37">
        <v>2019</v>
      </c>
      <c r="B40" s="37">
        <v>2000</v>
      </c>
      <c r="C40" s="198">
        <v>17</v>
      </c>
      <c r="D40" s="198">
        <v>39.46</v>
      </c>
      <c r="E40" s="198">
        <v>25.5</v>
      </c>
      <c r="F40" s="170">
        <v>44092</v>
      </c>
      <c r="I40" s="211">
        <v>8.6980000000000004</v>
      </c>
      <c r="J40" s="198">
        <v>25.9</v>
      </c>
      <c r="K40" s="170">
        <v>44092</v>
      </c>
      <c r="R40" s="197" t="s">
        <v>1351</v>
      </c>
      <c r="T40" s="37" t="s">
        <v>162</v>
      </c>
      <c r="U40" s="198"/>
      <c r="V40" s="198"/>
      <c r="W40" s="198"/>
      <c r="X40" s="198"/>
      <c r="Y40" s="198"/>
      <c r="Z40" s="198"/>
      <c r="AA40" s="198"/>
      <c r="AB40" s="198"/>
    </row>
    <row r="41" spans="1:28" ht="15.5">
      <c r="A41" s="37">
        <v>2019</v>
      </c>
      <c r="B41" s="37">
        <v>2000</v>
      </c>
      <c r="C41" s="198">
        <v>18</v>
      </c>
      <c r="D41" s="198">
        <v>39.869999999999997</v>
      </c>
      <c r="E41" s="198">
        <v>25.5</v>
      </c>
      <c r="F41" s="170">
        <v>44092</v>
      </c>
      <c r="I41" s="211">
        <v>8.6669999999999998</v>
      </c>
      <c r="J41" s="198">
        <v>25.9</v>
      </c>
      <c r="K41" s="170">
        <v>44092</v>
      </c>
      <c r="R41" s="197" t="s">
        <v>1351</v>
      </c>
      <c r="T41" s="172" t="s">
        <v>1362</v>
      </c>
      <c r="U41" s="198"/>
      <c r="V41" s="198"/>
      <c r="W41" s="198"/>
      <c r="X41" s="198"/>
      <c r="Y41" s="198"/>
      <c r="Z41" s="198"/>
      <c r="AA41" s="198"/>
      <c r="AB41" s="198"/>
    </row>
    <row r="42" spans="1:28" ht="15.5">
      <c r="A42" s="37">
        <v>2019</v>
      </c>
      <c r="B42" s="37">
        <v>2000</v>
      </c>
      <c r="C42" s="198">
        <v>19</v>
      </c>
      <c r="D42" s="198">
        <v>39.83</v>
      </c>
      <c r="E42" s="198">
        <v>25.5</v>
      </c>
      <c r="F42" s="170">
        <v>44092</v>
      </c>
      <c r="I42" s="211">
        <v>8.6869999999999994</v>
      </c>
      <c r="J42" s="198">
        <v>25.8</v>
      </c>
      <c r="K42" s="170">
        <v>44092</v>
      </c>
      <c r="R42" s="197" t="s">
        <v>1351</v>
      </c>
      <c r="T42" s="37" t="s">
        <v>1397</v>
      </c>
      <c r="U42" s="37" t="s">
        <v>1353</v>
      </c>
      <c r="V42" s="198"/>
      <c r="W42" s="37" t="s">
        <v>1354</v>
      </c>
      <c r="X42" s="198"/>
      <c r="Y42" s="198" t="s">
        <v>1355</v>
      </c>
      <c r="Z42" s="198" t="s">
        <v>1356</v>
      </c>
      <c r="AA42" s="198"/>
      <c r="AB42" s="198"/>
    </row>
    <row r="43" spans="1:28" ht="15.5">
      <c r="A43" s="37">
        <v>2019</v>
      </c>
      <c r="B43" s="37">
        <v>2000</v>
      </c>
      <c r="C43" s="198">
        <v>20</v>
      </c>
      <c r="D43" s="198">
        <v>39.26</v>
      </c>
      <c r="E43" s="198">
        <v>25.5</v>
      </c>
      <c r="F43" s="170">
        <v>44092</v>
      </c>
      <c r="I43" s="211">
        <v>8.6300000000000008</v>
      </c>
      <c r="J43" s="198">
        <v>25.8</v>
      </c>
      <c r="K43" s="170">
        <v>44092</v>
      </c>
      <c r="R43" s="197" t="s">
        <v>1351</v>
      </c>
      <c r="T43" s="37">
        <v>9.18</v>
      </c>
      <c r="U43" s="198">
        <v>9.1340000000000003</v>
      </c>
      <c r="V43" s="201"/>
      <c r="W43" s="198">
        <v>26</v>
      </c>
      <c r="X43" s="198"/>
      <c r="Y43" s="205">
        <f>(U43-T43)/T43</f>
        <v>-5.010893246187296E-3</v>
      </c>
      <c r="Z43" s="205">
        <f>_xlfn.STDEV.P(Y43:Y53)</f>
        <v>5.2054210019105707E-3</v>
      </c>
      <c r="AA43" s="205">
        <f>Z43/SQRT(COUNT(Y43:Y53))</f>
        <v>1.7351403339701903E-3</v>
      </c>
      <c r="AB43" s="206">
        <f>AA43</f>
        <v>1.7351403339701903E-3</v>
      </c>
    </row>
    <row r="44" spans="1:28" ht="15.5">
      <c r="A44" s="207">
        <v>2019</v>
      </c>
      <c r="B44" s="207">
        <v>2000</v>
      </c>
      <c r="C44" s="207">
        <v>21</v>
      </c>
      <c r="D44" s="219">
        <v>39.520000000000003</v>
      </c>
      <c r="E44" s="204">
        <v>25.7</v>
      </c>
      <c r="F44" s="220">
        <v>44092</v>
      </c>
      <c r="G44" s="219"/>
      <c r="H44" s="219"/>
      <c r="I44" s="221">
        <v>8.6950000000000003</v>
      </c>
      <c r="J44" s="204">
        <v>25.8</v>
      </c>
      <c r="K44" s="220">
        <v>44092</v>
      </c>
      <c r="L44" s="219"/>
      <c r="M44" s="219"/>
      <c r="N44" s="219"/>
      <c r="O44" s="219"/>
      <c r="P44" s="219"/>
      <c r="Q44" s="219"/>
      <c r="R44" s="222" t="s">
        <v>1351</v>
      </c>
      <c r="S44" s="219"/>
      <c r="T44" s="37" t="s">
        <v>1398</v>
      </c>
      <c r="U44" s="37" t="s">
        <v>1353</v>
      </c>
      <c r="V44" s="198"/>
      <c r="W44" s="37" t="s">
        <v>1354</v>
      </c>
      <c r="X44" s="198"/>
      <c r="Y44" s="205"/>
      <c r="Z44" s="205"/>
      <c r="AA44" s="205"/>
      <c r="AB44" s="198"/>
    </row>
    <row r="45" spans="1:28" ht="15.5">
      <c r="A45" s="37">
        <v>2019</v>
      </c>
      <c r="B45" s="37">
        <v>3800</v>
      </c>
      <c r="C45" s="37">
        <v>1</v>
      </c>
      <c r="D45" s="198">
        <v>39.840000000000003</v>
      </c>
      <c r="E45" s="198">
        <v>25.1</v>
      </c>
      <c r="F45" s="67">
        <v>44096</v>
      </c>
      <c r="I45" s="211">
        <v>8.5830000000000002</v>
      </c>
      <c r="J45" s="212">
        <v>25.3</v>
      </c>
      <c r="K45" s="67">
        <v>44096</v>
      </c>
      <c r="R45" s="197" t="s">
        <v>1351</v>
      </c>
      <c r="T45" s="37">
        <v>7.01</v>
      </c>
      <c r="U45" s="198">
        <v>7.0350000000000001</v>
      </c>
      <c r="V45" s="201"/>
      <c r="W45" s="198">
        <v>26.3</v>
      </c>
      <c r="X45" s="198"/>
      <c r="Y45" s="205">
        <f t="shared" ref="Y45:Y47" si="0">(U45-T45)/T45</f>
        <v>3.5663338088445587E-3</v>
      </c>
      <c r="Z45" s="205"/>
      <c r="AA45" s="205"/>
      <c r="AB45" s="198"/>
    </row>
    <row r="46" spans="1:28" ht="15.5">
      <c r="A46" s="37">
        <v>2019</v>
      </c>
      <c r="B46" s="37">
        <v>3800</v>
      </c>
      <c r="C46" s="198">
        <v>2</v>
      </c>
      <c r="D46" s="198">
        <v>39.57</v>
      </c>
      <c r="E46" s="198">
        <v>25.2</v>
      </c>
      <c r="F46" s="67">
        <v>44096</v>
      </c>
      <c r="I46" s="211">
        <v>8.5850000000000009</v>
      </c>
      <c r="J46" s="212">
        <v>25.4</v>
      </c>
      <c r="K46" s="67">
        <v>44096</v>
      </c>
      <c r="R46" s="197" t="s">
        <v>1351</v>
      </c>
      <c r="T46" s="37">
        <v>10.01</v>
      </c>
      <c r="U46" s="198">
        <v>10.007999999999999</v>
      </c>
      <c r="V46" s="201"/>
      <c r="W46" s="198">
        <v>26.4</v>
      </c>
      <c r="X46" s="198"/>
      <c r="Y46" s="205">
        <f t="shared" si="0"/>
        <v>-1.9980019980026653E-4</v>
      </c>
      <c r="Z46" s="205"/>
      <c r="AA46" s="205"/>
      <c r="AB46" s="198"/>
    </row>
    <row r="47" spans="1:28" ht="15.5">
      <c r="A47" s="37">
        <v>2019</v>
      </c>
      <c r="B47" s="37">
        <v>3800</v>
      </c>
      <c r="C47" s="198">
        <v>3</v>
      </c>
      <c r="D47" s="198">
        <v>38.340000000000003</v>
      </c>
      <c r="E47" s="198">
        <v>25.3</v>
      </c>
      <c r="F47" s="67">
        <v>44096</v>
      </c>
      <c r="G47" s="198">
        <v>38.24</v>
      </c>
      <c r="H47" s="198">
        <v>25.4</v>
      </c>
      <c r="I47" s="211">
        <v>8.59</v>
      </c>
      <c r="J47" s="212">
        <v>25.4</v>
      </c>
      <c r="K47" s="67">
        <v>44096</v>
      </c>
      <c r="L47" s="212">
        <v>8.5980000000000008</v>
      </c>
      <c r="M47" s="212">
        <v>25.3</v>
      </c>
      <c r="O47" s="198">
        <f>G47-D47</f>
        <v>-0.10000000000000142</v>
      </c>
      <c r="P47" s="198">
        <f>L47-I47</f>
        <v>8.0000000000008953E-3</v>
      </c>
      <c r="R47" s="197" t="s">
        <v>1351</v>
      </c>
      <c r="T47" s="37">
        <v>12.45</v>
      </c>
      <c r="U47" s="198">
        <v>12.385999999999999</v>
      </c>
      <c r="V47" s="201"/>
      <c r="W47" s="198">
        <v>26.4</v>
      </c>
      <c r="X47" s="204"/>
      <c r="Y47" s="205">
        <f t="shared" si="0"/>
        <v>-5.1405622489959892E-3</v>
      </c>
      <c r="Z47" s="209"/>
      <c r="AA47" s="209"/>
      <c r="AB47" s="204"/>
    </row>
    <row r="48" spans="1:28" ht="15.5">
      <c r="A48" s="37">
        <v>2019</v>
      </c>
      <c r="B48" s="37">
        <v>3800</v>
      </c>
      <c r="C48" s="198">
        <v>4</v>
      </c>
      <c r="D48" s="198">
        <v>38.229999999999997</v>
      </c>
      <c r="E48" s="198">
        <v>25.4</v>
      </c>
      <c r="F48" s="67">
        <v>44096</v>
      </c>
      <c r="I48" s="211">
        <v>8.5359999999999996</v>
      </c>
      <c r="J48" s="212">
        <v>25.4</v>
      </c>
      <c r="K48" s="67">
        <v>44096</v>
      </c>
      <c r="O48" s="198"/>
      <c r="P48" s="198"/>
      <c r="R48" s="197" t="s">
        <v>1351</v>
      </c>
      <c r="T48" s="37">
        <v>9.18</v>
      </c>
      <c r="U48" s="198">
        <v>9.1419999999999995</v>
      </c>
      <c r="V48" s="201"/>
      <c r="W48" s="198">
        <v>29.1</v>
      </c>
      <c r="X48" s="198"/>
      <c r="Y48" s="205">
        <f>(U48-T48)/T48</f>
        <v>-4.1394335511982855E-3</v>
      </c>
      <c r="Z48" s="205"/>
      <c r="AA48" s="205"/>
      <c r="AB48" s="198"/>
    </row>
    <row r="49" spans="1:29" ht="15.5">
      <c r="A49" s="37">
        <v>2019</v>
      </c>
      <c r="B49" s="37">
        <v>3800</v>
      </c>
      <c r="C49" s="198">
        <v>5</v>
      </c>
      <c r="D49" s="198">
        <v>39.08</v>
      </c>
      <c r="E49" s="198">
        <v>25.4</v>
      </c>
      <c r="F49" s="67">
        <v>44096</v>
      </c>
      <c r="I49" s="211">
        <v>8.5649999999999995</v>
      </c>
      <c r="J49" s="212">
        <v>25.4</v>
      </c>
      <c r="K49" s="67">
        <v>44096</v>
      </c>
      <c r="R49" s="197" t="s">
        <v>1351</v>
      </c>
      <c r="T49" s="37" t="s">
        <v>1363</v>
      </c>
      <c r="U49" s="37" t="s">
        <v>1353</v>
      </c>
      <c r="V49" s="198"/>
      <c r="W49" s="37" t="s">
        <v>1354</v>
      </c>
      <c r="X49" s="198"/>
      <c r="Y49" s="205"/>
    </row>
    <row r="50" spans="1:29" ht="15.5">
      <c r="A50" s="37">
        <v>2019</v>
      </c>
      <c r="B50" s="37">
        <v>3800</v>
      </c>
      <c r="C50" s="37">
        <v>6</v>
      </c>
      <c r="D50" s="198">
        <v>39.630000000000003</v>
      </c>
      <c r="E50" s="198">
        <v>25.4</v>
      </c>
      <c r="F50" s="67">
        <v>44096</v>
      </c>
      <c r="I50" s="211">
        <v>8.5969999999999995</v>
      </c>
      <c r="J50" s="212">
        <v>25.3</v>
      </c>
      <c r="K50" s="67">
        <v>44096</v>
      </c>
      <c r="O50" s="198"/>
      <c r="P50" s="198"/>
      <c r="R50" s="197" t="s">
        <v>1351</v>
      </c>
      <c r="T50" s="37">
        <v>7.01</v>
      </c>
      <c r="U50" s="198">
        <v>7.0910000000000002</v>
      </c>
      <c r="V50" s="201"/>
      <c r="W50" s="198">
        <v>25.6</v>
      </c>
      <c r="X50" s="198"/>
      <c r="Y50" s="205">
        <f t="shared" ref="Y50:Y52" si="1">(U50-T50)/T50</f>
        <v>1.1554921540656264E-2</v>
      </c>
    </row>
    <row r="51" spans="1:29" ht="15.5">
      <c r="A51" s="37">
        <v>2019</v>
      </c>
      <c r="B51" s="37">
        <v>3800</v>
      </c>
      <c r="C51" s="198">
        <v>7</v>
      </c>
      <c r="D51" s="198">
        <v>39.67</v>
      </c>
      <c r="E51" s="198">
        <v>25.4</v>
      </c>
      <c r="F51" s="67">
        <v>44096</v>
      </c>
      <c r="I51" s="211">
        <v>8.5809999999999995</v>
      </c>
      <c r="J51" s="212">
        <v>25.3</v>
      </c>
      <c r="K51" s="67">
        <v>44096</v>
      </c>
      <c r="O51" s="198"/>
      <c r="P51" s="198"/>
      <c r="R51" s="197" t="s">
        <v>1351</v>
      </c>
      <c r="T51" s="37">
        <v>10.01</v>
      </c>
      <c r="U51" s="198">
        <v>10.057</v>
      </c>
      <c r="V51" s="201"/>
      <c r="W51" s="198">
        <v>25.6</v>
      </c>
      <c r="X51" s="198"/>
      <c r="Y51" s="205">
        <f t="shared" si="1"/>
        <v>4.6953046953047547E-3</v>
      </c>
    </row>
    <row r="52" spans="1:29" ht="15.5">
      <c r="A52" s="37">
        <v>2019</v>
      </c>
      <c r="B52" s="37">
        <v>3800</v>
      </c>
      <c r="C52" s="198">
        <v>8</v>
      </c>
      <c r="D52" s="198">
        <v>39.89</v>
      </c>
      <c r="E52" s="198">
        <v>25.4</v>
      </c>
      <c r="F52" s="67">
        <v>44096</v>
      </c>
      <c r="I52" s="211">
        <v>8.5589999999999993</v>
      </c>
      <c r="J52" s="212">
        <v>25.4</v>
      </c>
      <c r="K52" s="67">
        <v>44096</v>
      </c>
      <c r="O52" s="198"/>
      <c r="P52" s="198"/>
      <c r="R52" s="197" t="s">
        <v>1351</v>
      </c>
      <c r="T52" s="37">
        <v>12.45</v>
      </c>
      <c r="U52" s="198">
        <v>12.416</v>
      </c>
      <c r="V52" s="201"/>
      <c r="W52" s="198">
        <v>25.6</v>
      </c>
      <c r="X52" s="204"/>
      <c r="Y52" s="205">
        <f t="shared" si="1"/>
        <v>-2.73092369477903E-3</v>
      </c>
    </row>
    <row r="53" spans="1:29" ht="16" thickBot="1">
      <c r="A53" s="37">
        <v>2019</v>
      </c>
      <c r="B53" s="37">
        <v>3800</v>
      </c>
      <c r="C53" s="198">
        <v>9</v>
      </c>
      <c r="D53" s="198">
        <v>39.979999999999997</v>
      </c>
      <c r="E53" s="198">
        <v>25.4</v>
      </c>
      <c r="F53" s="67">
        <v>44096</v>
      </c>
      <c r="I53" s="211">
        <v>8.6219999999999999</v>
      </c>
      <c r="J53" s="212">
        <v>25.6</v>
      </c>
      <c r="K53" s="67">
        <v>44096</v>
      </c>
      <c r="O53" s="198"/>
      <c r="P53" s="198"/>
      <c r="R53" s="197" t="s">
        <v>1351</v>
      </c>
      <c r="T53" s="214">
        <v>9.18</v>
      </c>
      <c r="U53" s="215">
        <v>9.1780000000000008</v>
      </c>
      <c r="V53" s="216"/>
      <c r="W53" s="215">
        <v>25.8</v>
      </c>
      <c r="X53" s="215"/>
      <c r="Y53" s="217">
        <f>(U53-T53)/T53</f>
        <v>-2.1786492374715596E-4</v>
      </c>
      <c r="Z53" s="218"/>
      <c r="AA53" s="218"/>
      <c r="AB53" s="218"/>
      <c r="AC53" s="218"/>
    </row>
    <row r="54" spans="1:29" ht="15.5">
      <c r="A54" s="37">
        <v>2019</v>
      </c>
      <c r="B54" s="37">
        <v>3800</v>
      </c>
      <c r="C54" s="198">
        <v>10</v>
      </c>
      <c r="D54" s="198">
        <v>40</v>
      </c>
      <c r="E54" s="198">
        <v>25.4</v>
      </c>
      <c r="F54" s="67">
        <v>44096</v>
      </c>
      <c r="I54" s="211">
        <v>8.64</v>
      </c>
      <c r="J54" s="212">
        <v>25.5</v>
      </c>
      <c r="K54" s="67">
        <v>44096</v>
      </c>
      <c r="O54" s="198"/>
      <c r="P54" s="198"/>
      <c r="R54" s="197" t="s">
        <v>1351</v>
      </c>
      <c r="T54" s="37" t="s">
        <v>1352</v>
      </c>
      <c r="U54" s="198"/>
      <c r="V54" s="213">
        <v>44096</v>
      </c>
      <c r="W54" s="198"/>
      <c r="X54" s="198"/>
      <c r="Y54" s="37"/>
      <c r="Z54" s="37"/>
      <c r="AA54" s="37"/>
      <c r="AB54" s="37"/>
    </row>
    <row r="55" spans="1:29" ht="15.5">
      <c r="A55" s="37">
        <v>2019</v>
      </c>
      <c r="B55" s="37">
        <v>3800</v>
      </c>
      <c r="C55" s="37">
        <v>11</v>
      </c>
      <c r="D55" s="198">
        <v>40.15</v>
      </c>
      <c r="E55" s="198">
        <v>25.4</v>
      </c>
      <c r="F55" s="67">
        <v>44096</v>
      </c>
      <c r="I55" s="211">
        <v>8.6449999999999996</v>
      </c>
      <c r="J55" s="212">
        <v>25.4</v>
      </c>
      <c r="K55" s="67">
        <v>44096</v>
      </c>
      <c r="O55" s="198"/>
      <c r="P55" s="198"/>
      <c r="R55" s="197" t="s">
        <v>1351</v>
      </c>
      <c r="T55" s="172" t="s">
        <v>1364</v>
      </c>
      <c r="U55" s="198"/>
      <c r="V55" s="198"/>
      <c r="W55" s="198"/>
      <c r="X55" s="198"/>
      <c r="Y55" s="198"/>
      <c r="Z55" s="198"/>
      <c r="AA55" s="198"/>
      <c r="AB55" s="198"/>
    </row>
    <row r="56" spans="1:29" ht="15.5">
      <c r="A56" s="37">
        <v>2019</v>
      </c>
      <c r="B56" s="37">
        <v>3800</v>
      </c>
      <c r="C56" s="198">
        <v>12</v>
      </c>
      <c r="D56" s="198">
        <v>39.909999999999997</v>
      </c>
      <c r="E56" s="198">
        <v>25.3</v>
      </c>
      <c r="F56" s="67">
        <v>44096</v>
      </c>
      <c r="G56" s="198">
        <v>39.96</v>
      </c>
      <c r="H56" s="198">
        <v>25.2</v>
      </c>
      <c r="I56" s="211">
        <v>8.6210000000000004</v>
      </c>
      <c r="J56" s="212">
        <v>25.3</v>
      </c>
      <c r="K56" s="67">
        <v>44096</v>
      </c>
      <c r="L56" s="212">
        <v>8.6270000000000007</v>
      </c>
      <c r="M56" s="212">
        <v>25.3</v>
      </c>
      <c r="O56" s="198">
        <f>G56-D56</f>
        <v>5.0000000000004263E-2</v>
      </c>
      <c r="P56" s="198">
        <f>L56-I56</f>
        <v>6.0000000000002274E-3</v>
      </c>
      <c r="R56" s="197" t="s">
        <v>1351</v>
      </c>
      <c r="T56" s="37" t="s">
        <v>1403</v>
      </c>
      <c r="U56" s="37" t="s">
        <v>1353</v>
      </c>
      <c r="V56" s="198"/>
      <c r="W56" s="37" t="s">
        <v>1354</v>
      </c>
      <c r="X56" s="198"/>
      <c r="Y56" s="198" t="s">
        <v>1355</v>
      </c>
      <c r="Z56" s="198" t="s">
        <v>1356</v>
      </c>
      <c r="AA56" s="198"/>
      <c r="AB56" s="198"/>
    </row>
    <row r="57" spans="1:29" ht="15.5">
      <c r="A57" s="37">
        <v>2019</v>
      </c>
      <c r="B57" s="37">
        <v>3800</v>
      </c>
      <c r="C57" s="198">
        <v>13</v>
      </c>
      <c r="D57" s="198">
        <v>39.78</v>
      </c>
      <c r="E57" s="198">
        <v>25.3</v>
      </c>
      <c r="F57" s="67">
        <v>44096</v>
      </c>
      <c r="I57" s="211">
        <v>8.5790000000000006</v>
      </c>
      <c r="J57" s="212">
        <v>25.4</v>
      </c>
      <c r="K57" s="67">
        <v>44096</v>
      </c>
      <c r="R57" s="197" t="s">
        <v>1351</v>
      </c>
      <c r="T57" s="37"/>
      <c r="U57" s="200"/>
      <c r="V57" s="201"/>
      <c r="W57" s="198"/>
      <c r="X57" s="198"/>
      <c r="Y57" s="200"/>
      <c r="Z57" s="198">
        <f>_xlfn.STDEV.P(Y58:Y60,Y63:Y66)</f>
        <v>8.925647718395829E-3</v>
      </c>
      <c r="AA57" s="198">
        <f>Z57/SQRT(COUNT(Y58:Y60,Y63:Y66))</f>
        <v>3.6438804223177771E-3</v>
      </c>
      <c r="AB57" s="206">
        <f>AA57</f>
        <v>3.6438804223177771E-3</v>
      </c>
    </row>
    <row r="58" spans="1:29" ht="15.5">
      <c r="A58" s="37">
        <v>2019</v>
      </c>
      <c r="B58" s="37">
        <v>3800</v>
      </c>
      <c r="C58" s="198">
        <v>14</v>
      </c>
      <c r="D58" s="198">
        <v>39.82</v>
      </c>
      <c r="E58" s="198">
        <v>25.3</v>
      </c>
      <c r="F58" s="67">
        <v>44096</v>
      </c>
      <c r="I58" s="211">
        <v>8.5860000000000003</v>
      </c>
      <c r="J58" s="212">
        <v>25.3</v>
      </c>
      <c r="K58" s="67">
        <v>44096</v>
      </c>
      <c r="R58" s="197" t="s">
        <v>1351</v>
      </c>
      <c r="T58" s="37" t="s">
        <v>1357</v>
      </c>
      <c r="U58" s="198">
        <v>49.6</v>
      </c>
      <c r="V58" s="201" t="s">
        <v>1358</v>
      </c>
      <c r="W58" s="37">
        <v>25.2</v>
      </c>
      <c r="X58" s="198"/>
      <c r="Y58" s="198">
        <f>(50-U58)/50</f>
        <v>7.9999999999999724E-3</v>
      </c>
      <c r="Z58" s="198"/>
      <c r="AA58" s="198"/>
      <c r="AB58" s="198"/>
    </row>
    <row r="59" spans="1:29" ht="15.5">
      <c r="A59" s="37">
        <v>2019</v>
      </c>
      <c r="B59" s="37">
        <v>3800</v>
      </c>
      <c r="C59" s="198">
        <v>15</v>
      </c>
      <c r="D59" s="198">
        <v>39.78</v>
      </c>
      <c r="E59" s="198">
        <v>25.4</v>
      </c>
      <c r="F59" s="67">
        <v>44096</v>
      </c>
      <c r="I59" s="211">
        <v>8.6010000000000009</v>
      </c>
      <c r="J59" s="212">
        <v>25.3</v>
      </c>
      <c r="K59" s="67">
        <v>44096</v>
      </c>
      <c r="R59" s="197" t="s">
        <v>1351</v>
      </c>
      <c r="T59" s="37" t="s">
        <v>1359</v>
      </c>
      <c r="U59" s="198">
        <v>52.8</v>
      </c>
      <c r="V59" s="201" t="s">
        <v>1358</v>
      </c>
      <c r="W59" s="198">
        <v>24.9</v>
      </c>
      <c r="X59" s="198"/>
      <c r="Y59" s="202">
        <f>(53-U59)/53</f>
        <v>3.7735849056604312E-3</v>
      </c>
      <c r="Z59" s="198"/>
      <c r="AA59" s="198"/>
      <c r="AB59" s="198"/>
    </row>
    <row r="60" spans="1:29" ht="15.5">
      <c r="A60" s="37">
        <v>2019</v>
      </c>
      <c r="B60" s="37">
        <v>3800</v>
      </c>
      <c r="C60" s="37">
        <v>16</v>
      </c>
      <c r="D60" s="198">
        <v>39.19</v>
      </c>
      <c r="E60" s="198">
        <v>25.5</v>
      </c>
      <c r="F60" s="67">
        <v>44096</v>
      </c>
      <c r="I60" s="211">
        <v>8.532</v>
      </c>
      <c r="J60" s="212">
        <v>25.3</v>
      </c>
      <c r="K60" s="67">
        <v>44096</v>
      </c>
      <c r="R60" s="197" t="s">
        <v>1351</v>
      </c>
      <c r="T60" s="198" t="s">
        <v>1360</v>
      </c>
      <c r="U60" s="198">
        <v>12.97</v>
      </c>
      <c r="V60" s="201" t="s">
        <v>1358</v>
      </c>
      <c r="W60" s="198">
        <v>25</v>
      </c>
      <c r="X60" s="198"/>
      <c r="Y60" s="202">
        <f>(12.8-U60)/12.8</f>
        <v>-1.3281249999999994E-2</v>
      </c>
      <c r="Z60" s="198"/>
      <c r="AA60" s="198"/>
      <c r="AB60" s="198"/>
    </row>
    <row r="61" spans="1:29" ht="15.5">
      <c r="A61" s="37">
        <v>2019</v>
      </c>
      <c r="B61" s="37">
        <v>3800</v>
      </c>
      <c r="C61" s="198">
        <v>17</v>
      </c>
      <c r="D61" s="198">
        <v>39.54</v>
      </c>
      <c r="E61" s="198">
        <v>25.5</v>
      </c>
      <c r="F61" s="67">
        <v>44096</v>
      </c>
      <c r="I61" s="211">
        <v>8.5739999999999998</v>
      </c>
      <c r="J61" s="212">
        <v>25.3</v>
      </c>
      <c r="K61" s="67">
        <v>44096</v>
      </c>
      <c r="R61" s="197" t="s">
        <v>1351</v>
      </c>
      <c r="X61" s="198"/>
      <c r="Y61" s="198"/>
      <c r="Z61" s="198"/>
      <c r="AA61" s="198"/>
      <c r="AB61" s="198"/>
    </row>
    <row r="62" spans="1:29" ht="15.5">
      <c r="A62" s="37">
        <v>2019</v>
      </c>
      <c r="B62" s="37">
        <v>3800</v>
      </c>
      <c r="C62" s="198">
        <v>18</v>
      </c>
      <c r="D62" s="198">
        <v>39.32</v>
      </c>
      <c r="E62" s="198">
        <v>25.5</v>
      </c>
      <c r="F62" s="67">
        <v>44096</v>
      </c>
      <c r="I62" s="211">
        <v>8.5380000000000003</v>
      </c>
      <c r="J62" s="212">
        <v>25.3</v>
      </c>
      <c r="K62" s="67">
        <v>44096</v>
      </c>
      <c r="R62" s="197" t="s">
        <v>1351</v>
      </c>
      <c r="T62" s="37" t="s">
        <v>1361</v>
      </c>
      <c r="U62" s="37" t="s">
        <v>1353</v>
      </c>
      <c r="V62" s="198"/>
      <c r="W62" s="37" t="s">
        <v>1354</v>
      </c>
      <c r="X62" s="198"/>
      <c r="Y62" s="203"/>
      <c r="Z62" s="198"/>
      <c r="AA62" s="198"/>
      <c r="AB62" s="198"/>
    </row>
    <row r="63" spans="1:29" ht="15.5">
      <c r="A63" s="37">
        <v>2019</v>
      </c>
      <c r="B63" s="37">
        <v>3800</v>
      </c>
      <c r="C63" s="198">
        <v>19</v>
      </c>
      <c r="D63" s="198">
        <v>38.68</v>
      </c>
      <c r="E63" s="198">
        <v>25.5</v>
      </c>
      <c r="F63" s="67">
        <v>44096</v>
      </c>
      <c r="I63" s="211">
        <v>8.49</v>
      </c>
      <c r="J63" s="212">
        <v>25.3</v>
      </c>
      <c r="K63" s="67">
        <v>44096</v>
      </c>
      <c r="R63" s="197" t="s">
        <v>1351</v>
      </c>
      <c r="T63" s="37" t="s">
        <v>1357</v>
      </c>
      <c r="U63" s="198">
        <v>49.7</v>
      </c>
      <c r="V63" s="201" t="s">
        <v>1358</v>
      </c>
      <c r="W63" s="198">
        <v>24.7</v>
      </c>
      <c r="X63" s="198"/>
      <c r="Y63" s="202">
        <f>(50-U63)/50</f>
        <v>5.9999999999999429E-3</v>
      </c>
      <c r="Z63" s="198"/>
      <c r="AA63" s="198"/>
      <c r="AB63" s="198"/>
    </row>
    <row r="64" spans="1:29" ht="15.5">
      <c r="A64" s="37">
        <v>2019</v>
      </c>
      <c r="B64" s="37">
        <v>3800</v>
      </c>
      <c r="C64" s="198">
        <v>20</v>
      </c>
      <c r="D64" s="198">
        <v>39.31</v>
      </c>
      <c r="E64" s="198">
        <v>25.5</v>
      </c>
      <c r="F64" s="67">
        <v>44096</v>
      </c>
      <c r="I64" s="211">
        <v>8.5730000000000004</v>
      </c>
      <c r="J64" s="212">
        <v>25.3</v>
      </c>
      <c r="K64" s="67">
        <v>44096</v>
      </c>
      <c r="R64" s="197" t="s">
        <v>1351</v>
      </c>
      <c r="T64" s="37" t="s">
        <v>1359</v>
      </c>
      <c r="U64" s="198">
        <v>52.7</v>
      </c>
      <c r="V64" s="201" t="s">
        <v>1358</v>
      </c>
      <c r="W64" s="198">
        <v>25</v>
      </c>
      <c r="X64" s="198"/>
      <c r="Y64" s="202">
        <f>(53-U64)/53</f>
        <v>5.6603773584905127E-3</v>
      </c>
      <c r="Z64" s="198"/>
      <c r="AA64" s="198"/>
      <c r="AB64" s="198"/>
    </row>
    <row r="65" spans="1:28" ht="15.5">
      <c r="A65" s="37">
        <v>2019</v>
      </c>
      <c r="B65" s="37">
        <v>3800</v>
      </c>
      <c r="C65" s="207">
        <v>21</v>
      </c>
      <c r="D65" s="198">
        <v>39.729999999999997</v>
      </c>
      <c r="E65" s="198">
        <v>25.4</v>
      </c>
      <c r="F65" s="67">
        <v>44096</v>
      </c>
      <c r="I65" s="211">
        <v>8.57</v>
      </c>
      <c r="J65" s="212">
        <v>25.3</v>
      </c>
      <c r="K65" s="67">
        <v>44096</v>
      </c>
      <c r="R65" s="197" t="s">
        <v>1351</v>
      </c>
      <c r="T65" s="198" t="s">
        <v>1360</v>
      </c>
      <c r="U65" s="204">
        <v>12.96</v>
      </c>
      <c r="V65" s="201" t="s">
        <v>1358</v>
      </c>
      <c r="W65" s="204">
        <v>24.6</v>
      </c>
      <c r="X65" s="204"/>
      <c r="Y65" s="202">
        <f>(12.8-U65)/12.8</f>
        <v>-1.2500000000000011E-2</v>
      </c>
      <c r="Z65" s="198"/>
      <c r="AA65" s="198"/>
      <c r="AB65" s="198"/>
    </row>
    <row r="66" spans="1:28" ht="15.5">
      <c r="A66" s="37">
        <v>2019</v>
      </c>
      <c r="B66" s="37">
        <v>1000</v>
      </c>
      <c r="C66" s="37">
        <v>1</v>
      </c>
      <c r="D66" s="108">
        <v>39.15</v>
      </c>
      <c r="E66" s="172">
        <v>25.2</v>
      </c>
      <c r="F66" s="170">
        <v>44097</v>
      </c>
      <c r="G66" s="172"/>
      <c r="H66" s="37"/>
      <c r="I66" s="196">
        <v>8.2010000000000005</v>
      </c>
      <c r="J66" s="37">
        <v>25.2</v>
      </c>
      <c r="K66" s="170">
        <v>44097</v>
      </c>
      <c r="L66" s="172"/>
      <c r="M66" s="172"/>
      <c r="N66" s="172"/>
      <c r="O66" s="37"/>
      <c r="P66" s="170"/>
      <c r="Q66" s="170"/>
      <c r="R66" s="197" t="s">
        <v>1351</v>
      </c>
      <c r="S66" s="223" t="s">
        <v>1405</v>
      </c>
      <c r="T66" s="198"/>
      <c r="U66" s="198"/>
      <c r="V66" s="201"/>
      <c r="W66" s="198"/>
      <c r="X66" s="198"/>
      <c r="Y66" s="202"/>
      <c r="Z66" s="198"/>
      <c r="AA66" s="198"/>
      <c r="AB66" s="198"/>
    </row>
    <row r="67" spans="1:28" ht="15.5">
      <c r="A67" s="37">
        <v>2019</v>
      </c>
      <c r="B67" s="37">
        <v>1000</v>
      </c>
      <c r="C67" s="198">
        <v>2</v>
      </c>
      <c r="D67" s="198">
        <v>39.03</v>
      </c>
      <c r="E67" s="172">
        <v>25.3</v>
      </c>
      <c r="F67" s="170">
        <v>44097</v>
      </c>
      <c r="G67" s="198"/>
      <c r="H67" s="198"/>
      <c r="I67" s="199">
        <v>8.3559999999999999</v>
      </c>
      <c r="J67" s="37">
        <v>25.4</v>
      </c>
      <c r="K67" s="170">
        <v>44097</v>
      </c>
      <c r="L67" s="198"/>
      <c r="M67" s="198"/>
      <c r="N67" s="198"/>
      <c r="O67" s="198"/>
      <c r="P67" s="198"/>
      <c r="Q67" s="198"/>
      <c r="R67" s="197" t="s">
        <v>1351</v>
      </c>
      <c r="T67" s="198"/>
      <c r="U67" s="198"/>
      <c r="V67" s="198"/>
      <c r="W67" s="198"/>
      <c r="X67" s="198"/>
      <c r="Y67" s="198"/>
      <c r="Z67" s="198"/>
      <c r="AA67" s="198"/>
      <c r="AB67" s="198"/>
    </row>
    <row r="68" spans="1:28" ht="15.5">
      <c r="A68" s="37">
        <v>2019</v>
      </c>
      <c r="B68" s="37">
        <v>1000</v>
      </c>
      <c r="C68" s="198">
        <v>3</v>
      </c>
      <c r="D68" s="198">
        <v>37.68</v>
      </c>
      <c r="E68" s="172">
        <v>25.3</v>
      </c>
      <c r="F68" s="170">
        <v>44097</v>
      </c>
      <c r="G68" s="198">
        <v>37.64</v>
      </c>
      <c r="H68" s="198">
        <v>25.4</v>
      </c>
      <c r="I68" s="199">
        <v>8.3559999999999999</v>
      </c>
      <c r="J68" s="37">
        <v>25.4</v>
      </c>
      <c r="K68" s="170">
        <v>44097</v>
      </c>
      <c r="L68" s="198">
        <v>8.3480000000000008</v>
      </c>
      <c r="M68" s="198">
        <v>25.3</v>
      </c>
      <c r="N68" s="198"/>
      <c r="O68" s="198">
        <f>G68-D68</f>
        <v>-3.9999999999999147E-2</v>
      </c>
      <c r="P68" s="198">
        <f>L68-I68</f>
        <v>-7.9999999999991189E-3</v>
      </c>
      <c r="Q68" s="198"/>
      <c r="R68" s="197" t="s">
        <v>1351</v>
      </c>
      <c r="T68" s="37" t="s">
        <v>162</v>
      </c>
      <c r="U68" s="198"/>
      <c r="V68" s="198"/>
      <c r="W68" s="198"/>
      <c r="X68" s="198"/>
      <c r="Y68" s="198"/>
      <c r="Z68" s="198"/>
      <c r="AA68" s="198"/>
      <c r="AB68" s="198"/>
    </row>
    <row r="69" spans="1:28" ht="15.5">
      <c r="A69" s="37">
        <v>2019</v>
      </c>
      <c r="B69" s="37">
        <v>1000</v>
      </c>
      <c r="C69" s="198">
        <v>4</v>
      </c>
      <c r="D69" s="198">
        <v>38.39</v>
      </c>
      <c r="E69" s="172">
        <v>25.4</v>
      </c>
      <c r="F69" s="170">
        <v>44097</v>
      </c>
      <c r="G69" s="198"/>
      <c r="H69" s="198"/>
      <c r="I69" s="199">
        <v>8.3249999999999993</v>
      </c>
      <c r="J69" s="37">
        <v>25.4</v>
      </c>
      <c r="K69" s="170">
        <v>44097</v>
      </c>
      <c r="L69" s="198"/>
      <c r="M69" s="198"/>
      <c r="N69" s="198"/>
      <c r="O69" s="198"/>
      <c r="P69" s="198"/>
      <c r="Q69" s="198"/>
      <c r="R69" s="197" t="s">
        <v>1351</v>
      </c>
      <c r="T69" s="172" t="s">
        <v>1362</v>
      </c>
      <c r="U69" s="198"/>
      <c r="V69" s="198"/>
      <c r="W69" s="198"/>
      <c r="X69" s="198"/>
      <c r="Y69" s="198"/>
      <c r="Z69" s="198"/>
      <c r="AA69" s="198"/>
      <c r="AB69" s="198"/>
    </row>
    <row r="70" spans="1:28" ht="15.5">
      <c r="A70" s="37">
        <v>2019</v>
      </c>
      <c r="B70" s="37">
        <v>1000</v>
      </c>
      <c r="C70" s="198">
        <v>5</v>
      </c>
      <c r="D70" s="198">
        <v>39.22</v>
      </c>
      <c r="E70" s="172">
        <v>25.3</v>
      </c>
      <c r="F70" s="170">
        <v>44097</v>
      </c>
      <c r="G70" s="198"/>
      <c r="H70" s="198"/>
      <c r="I70" s="199">
        <v>8.343</v>
      </c>
      <c r="J70" s="37">
        <v>25.4</v>
      </c>
      <c r="K70" s="170">
        <v>44097</v>
      </c>
      <c r="L70" s="198"/>
      <c r="M70" s="198"/>
      <c r="N70" s="198"/>
      <c r="Q70" s="198"/>
      <c r="R70" s="197" t="s">
        <v>1351</v>
      </c>
      <c r="T70" s="37" t="s">
        <v>1404</v>
      </c>
      <c r="U70" s="37" t="s">
        <v>1353</v>
      </c>
      <c r="V70" s="198"/>
      <c r="W70" s="37" t="s">
        <v>1354</v>
      </c>
      <c r="X70" s="198"/>
      <c r="Y70" s="198" t="s">
        <v>1355</v>
      </c>
      <c r="Z70" s="198" t="s">
        <v>1356</v>
      </c>
      <c r="AA70" s="198"/>
      <c r="AB70" s="198"/>
    </row>
    <row r="71" spans="1:28" ht="15.5">
      <c r="A71" s="37">
        <v>2019</v>
      </c>
      <c r="B71" s="37">
        <v>1000</v>
      </c>
      <c r="C71" s="37">
        <v>6</v>
      </c>
      <c r="D71" s="37">
        <v>39.24</v>
      </c>
      <c r="E71" s="198">
        <v>25.5</v>
      </c>
      <c r="F71" s="170">
        <v>44097</v>
      </c>
      <c r="G71" s="198"/>
      <c r="H71" s="198"/>
      <c r="I71" s="199">
        <v>8.52</v>
      </c>
      <c r="J71" s="37">
        <v>25.4</v>
      </c>
      <c r="K71" s="170">
        <v>44097</v>
      </c>
      <c r="L71" s="198"/>
      <c r="M71" s="198"/>
      <c r="N71" s="198"/>
      <c r="O71" s="198"/>
      <c r="P71" s="198"/>
      <c r="Q71" s="198"/>
      <c r="R71" s="197" t="s">
        <v>1351</v>
      </c>
      <c r="T71" s="37" t="s">
        <v>1398</v>
      </c>
      <c r="U71" s="37" t="s">
        <v>1353</v>
      </c>
      <c r="V71" s="198"/>
      <c r="W71" s="37" t="s">
        <v>1354</v>
      </c>
      <c r="X71" s="198"/>
      <c r="Y71" s="198"/>
      <c r="Z71" s="198"/>
      <c r="AA71" s="198"/>
      <c r="AB71" s="198"/>
    </row>
    <row r="72" spans="1:28" ht="15.5">
      <c r="A72" s="37">
        <v>2019</v>
      </c>
      <c r="B72" s="37">
        <v>1000</v>
      </c>
      <c r="C72" s="198">
        <v>7</v>
      </c>
      <c r="D72" s="198">
        <v>38.200000000000003</v>
      </c>
      <c r="E72" s="198">
        <v>25.4</v>
      </c>
      <c r="F72" s="170">
        <v>44097</v>
      </c>
      <c r="G72" s="198"/>
      <c r="H72" s="198"/>
      <c r="I72" s="199">
        <v>8.4239999999999995</v>
      </c>
      <c r="J72" s="37">
        <v>25.2</v>
      </c>
      <c r="K72" s="170">
        <v>44097</v>
      </c>
      <c r="L72" s="198"/>
      <c r="M72" s="198"/>
      <c r="N72" s="198"/>
      <c r="O72" s="198"/>
      <c r="P72" s="198"/>
      <c r="Q72" s="198"/>
      <c r="R72" s="197" t="s">
        <v>1351</v>
      </c>
      <c r="T72" s="37">
        <v>9.18</v>
      </c>
      <c r="U72" s="198">
        <v>9.1329999999999991</v>
      </c>
      <c r="V72" s="201"/>
      <c r="W72" s="198">
        <v>25.3</v>
      </c>
      <c r="X72" s="198"/>
      <c r="Y72" s="205">
        <f>(U72-T72)/T72</f>
        <v>-5.119825708061067E-3</v>
      </c>
      <c r="Z72" s="205">
        <f>_xlfn.STDEV.P(Y72:Y81)</f>
        <v>2.9449723877812833E-3</v>
      </c>
      <c r="AA72" s="205">
        <f>Z72/SQRT(COUNT(Y72:Y81))</f>
        <v>1.041204972903642E-3</v>
      </c>
      <c r="AB72" s="206">
        <f>AA72</f>
        <v>1.041204972903642E-3</v>
      </c>
    </row>
    <row r="73" spans="1:28" ht="15.5">
      <c r="A73" s="37">
        <v>2019</v>
      </c>
      <c r="B73" s="37">
        <v>1000</v>
      </c>
      <c r="C73" s="198">
        <v>8</v>
      </c>
      <c r="D73" s="198">
        <v>37.549999999999997</v>
      </c>
      <c r="E73" s="198">
        <v>25.4</v>
      </c>
      <c r="F73" s="170">
        <v>44097</v>
      </c>
      <c r="G73" s="198"/>
      <c r="H73" s="198"/>
      <c r="I73" s="199">
        <v>8.1969999999999992</v>
      </c>
      <c r="J73" s="198">
        <v>25.3</v>
      </c>
      <c r="K73" s="170">
        <v>44097</v>
      </c>
      <c r="L73" s="198"/>
      <c r="M73" s="198"/>
      <c r="N73" s="198"/>
      <c r="O73" s="198"/>
      <c r="P73" s="198"/>
      <c r="Q73" s="198"/>
      <c r="R73" s="197" t="s">
        <v>1351</v>
      </c>
      <c r="T73" s="37">
        <v>7.01</v>
      </c>
      <c r="U73" s="198">
        <v>7.0010000000000003</v>
      </c>
      <c r="V73" s="201"/>
      <c r="W73" s="198">
        <v>25.2</v>
      </c>
      <c r="X73" s="198"/>
      <c r="Y73" s="205">
        <f t="shared" ref="Y73:Y75" si="2">(U73-T73)/T73</f>
        <v>-1.2838801711839449E-3</v>
      </c>
      <c r="Z73" s="205"/>
      <c r="AA73" s="205"/>
      <c r="AB73" s="198"/>
    </row>
    <row r="74" spans="1:28" ht="15.5">
      <c r="A74" s="37">
        <v>2019</v>
      </c>
      <c r="B74" s="37">
        <v>1000</v>
      </c>
      <c r="C74" s="198">
        <v>9</v>
      </c>
      <c r="D74" s="198">
        <v>39.17</v>
      </c>
      <c r="E74" s="198">
        <v>25.4</v>
      </c>
      <c r="F74" s="170">
        <v>44097</v>
      </c>
      <c r="G74" s="198"/>
      <c r="H74" s="198"/>
      <c r="I74" s="199">
        <v>8.5779999999999994</v>
      </c>
      <c r="J74" s="198">
        <v>25.3</v>
      </c>
      <c r="K74" s="170">
        <v>44097</v>
      </c>
      <c r="L74" s="198"/>
      <c r="M74" s="198"/>
      <c r="N74" s="198"/>
      <c r="O74" s="198"/>
      <c r="P74" s="198"/>
      <c r="Q74" s="198"/>
      <c r="R74" s="197" t="s">
        <v>1351</v>
      </c>
      <c r="T74" s="37">
        <v>10.01</v>
      </c>
      <c r="U74" s="198">
        <v>10.000999999999999</v>
      </c>
      <c r="V74" s="201"/>
      <c r="W74" s="198">
        <v>25.3</v>
      </c>
      <c r="X74" s="198"/>
      <c r="Y74" s="205">
        <f t="shared" si="2"/>
        <v>-8.9910089910093314E-4</v>
      </c>
      <c r="Z74" s="205"/>
      <c r="AA74" s="205"/>
      <c r="AB74" s="198"/>
    </row>
    <row r="75" spans="1:28" ht="15.5">
      <c r="A75" s="37">
        <v>2019</v>
      </c>
      <c r="B75" s="37">
        <v>1000</v>
      </c>
      <c r="C75" s="198">
        <v>10</v>
      </c>
      <c r="D75" s="198">
        <v>39.520000000000003</v>
      </c>
      <c r="E75" s="198">
        <v>25.2</v>
      </c>
      <c r="F75" s="170">
        <v>44097</v>
      </c>
      <c r="G75" s="198"/>
      <c r="H75" s="198"/>
      <c r="I75" s="199">
        <v>8.5760000000000005</v>
      </c>
      <c r="J75" s="198">
        <v>25.3</v>
      </c>
      <c r="K75" s="170">
        <v>44097</v>
      </c>
      <c r="L75" s="198"/>
      <c r="M75" s="198"/>
      <c r="N75" s="198"/>
      <c r="O75" s="198"/>
      <c r="P75" s="198"/>
      <c r="Q75" s="198"/>
      <c r="R75" s="197" t="s">
        <v>1351</v>
      </c>
      <c r="T75" s="37">
        <v>12.45</v>
      </c>
      <c r="U75" s="198">
        <v>12.417</v>
      </c>
      <c r="V75" s="201"/>
      <c r="W75" s="198">
        <v>25.3</v>
      </c>
      <c r="X75" s="204"/>
      <c r="Y75" s="205">
        <f t="shared" si="2"/>
        <v>-2.6506024096385121E-3</v>
      </c>
      <c r="Z75" s="209"/>
      <c r="AA75" s="209"/>
      <c r="AB75" s="204"/>
    </row>
    <row r="76" spans="1:28" ht="15.5">
      <c r="A76" s="37">
        <v>2019</v>
      </c>
      <c r="B76" s="37">
        <v>1000</v>
      </c>
      <c r="C76" s="37">
        <v>11</v>
      </c>
      <c r="D76" s="37">
        <v>39.520000000000003</v>
      </c>
      <c r="E76" s="198">
        <v>25.4</v>
      </c>
      <c r="F76" s="170">
        <v>44097</v>
      </c>
      <c r="G76" s="198"/>
      <c r="H76" s="198"/>
      <c r="I76" s="199">
        <v>8.4469999999999992</v>
      </c>
      <c r="J76" s="198">
        <v>25.4</v>
      </c>
      <c r="K76" s="170">
        <v>44097</v>
      </c>
      <c r="L76" s="198"/>
      <c r="M76" s="198"/>
      <c r="N76" s="198"/>
      <c r="O76" s="198"/>
      <c r="P76" s="198"/>
      <c r="Q76" s="198"/>
      <c r="R76" s="197" t="s">
        <v>1351</v>
      </c>
      <c r="T76" s="37"/>
      <c r="U76" s="198"/>
      <c r="V76" s="201"/>
      <c r="W76" s="198"/>
      <c r="X76" s="198"/>
      <c r="Y76" s="205"/>
      <c r="Z76" s="205"/>
      <c r="AA76" s="205"/>
      <c r="AB76" s="198"/>
    </row>
    <row r="77" spans="1:28" ht="15.5">
      <c r="A77" s="37">
        <v>2019</v>
      </c>
      <c r="B77" s="37">
        <v>1000</v>
      </c>
      <c r="C77" s="198">
        <v>12</v>
      </c>
      <c r="D77" s="198">
        <v>38.729999999999997</v>
      </c>
      <c r="E77" s="198">
        <v>25.4</v>
      </c>
      <c r="F77" s="170">
        <v>44097</v>
      </c>
      <c r="G77" s="198">
        <v>38.799999999999997</v>
      </c>
      <c r="H77" s="198">
        <v>25.3</v>
      </c>
      <c r="I77" s="199">
        <v>8.2759999999999998</v>
      </c>
      <c r="J77" s="198">
        <v>25.4</v>
      </c>
      <c r="K77" s="170">
        <v>44097</v>
      </c>
      <c r="L77" s="198">
        <v>8.2750000000000004</v>
      </c>
      <c r="M77" s="198">
        <v>25.4</v>
      </c>
      <c r="N77" s="198"/>
      <c r="O77" s="198">
        <f>G77-D77</f>
        <v>7.0000000000000284E-2</v>
      </c>
      <c r="P77" s="198">
        <f>L77-I77</f>
        <v>-9.9999999999944578E-4</v>
      </c>
      <c r="Q77" s="198"/>
      <c r="R77" s="197" t="s">
        <v>1351</v>
      </c>
      <c r="T77" s="37" t="s">
        <v>1363</v>
      </c>
      <c r="U77" s="37" t="s">
        <v>1353</v>
      </c>
      <c r="V77" s="198"/>
      <c r="W77" s="37" t="s">
        <v>1354</v>
      </c>
      <c r="X77" s="198"/>
      <c r="Y77" s="205"/>
    </row>
    <row r="78" spans="1:28" ht="15.5">
      <c r="A78" s="37">
        <v>2019</v>
      </c>
      <c r="B78" s="37">
        <v>1000</v>
      </c>
      <c r="C78" s="198">
        <v>13</v>
      </c>
      <c r="D78" s="198">
        <v>39.090000000000003</v>
      </c>
      <c r="E78" s="198">
        <v>25.3</v>
      </c>
      <c r="F78" s="170">
        <v>44097</v>
      </c>
      <c r="G78" s="198"/>
      <c r="H78" s="198"/>
      <c r="I78" s="199">
        <v>8.3469999999999995</v>
      </c>
      <c r="J78" s="198">
        <v>25.2</v>
      </c>
      <c r="K78" s="170">
        <v>44097</v>
      </c>
      <c r="L78" s="198"/>
      <c r="M78" s="198"/>
      <c r="N78" s="198"/>
      <c r="O78" s="198"/>
      <c r="P78" s="198"/>
      <c r="Q78" s="198"/>
      <c r="R78" s="197" t="s">
        <v>1351</v>
      </c>
      <c r="T78" s="37">
        <v>7.01</v>
      </c>
      <c r="U78" s="198">
        <v>7.0430000000000001</v>
      </c>
      <c r="V78" s="201"/>
      <c r="W78" s="198">
        <v>25.1</v>
      </c>
      <c r="X78" s="198"/>
      <c r="Y78" s="205">
        <f>(U78-T78)/T78</f>
        <v>4.7075606276748023E-3</v>
      </c>
    </row>
    <row r="79" spans="1:28" ht="15.5">
      <c r="A79" s="37">
        <v>2019</v>
      </c>
      <c r="B79" s="37">
        <v>1000</v>
      </c>
      <c r="C79" s="198">
        <v>14</v>
      </c>
      <c r="D79" s="198">
        <v>38.979999999999997</v>
      </c>
      <c r="E79" s="198">
        <v>25.3</v>
      </c>
      <c r="F79" s="170">
        <v>44097</v>
      </c>
      <c r="G79" s="198"/>
      <c r="H79" s="198"/>
      <c r="I79" s="199">
        <v>8.1660000000000004</v>
      </c>
      <c r="J79" s="198">
        <v>25.3</v>
      </c>
      <c r="K79" s="170">
        <v>44097</v>
      </c>
      <c r="L79" s="198"/>
      <c r="M79" s="198"/>
      <c r="N79" s="198"/>
      <c r="O79" s="198"/>
      <c r="P79" s="198"/>
      <c r="Q79" s="198"/>
      <c r="R79" s="197" t="s">
        <v>1351</v>
      </c>
      <c r="T79" s="37">
        <v>10.01</v>
      </c>
      <c r="U79" s="198">
        <v>10.015000000000001</v>
      </c>
      <c r="V79" s="201"/>
      <c r="W79" s="198">
        <v>25</v>
      </c>
      <c r="X79" s="198"/>
      <c r="Y79" s="205">
        <f t="shared" ref="Y79:Y80" si="3">(U79-T79)/T79</f>
        <v>4.9950049950057756E-4</v>
      </c>
    </row>
    <row r="80" spans="1:28" ht="15.5">
      <c r="A80" s="37">
        <v>2019</v>
      </c>
      <c r="B80" s="37">
        <v>1000</v>
      </c>
      <c r="C80" s="198">
        <v>15</v>
      </c>
      <c r="D80" s="198">
        <v>39.25</v>
      </c>
      <c r="E80" s="198">
        <v>25.3</v>
      </c>
      <c r="F80" s="170">
        <v>44097</v>
      </c>
      <c r="G80" s="198"/>
      <c r="H80" s="198"/>
      <c r="I80" s="199">
        <v>8.4149999999999991</v>
      </c>
      <c r="J80" s="198">
        <v>25.3</v>
      </c>
      <c r="K80" s="170">
        <v>44097</v>
      </c>
      <c r="L80" s="198"/>
      <c r="M80" s="198"/>
      <c r="N80" s="198"/>
      <c r="O80" s="198"/>
      <c r="P80" s="198"/>
      <c r="Q80" s="198"/>
      <c r="R80" s="197" t="s">
        <v>1351</v>
      </c>
      <c r="T80" s="37">
        <v>12.45</v>
      </c>
      <c r="U80" s="198">
        <v>12.423</v>
      </c>
      <c r="V80" s="201"/>
      <c r="W80" s="198">
        <v>24.8</v>
      </c>
      <c r="X80" s="204"/>
      <c r="Y80" s="205">
        <f t="shared" si="3"/>
        <v>-2.1686746987951205E-3</v>
      </c>
    </row>
    <row r="81" spans="1:28" ht="16" thickBot="1">
      <c r="A81" s="37">
        <v>2019</v>
      </c>
      <c r="B81" s="37">
        <v>1000</v>
      </c>
      <c r="C81" s="37">
        <v>16</v>
      </c>
      <c r="D81" s="37">
        <v>38.270000000000003</v>
      </c>
      <c r="E81" s="198">
        <v>25.3</v>
      </c>
      <c r="F81" s="170">
        <v>44097</v>
      </c>
      <c r="G81" s="198"/>
      <c r="H81" s="198"/>
      <c r="I81" s="199" t="s">
        <v>1408</v>
      </c>
      <c r="J81" s="198"/>
      <c r="K81" s="170">
        <v>44097</v>
      </c>
      <c r="L81" s="198"/>
      <c r="M81" s="198"/>
      <c r="N81" s="198"/>
      <c r="O81" s="198"/>
      <c r="P81" s="198"/>
      <c r="Q81" s="198"/>
      <c r="R81" s="197" t="s">
        <v>1351</v>
      </c>
      <c r="T81" s="214">
        <v>9.18</v>
      </c>
      <c r="U81" s="215">
        <v>9.1349999999999998</v>
      </c>
      <c r="V81" s="216"/>
      <c r="W81" s="215">
        <v>25</v>
      </c>
      <c r="X81" s="215"/>
      <c r="Y81" s="217">
        <f>(U81-T81)/T81</f>
        <v>-4.9019607843137176E-3</v>
      </c>
      <c r="Z81" s="218"/>
      <c r="AA81" s="218"/>
      <c r="AB81" s="218"/>
    </row>
    <row r="82" spans="1:28" ht="15.5">
      <c r="A82" s="37">
        <v>2019</v>
      </c>
      <c r="B82" s="37">
        <v>1000</v>
      </c>
      <c r="C82" s="198">
        <v>17</v>
      </c>
      <c r="D82" s="198">
        <v>38.770000000000003</v>
      </c>
      <c r="E82" s="198">
        <v>25.3</v>
      </c>
      <c r="F82" s="170">
        <v>44097</v>
      </c>
      <c r="G82" s="198"/>
      <c r="H82" s="198"/>
      <c r="I82" s="199">
        <v>8.4359999999999999</v>
      </c>
      <c r="J82" s="198">
        <v>25.3</v>
      </c>
      <c r="K82" s="170">
        <v>44097</v>
      </c>
      <c r="L82" s="198"/>
      <c r="M82" s="198"/>
      <c r="N82" s="198"/>
      <c r="Q82" s="198"/>
      <c r="R82" s="197" t="s">
        <v>1351</v>
      </c>
      <c r="T82" s="37" t="s">
        <v>1352</v>
      </c>
      <c r="U82" s="198"/>
      <c r="V82" s="213">
        <v>44097</v>
      </c>
      <c r="W82" s="198"/>
      <c r="X82" s="198"/>
      <c r="Y82" s="37"/>
      <c r="Z82" s="37"/>
      <c r="AA82" s="37"/>
      <c r="AB82" s="37"/>
    </row>
    <row r="83" spans="1:28" ht="15.5">
      <c r="A83" s="37">
        <v>2019</v>
      </c>
      <c r="B83" s="37">
        <v>1000</v>
      </c>
      <c r="C83" s="198">
        <v>18</v>
      </c>
      <c r="D83" s="198">
        <v>37.840000000000003</v>
      </c>
      <c r="E83" s="198">
        <v>25.3</v>
      </c>
      <c r="F83" s="170">
        <v>44097</v>
      </c>
      <c r="G83" s="170"/>
      <c r="H83" s="198"/>
      <c r="I83" s="199">
        <v>8.3320000000000007</v>
      </c>
      <c r="J83" s="198">
        <v>25.4</v>
      </c>
      <c r="K83" s="170">
        <v>44097</v>
      </c>
      <c r="L83" s="198"/>
      <c r="M83" s="198"/>
      <c r="N83" s="198"/>
      <c r="O83" s="198"/>
      <c r="P83" s="198"/>
      <c r="Q83" s="198"/>
      <c r="R83" s="197" t="s">
        <v>1351</v>
      </c>
      <c r="T83" s="172" t="s">
        <v>1364</v>
      </c>
      <c r="U83" s="198"/>
      <c r="V83" s="198"/>
      <c r="W83" s="198"/>
      <c r="X83" s="198"/>
      <c r="Y83" s="198"/>
      <c r="Z83" s="198"/>
      <c r="AA83" s="198"/>
      <c r="AB83" s="198"/>
    </row>
    <row r="84" spans="1:28" ht="15.5">
      <c r="A84" s="37">
        <v>2019</v>
      </c>
      <c r="B84" s="37">
        <v>1000</v>
      </c>
      <c r="C84" s="198">
        <v>19</v>
      </c>
      <c r="D84" s="198">
        <v>37.85</v>
      </c>
      <c r="E84" s="198">
        <v>25.3</v>
      </c>
      <c r="F84" s="170">
        <v>44097</v>
      </c>
      <c r="G84" s="170"/>
      <c r="H84" s="198"/>
      <c r="I84" s="199">
        <v>8.2759999999999998</v>
      </c>
      <c r="J84" s="198">
        <v>25.4</v>
      </c>
      <c r="K84" s="170">
        <v>44097</v>
      </c>
      <c r="L84" s="198"/>
      <c r="M84" s="198"/>
      <c r="N84" s="198"/>
      <c r="O84" s="198"/>
      <c r="P84" s="198"/>
      <c r="Q84" s="198"/>
      <c r="R84" s="197" t="s">
        <v>1351</v>
      </c>
      <c r="T84" s="37" t="s">
        <v>1406</v>
      </c>
      <c r="U84" s="37" t="s">
        <v>1353</v>
      </c>
      <c r="V84" s="198"/>
      <c r="W84" s="37" t="s">
        <v>1354</v>
      </c>
      <c r="X84" s="198"/>
      <c r="Y84" s="198" t="s">
        <v>1355</v>
      </c>
      <c r="Z84" s="198" t="s">
        <v>1356</v>
      </c>
      <c r="AA84" s="198"/>
      <c r="AB84" s="198"/>
    </row>
    <row r="85" spans="1:28" ht="15.5">
      <c r="A85" s="37">
        <v>2019</v>
      </c>
      <c r="B85" s="37">
        <v>1000</v>
      </c>
      <c r="C85" s="198">
        <v>20</v>
      </c>
      <c r="D85" s="198">
        <v>37.33</v>
      </c>
      <c r="E85" s="198">
        <v>25.4</v>
      </c>
      <c r="F85" s="170">
        <v>44097</v>
      </c>
      <c r="G85" s="170"/>
      <c r="H85" s="198"/>
      <c r="I85" s="199">
        <v>8.2949999999999999</v>
      </c>
      <c r="J85" s="198">
        <v>25.5</v>
      </c>
      <c r="K85" s="170">
        <v>44097</v>
      </c>
      <c r="L85" s="198"/>
      <c r="M85" s="198"/>
      <c r="N85" s="198"/>
      <c r="O85" s="198"/>
      <c r="P85" s="198"/>
      <c r="Q85" s="198"/>
      <c r="R85" s="197" t="s">
        <v>1351</v>
      </c>
      <c r="T85" s="37"/>
      <c r="U85" s="200"/>
      <c r="V85" s="201"/>
      <c r="W85" s="198"/>
      <c r="X85" s="198"/>
      <c r="Y85" s="200"/>
      <c r="Z85" s="198">
        <f>_xlfn.STDEV.P(Y86:Y88,Y91:Y94)</f>
        <v>1.1020861189937824E-2</v>
      </c>
      <c r="AA85" s="198">
        <f>Z85/SQRT(COUNT(Y86:Y88,Y91:Y94))</f>
        <v>4.4992477402316525E-3</v>
      </c>
      <c r="AB85" s="206">
        <f>AA85</f>
        <v>4.4992477402316525E-3</v>
      </c>
    </row>
    <row r="86" spans="1:28" ht="15.5">
      <c r="A86" s="37">
        <v>2019</v>
      </c>
      <c r="B86" s="207">
        <v>1000</v>
      </c>
      <c r="C86" s="207">
        <v>21</v>
      </c>
      <c r="D86" s="204">
        <v>37.64</v>
      </c>
      <c r="E86" s="198">
        <v>25.4</v>
      </c>
      <c r="F86" s="170">
        <v>44097</v>
      </c>
      <c r="G86" s="170"/>
      <c r="H86" s="204"/>
      <c r="I86" s="208">
        <v>8.1739999999999995</v>
      </c>
      <c r="J86" s="198">
        <v>25.5</v>
      </c>
      <c r="K86" s="170">
        <v>44097</v>
      </c>
      <c r="L86" s="204"/>
      <c r="M86" s="204"/>
      <c r="N86" s="204"/>
      <c r="O86" s="204"/>
      <c r="P86" s="204"/>
      <c r="Q86" s="204"/>
      <c r="R86" s="197" t="s">
        <v>1351</v>
      </c>
      <c r="T86" s="37" t="s">
        <v>1357</v>
      </c>
      <c r="U86" s="198">
        <v>49.5</v>
      </c>
      <c r="V86" s="201" t="s">
        <v>1358</v>
      </c>
      <c r="W86" s="37">
        <v>25</v>
      </c>
      <c r="X86" s="198"/>
      <c r="Y86" s="198">
        <f>(50-U86)/50</f>
        <v>0.01</v>
      </c>
      <c r="Z86" s="198"/>
      <c r="AA86" s="198"/>
      <c r="AB86" s="198"/>
    </row>
    <row r="87" spans="1:28" ht="15.5">
      <c r="A87" s="76" t="s">
        <v>1945</v>
      </c>
      <c r="T87" s="37" t="s">
        <v>1359</v>
      </c>
      <c r="U87" s="198">
        <v>52.7</v>
      </c>
      <c r="V87" s="201" t="s">
        <v>1358</v>
      </c>
      <c r="W87" s="198">
        <v>25.1</v>
      </c>
      <c r="X87" s="198"/>
      <c r="Y87" s="202">
        <f>(53-U87)/53</f>
        <v>5.6603773584905127E-3</v>
      </c>
      <c r="Z87" s="198"/>
      <c r="AA87" s="198"/>
      <c r="AB87" s="198"/>
    </row>
    <row r="88" spans="1:28" ht="15.5">
      <c r="D88" s="76" t="s">
        <v>1946</v>
      </c>
      <c r="I88" s="76" t="s">
        <v>1947</v>
      </c>
      <c r="T88" s="198" t="s">
        <v>1360</v>
      </c>
      <c r="U88" s="198">
        <v>12.97</v>
      </c>
      <c r="V88" s="201" t="s">
        <v>1358</v>
      </c>
      <c r="W88" s="198">
        <v>24.7</v>
      </c>
      <c r="X88" s="198"/>
      <c r="Y88" s="202">
        <f>(12.8-U88)/12.8</f>
        <v>-1.3281249999999994E-2</v>
      </c>
      <c r="Z88" s="198"/>
      <c r="AA88" s="198"/>
      <c r="AB88" s="198"/>
    </row>
    <row r="89" spans="1:28" ht="15.5">
      <c r="A89" s="37">
        <v>2019</v>
      </c>
      <c r="B89" s="37">
        <v>1000</v>
      </c>
      <c r="C89" s="37">
        <v>1</v>
      </c>
      <c r="D89" s="105">
        <f>D3-D66</f>
        <v>-0.89999999999999858</v>
      </c>
      <c r="I89">
        <f>I3-I66</f>
        <v>-9.8000000000000753E-2</v>
      </c>
      <c r="X89" s="198"/>
      <c r="Y89" s="198"/>
      <c r="Z89" s="198"/>
      <c r="AA89" s="198"/>
      <c r="AB89" s="198"/>
    </row>
    <row r="90" spans="1:28" ht="15.5">
      <c r="A90" s="37">
        <v>2019</v>
      </c>
      <c r="B90" s="37">
        <v>1000</v>
      </c>
      <c r="C90" s="198">
        <v>2</v>
      </c>
      <c r="D90" s="105">
        <f t="shared" ref="D90:D109" si="4">D4-D67</f>
        <v>-1.009999999999998</v>
      </c>
      <c r="I90">
        <f t="shared" ref="I90:I109" si="5">I4-I67</f>
        <v>-9.0999999999999304E-2</v>
      </c>
      <c r="T90" s="37" t="s">
        <v>1361</v>
      </c>
      <c r="U90" s="37" t="s">
        <v>1353</v>
      </c>
      <c r="V90" s="198"/>
      <c r="W90" s="37" t="s">
        <v>1354</v>
      </c>
      <c r="X90" s="198"/>
      <c r="Y90" s="203"/>
      <c r="Z90" s="198"/>
      <c r="AA90" s="198"/>
      <c r="AB90" s="198"/>
    </row>
    <row r="91" spans="1:28" ht="15.5">
      <c r="A91" s="37">
        <v>2019</v>
      </c>
      <c r="B91" s="37">
        <v>1000</v>
      </c>
      <c r="C91" s="198">
        <v>3</v>
      </c>
      <c r="D91" s="105">
        <f t="shared" si="4"/>
        <v>-0.96999999999999886</v>
      </c>
      <c r="I91">
        <f t="shared" si="5"/>
        <v>-7.6999999999999957E-2</v>
      </c>
      <c r="T91" s="37" t="s">
        <v>1357</v>
      </c>
      <c r="U91" s="198">
        <v>49.7</v>
      </c>
      <c r="V91" s="201" t="s">
        <v>1358</v>
      </c>
      <c r="W91" s="198">
        <v>25.4</v>
      </c>
      <c r="X91" s="198"/>
      <c r="Y91" s="202">
        <f>(50-U91)/50</f>
        <v>5.9999999999999429E-3</v>
      </c>
      <c r="Z91" s="198"/>
      <c r="AA91" s="198"/>
      <c r="AB91" s="198"/>
    </row>
    <row r="92" spans="1:28" ht="15.5">
      <c r="A92" s="37">
        <v>2019</v>
      </c>
      <c r="B92" s="37">
        <v>1000</v>
      </c>
      <c r="C92" s="198">
        <v>4</v>
      </c>
      <c r="D92" s="105">
        <f t="shared" si="4"/>
        <v>-0.91000000000000369</v>
      </c>
      <c r="I92">
        <f t="shared" si="5"/>
        <v>-8.8999999999998636E-2</v>
      </c>
      <c r="T92" s="37" t="s">
        <v>1359</v>
      </c>
      <c r="U92" s="198">
        <v>53.1</v>
      </c>
      <c r="V92" s="201" t="s">
        <v>1358</v>
      </c>
      <c r="W92" s="198">
        <v>24.4</v>
      </c>
      <c r="X92" s="198"/>
      <c r="Y92" s="202">
        <f>(53-U92)/53</f>
        <v>-1.8867924528302156E-3</v>
      </c>
      <c r="Z92" s="198"/>
      <c r="AA92" s="198"/>
      <c r="AB92" s="198"/>
    </row>
    <row r="93" spans="1:28" ht="15.5">
      <c r="A93" s="37">
        <v>2019</v>
      </c>
      <c r="B93" s="37">
        <v>1000</v>
      </c>
      <c r="C93" s="198">
        <v>5</v>
      </c>
      <c r="D93" s="105">
        <f t="shared" si="4"/>
        <v>-0.96000000000000085</v>
      </c>
      <c r="I93">
        <f t="shared" si="5"/>
        <v>-6.4000000000000057E-2</v>
      </c>
      <c r="T93" s="198" t="s">
        <v>1360</v>
      </c>
      <c r="U93" s="204">
        <v>13.06</v>
      </c>
      <c r="V93" s="201" t="s">
        <v>1358</v>
      </c>
      <c r="W93" s="204">
        <v>24.1</v>
      </c>
      <c r="X93" s="204"/>
      <c r="Y93" s="202">
        <f>(12.8-U93)/12.8</f>
        <v>-2.0312499999999983E-2</v>
      </c>
      <c r="Z93" s="198"/>
      <c r="AA93" s="198"/>
      <c r="AB93" s="198"/>
    </row>
    <row r="94" spans="1:28" ht="15.5">
      <c r="A94" s="37">
        <v>2019</v>
      </c>
      <c r="B94" s="37">
        <v>1000</v>
      </c>
      <c r="C94" s="37">
        <v>6</v>
      </c>
      <c r="D94" s="105">
        <f t="shared" si="4"/>
        <v>-0.55000000000000426</v>
      </c>
      <c r="I94">
        <f t="shared" si="5"/>
        <v>-6.5999999999998948E-2</v>
      </c>
      <c r="T94" s="198"/>
      <c r="U94" s="198"/>
      <c r="V94" s="201"/>
      <c r="W94" s="198"/>
      <c r="X94" s="198"/>
      <c r="Y94" s="202"/>
      <c r="Z94" s="198"/>
      <c r="AA94" s="198"/>
      <c r="AB94" s="198"/>
    </row>
    <row r="95" spans="1:28" ht="15.5">
      <c r="A95" s="37">
        <v>2019</v>
      </c>
      <c r="B95" s="37">
        <v>1000</v>
      </c>
      <c r="C95" s="198">
        <v>7</v>
      </c>
      <c r="D95" s="105">
        <f t="shared" si="4"/>
        <v>-0.69000000000000483</v>
      </c>
      <c r="I95">
        <f t="shared" si="5"/>
        <v>-8.1999999999998963E-2</v>
      </c>
      <c r="T95" s="198"/>
      <c r="U95" s="198"/>
      <c r="V95" s="198"/>
      <c r="W95" s="198"/>
      <c r="X95" s="198"/>
      <c r="Y95" s="198"/>
      <c r="Z95" s="198"/>
      <c r="AA95" s="198"/>
      <c r="AB95" s="198"/>
    </row>
    <row r="96" spans="1:28" ht="15.5">
      <c r="A96" s="37">
        <v>2019</v>
      </c>
      <c r="B96" s="37">
        <v>1000</v>
      </c>
      <c r="C96" s="198">
        <v>8</v>
      </c>
      <c r="D96" s="105">
        <f t="shared" si="4"/>
        <v>-0.83999999999999631</v>
      </c>
      <c r="I96">
        <f t="shared" si="5"/>
        <v>-9.5999999999998309E-2</v>
      </c>
      <c r="T96" s="37" t="s">
        <v>162</v>
      </c>
      <c r="U96" s="198"/>
      <c r="V96" s="198"/>
      <c r="W96" s="198"/>
      <c r="X96" s="198"/>
      <c r="Y96" s="198"/>
      <c r="Z96" s="198"/>
      <c r="AA96" s="198"/>
      <c r="AB96" s="198"/>
    </row>
    <row r="97" spans="1:28" ht="15.5">
      <c r="A97" s="37">
        <v>2019</v>
      </c>
      <c r="B97" s="37">
        <v>1000</v>
      </c>
      <c r="C97" s="198">
        <v>9</v>
      </c>
      <c r="D97" s="105">
        <f t="shared" si="4"/>
        <v>-0.88000000000000256</v>
      </c>
      <c r="I97">
        <f t="shared" si="5"/>
        <v>-5.6999999999998607E-2</v>
      </c>
      <c r="T97" s="172" t="s">
        <v>1362</v>
      </c>
      <c r="U97" s="198"/>
      <c r="V97" s="198"/>
      <c r="W97" s="198"/>
      <c r="X97" s="198"/>
      <c r="Y97" s="198"/>
      <c r="Z97" s="198"/>
      <c r="AA97" s="198"/>
      <c r="AB97" s="198"/>
    </row>
    <row r="98" spans="1:28" ht="15.5">
      <c r="A98" s="37">
        <v>2019</v>
      </c>
      <c r="B98" s="37">
        <v>1000</v>
      </c>
      <c r="C98" s="198">
        <v>10</v>
      </c>
      <c r="D98" s="105">
        <f t="shared" si="4"/>
        <v>-0.79000000000000625</v>
      </c>
      <c r="I98">
        <f t="shared" si="5"/>
        <v>-6.3000000000000611E-2</v>
      </c>
      <c r="T98" s="37" t="s">
        <v>1407</v>
      </c>
      <c r="U98" s="37" t="s">
        <v>1353</v>
      </c>
      <c r="V98" s="198"/>
      <c r="W98" s="37" t="s">
        <v>1354</v>
      </c>
      <c r="X98" s="198"/>
      <c r="Y98" s="198" t="s">
        <v>1355</v>
      </c>
      <c r="Z98" s="198" t="s">
        <v>1356</v>
      </c>
      <c r="AA98" s="198"/>
      <c r="AB98" s="198"/>
    </row>
    <row r="99" spans="1:28" ht="15.5">
      <c r="A99" s="37">
        <v>2019</v>
      </c>
      <c r="B99" s="37">
        <v>1000</v>
      </c>
      <c r="C99" s="37">
        <v>11</v>
      </c>
      <c r="D99" s="105">
        <f t="shared" si="4"/>
        <v>-0.67999999999999972</v>
      </c>
      <c r="I99">
        <f t="shared" si="5"/>
        <v>-7.4999999999999289E-2</v>
      </c>
      <c r="T99" s="37" t="s">
        <v>1398</v>
      </c>
      <c r="U99" s="37" t="s">
        <v>1353</v>
      </c>
      <c r="V99" s="198"/>
      <c r="W99" s="37" t="s">
        <v>1354</v>
      </c>
      <c r="X99" s="198"/>
      <c r="Y99" s="198"/>
      <c r="Z99" s="198"/>
      <c r="AA99" s="198"/>
      <c r="AB99" s="198"/>
    </row>
    <row r="100" spans="1:28" ht="15.5">
      <c r="A100" s="37">
        <v>2019</v>
      </c>
      <c r="B100" s="37">
        <v>1000</v>
      </c>
      <c r="C100" s="198">
        <v>12</v>
      </c>
      <c r="D100" s="105">
        <f t="shared" si="4"/>
        <v>-0.76999999999999602</v>
      </c>
      <c r="I100">
        <f t="shared" si="5"/>
        <v>-8.6999999999999744E-2</v>
      </c>
      <c r="T100" s="37">
        <v>9.18</v>
      </c>
      <c r="U100" s="198">
        <v>9.125</v>
      </c>
      <c r="V100" s="201"/>
      <c r="W100" s="198">
        <v>25.2</v>
      </c>
      <c r="X100" s="198"/>
      <c r="Y100" s="205">
        <f>(U100-T100)/T100</f>
        <v>-5.9912854030500784E-3</v>
      </c>
      <c r="Z100" s="205">
        <f>_xlfn.STDEV.P(Y100:Y109)</f>
        <v>4.5192991499784759E-3</v>
      </c>
      <c r="AA100" s="205">
        <f>Z100/SQRT(COUNT(Y100:Y109))</f>
        <v>1.59781353758019E-3</v>
      </c>
      <c r="AB100" s="206">
        <f>AA100</f>
        <v>1.59781353758019E-3</v>
      </c>
    </row>
    <row r="101" spans="1:28" ht="15.5">
      <c r="A101" s="37">
        <v>2019</v>
      </c>
      <c r="B101" s="37">
        <v>1000</v>
      </c>
      <c r="C101" s="198">
        <v>13</v>
      </c>
      <c r="D101" s="105">
        <f t="shared" si="4"/>
        <v>-0.93000000000000682</v>
      </c>
      <c r="I101">
        <f t="shared" si="5"/>
        <v>-6.7999999999999616E-2</v>
      </c>
      <c r="T101" s="37">
        <v>7.01</v>
      </c>
      <c r="U101" s="198">
        <v>7.0339999999999998</v>
      </c>
      <c r="V101" s="201"/>
      <c r="W101" s="198">
        <v>25.1</v>
      </c>
      <c r="X101" s="198"/>
      <c r="Y101" s="205">
        <f t="shared" ref="Y101:Y103" si="6">(U101-T101)/T101</f>
        <v>3.4236804564907308E-3</v>
      </c>
      <c r="Z101" s="205"/>
      <c r="AA101" s="205"/>
      <c r="AB101" s="198"/>
    </row>
    <row r="102" spans="1:28" ht="15.5">
      <c r="A102" s="37">
        <v>2019</v>
      </c>
      <c r="B102" s="37">
        <v>1000</v>
      </c>
      <c r="C102" s="198">
        <v>14</v>
      </c>
      <c r="D102" s="105">
        <f t="shared" si="4"/>
        <v>-0.94999999999999574</v>
      </c>
      <c r="I102">
        <f t="shared" si="5"/>
        <v>-8.2000000000000739E-2</v>
      </c>
      <c r="T102" s="37">
        <v>10.01</v>
      </c>
      <c r="U102" s="198">
        <v>10.023999999999999</v>
      </c>
      <c r="V102" s="201"/>
      <c r="W102" s="198">
        <v>25.2</v>
      </c>
      <c r="X102" s="198"/>
      <c r="Y102" s="205">
        <f t="shared" si="6"/>
        <v>1.3986013986013333E-3</v>
      </c>
      <c r="Z102" s="205"/>
      <c r="AA102" s="205"/>
      <c r="AB102" s="198"/>
    </row>
    <row r="103" spans="1:28" ht="15.5">
      <c r="A103" s="37">
        <v>2019</v>
      </c>
      <c r="B103" s="37">
        <v>1000</v>
      </c>
      <c r="C103" s="198">
        <v>15</v>
      </c>
      <c r="D103" s="105">
        <f t="shared" si="4"/>
        <v>-1.0499999999999972</v>
      </c>
      <c r="I103">
        <f t="shared" si="5"/>
        <v>-6.7999999999999616E-2</v>
      </c>
      <c r="T103" s="37">
        <v>12.45</v>
      </c>
      <c r="U103" s="198">
        <v>12.442</v>
      </c>
      <c r="V103" s="201"/>
      <c r="W103" s="198">
        <v>25.2</v>
      </c>
      <c r="X103" s="204"/>
      <c r="Y103" s="205">
        <f t="shared" si="6"/>
        <v>-6.4257028112442731E-4</v>
      </c>
      <c r="Z103" s="209"/>
      <c r="AA103" s="209"/>
      <c r="AB103" s="204"/>
    </row>
    <row r="104" spans="1:28" ht="15.5">
      <c r="A104" s="524">
        <v>2019</v>
      </c>
      <c r="B104" s="524">
        <v>1000</v>
      </c>
      <c r="C104" s="524">
        <v>16</v>
      </c>
      <c r="D104" s="519">
        <f t="shared" si="4"/>
        <v>-0.94000000000000483</v>
      </c>
      <c r="E104" s="518"/>
      <c r="F104" s="518"/>
      <c r="G104" s="518"/>
      <c r="H104" s="518"/>
      <c r="I104" s="518" t="s">
        <v>1948</v>
      </c>
      <c r="T104" s="37"/>
      <c r="U104" s="198"/>
      <c r="V104" s="201"/>
      <c r="W104" s="198"/>
      <c r="X104" s="198"/>
      <c r="Y104" s="205"/>
      <c r="Z104" s="205"/>
      <c r="AA104" s="205"/>
      <c r="AB104" s="198"/>
    </row>
    <row r="105" spans="1:28" ht="15.5">
      <c r="A105" s="37">
        <v>2019</v>
      </c>
      <c r="B105" s="37">
        <v>1000</v>
      </c>
      <c r="C105" s="198">
        <v>17</v>
      </c>
      <c r="D105" s="105">
        <f t="shared" si="4"/>
        <v>-1.0300000000000011</v>
      </c>
      <c r="I105">
        <f t="shared" si="5"/>
        <v>-7.099999999999973E-2</v>
      </c>
      <c r="T105" s="37" t="s">
        <v>1363</v>
      </c>
      <c r="U105" s="37" t="s">
        <v>1353</v>
      </c>
      <c r="V105" s="198"/>
      <c r="W105" s="37" t="s">
        <v>1354</v>
      </c>
      <c r="X105" s="198"/>
      <c r="Y105" s="205"/>
    </row>
    <row r="106" spans="1:28" ht="15.5">
      <c r="A106" s="37">
        <v>2019</v>
      </c>
      <c r="B106" s="37">
        <v>1000</v>
      </c>
      <c r="C106" s="198">
        <v>18</v>
      </c>
      <c r="D106" s="105">
        <f t="shared" si="4"/>
        <v>-0.93000000000000682</v>
      </c>
      <c r="I106">
        <f t="shared" si="5"/>
        <v>-7.3000000000000398E-2</v>
      </c>
      <c r="T106" s="37">
        <v>7.01</v>
      </c>
      <c r="U106" s="198">
        <v>7.0860000000000003</v>
      </c>
      <c r="V106" s="201"/>
      <c r="W106" s="198"/>
      <c r="X106" s="198"/>
      <c r="Y106" s="205">
        <f>(U106-T106)/T106</f>
        <v>1.0841654778887377E-2</v>
      </c>
    </row>
    <row r="107" spans="1:28" ht="15.5">
      <c r="A107" s="37">
        <v>2019</v>
      </c>
      <c r="B107" s="37">
        <v>1000</v>
      </c>
      <c r="C107" s="198">
        <v>19</v>
      </c>
      <c r="D107" s="105">
        <f t="shared" si="4"/>
        <v>-1.009999999999998</v>
      </c>
      <c r="I107">
        <f t="shared" si="5"/>
        <v>-6.0000000000000497E-2</v>
      </c>
      <c r="T107" s="37">
        <v>10.01</v>
      </c>
      <c r="U107" s="198">
        <v>10.054</v>
      </c>
      <c r="V107" s="201"/>
      <c r="W107" s="198">
        <v>25.2</v>
      </c>
      <c r="X107" s="198"/>
      <c r="Y107" s="205">
        <f t="shared" ref="Y107:Y108" si="7">(U107-T107)/T107</f>
        <v>4.3956043956044442E-3</v>
      </c>
    </row>
    <row r="108" spans="1:28" ht="15.5">
      <c r="A108" s="37">
        <v>2019</v>
      </c>
      <c r="B108" s="37">
        <v>1000</v>
      </c>
      <c r="C108" s="198">
        <v>20</v>
      </c>
      <c r="D108" s="105">
        <f t="shared" si="4"/>
        <v>-0.93999999999999773</v>
      </c>
      <c r="I108">
        <f t="shared" si="5"/>
        <v>-6.8999999999999062E-2</v>
      </c>
      <c r="T108" s="37">
        <v>12.45</v>
      </c>
      <c r="U108" s="198">
        <v>12.455</v>
      </c>
      <c r="V108" s="201"/>
      <c r="W108" s="198">
        <v>25.1</v>
      </c>
      <c r="X108" s="204"/>
      <c r="Y108" s="205">
        <f t="shared" si="7"/>
        <v>4.0160642570287404E-4</v>
      </c>
    </row>
    <row r="109" spans="1:28" ht="15.5">
      <c r="A109" s="37">
        <v>2019</v>
      </c>
      <c r="B109" s="207">
        <v>1000</v>
      </c>
      <c r="C109" s="207">
        <v>21</v>
      </c>
      <c r="D109" s="105">
        <f t="shared" si="4"/>
        <v>-0.92000000000000171</v>
      </c>
      <c r="I109">
        <f t="shared" si="5"/>
        <v>-6.7999999999999616E-2</v>
      </c>
      <c r="T109" s="37">
        <v>9.18</v>
      </c>
      <c r="U109" s="198">
        <v>9.2170000000000005</v>
      </c>
      <c r="V109" s="201"/>
      <c r="W109" s="198">
        <v>25.2</v>
      </c>
      <c r="X109" s="198"/>
      <c r="Y109" s="205">
        <f>(U109-T109)/T109</f>
        <v>4.0305010893247071E-3</v>
      </c>
    </row>
    <row r="110" spans="1:28">
      <c r="D110" s="105"/>
    </row>
    <row r="111" spans="1:28">
      <c r="D111" s="10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4BBF9-54E6-4181-AF7E-9177030283E4}">
  <dimension ref="A1:C4"/>
  <sheetViews>
    <sheetView workbookViewId="0">
      <selection activeCell="H15" sqref="H15"/>
    </sheetView>
  </sheetViews>
  <sheetFormatPr defaultRowHeight="14.5"/>
  <sheetData>
    <row r="1" spans="1:3">
      <c r="A1" t="s">
        <v>1346</v>
      </c>
      <c r="B1" t="s">
        <v>1490</v>
      </c>
      <c r="C1" t="s">
        <v>1491</v>
      </c>
    </row>
    <row r="2" spans="1:3">
      <c r="A2" t="s">
        <v>1226</v>
      </c>
      <c r="B2">
        <v>858.95</v>
      </c>
      <c r="C2">
        <v>851.13</v>
      </c>
    </row>
    <row r="3" spans="1:3">
      <c r="A3" t="s">
        <v>1227</v>
      </c>
      <c r="B3">
        <v>1887.9</v>
      </c>
      <c r="C3">
        <v>1881.8</v>
      </c>
    </row>
    <row r="4" spans="1:3">
      <c r="A4" t="s">
        <v>1228</v>
      </c>
      <c r="B4">
        <v>3841.1</v>
      </c>
      <c r="C4">
        <v>3839.8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53D2-87CC-4D28-AE9F-F32BEBC2E675}">
  <dimension ref="A1:BD91"/>
  <sheetViews>
    <sheetView zoomScale="70" zoomScaleNormal="70" workbookViewId="0">
      <pane xSplit="10520" ySplit="4010" topLeftCell="E19" activePane="bottomRight"/>
      <selection pane="topRight" activeCell="X3" sqref="X3"/>
      <selection pane="bottomLeft" activeCell="C92" sqref="C92"/>
      <selection pane="bottomRight" activeCell="I57" sqref="I57"/>
    </sheetView>
  </sheetViews>
  <sheetFormatPr defaultRowHeight="14.5"/>
  <cols>
    <col min="1" max="1" width="32" bestFit="1" customWidth="1"/>
    <col min="8" max="9" width="10.81640625" bestFit="1" customWidth="1"/>
    <col min="10" max="10" width="11" customWidth="1"/>
    <col min="12" max="12" width="10.81640625" bestFit="1" customWidth="1"/>
    <col min="13" max="13" width="9.81640625" bestFit="1" customWidth="1"/>
    <col min="22" max="22" width="9.1796875" style="233"/>
    <col min="24" max="24" width="18" style="89" bestFit="1" customWidth="1"/>
    <col min="25" max="25" width="21.81640625" customWidth="1"/>
    <col min="26" max="26" width="26.1796875" customWidth="1"/>
    <col min="29" max="29" width="9.81640625" bestFit="1" customWidth="1"/>
    <col min="32" max="32" width="28.54296875" bestFit="1" customWidth="1"/>
    <col min="35" max="35" width="9.81640625" bestFit="1" customWidth="1"/>
  </cols>
  <sheetData>
    <row r="1" spans="1:56" ht="15.5">
      <c r="B1" t="s">
        <v>1409</v>
      </c>
      <c r="C1" t="s">
        <v>175</v>
      </c>
      <c r="D1" t="s">
        <v>1410</v>
      </c>
      <c r="E1" t="s">
        <v>1410</v>
      </c>
      <c r="F1" s="105" t="s">
        <v>1411</v>
      </c>
      <c r="G1" s="108" t="s">
        <v>1411</v>
      </c>
      <c r="H1" s="225" t="s">
        <v>1349</v>
      </c>
      <c r="I1" s="225" t="s">
        <v>1349</v>
      </c>
      <c r="J1" t="s">
        <v>1412</v>
      </c>
      <c r="K1" s="116" t="s">
        <v>1413</v>
      </c>
      <c r="L1" s="116" t="s">
        <v>1340</v>
      </c>
      <c r="M1" t="s">
        <v>1412</v>
      </c>
      <c r="N1" s="116" t="s">
        <v>1413</v>
      </c>
      <c r="O1" s="116" t="s">
        <v>1340</v>
      </c>
      <c r="P1" s="116" t="s">
        <v>1414</v>
      </c>
      <c r="Q1" t="s">
        <v>1415</v>
      </c>
      <c r="R1" t="s">
        <v>1416</v>
      </c>
      <c r="S1" t="s">
        <v>164</v>
      </c>
      <c r="T1" t="s">
        <v>164</v>
      </c>
      <c r="U1" s="105" t="s">
        <v>1411</v>
      </c>
      <c r="V1" s="232" t="s">
        <v>1411</v>
      </c>
      <c r="W1" s="105" t="s">
        <v>1411</v>
      </c>
      <c r="X1" s="281" t="s">
        <v>1411</v>
      </c>
      <c r="Y1" s="226" t="s">
        <v>1411</v>
      </c>
      <c r="Z1" s="52" t="s">
        <v>1411</v>
      </c>
      <c r="AA1" s="52" t="s">
        <v>1417</v>
      </c>
      <c r="AB1" s="52" t="s">
        <v>1417</v>
      </c>
      <c r="AC1" s="227" t="s">
        <v>1412</v>
      </c>
      <c r="AD1" s="228" t="s">
        <v>1413</v>
      </c>
      <c r="AE1" s="228" t="s">
        <v>1340</v>
      </c>
      <c r="AF1" s="97" t="s">
        <v>1411</v>
      </c>
      <c r="AG1" s="97" t="s">
        <v>1411</v>
      </c>
      <c r="AH1" s="97" t="s">
        <v>1411</v>
      </c>
      <c r="AI1" s="227" t="s">
        <v>1412</v>
      </c>
      <c r="AJ1" s="228" t="s">
        <v>1413</v>
      </c>
      <c r="AK1" s="228" t="s">
        <v>1340</v>
      </c>
    </row>
    <row r="2" spans="1:56" ht="15.5">
      <c r="B2" t="s">
        <v>1758</v>
      </c>
      <c r="C2" t="s">
        <v>1418</v>
      </c>
      <c r="D2" t="s">
        <v>1419</v>
      </c>
      <c r="E2" t="s">
        <v>1420</v>
      </c>
      <c r="F2" s="105" t="s">
        <v>1421</v>
      </c>
      <c r="G2" s="108" t="s">
        <v>1422</v>
      </c>
      <c r="H2" s="225" t="s">
        <v>1421</v>
      </c>
      <c r="I2" s="225" t="s">
        <v>1423</v>
      </c>
      <c r="J2" t="s">
        <v>1424</v>
      </c>
      <c r="K2" s="116" t="s">
        <v>210</v>
      </c>
      <c r="L2" s="116" t="s">
        <v>1425</v>
      </c>
      <c r="M2" t="s">
        <v>1424</v>
      </c>
      <c r="N2" s="116" t="s">
        <v>210</v>
      </c>
      <c r="O2" s="116" t="s">
        <v>1425</v>
      </c>
      <c r="P2" s="116"/>
      <c r="Q2" t="s">
        <v>1426</v>
      </c>
      <c r="U2" s="105" t="s">
        <v>1427</v>
      </c>
      <c r="V2" s="232" t="s">
        <v>1428</v>
      </c>
      <c r="W2" s="105" t="s">
        <v>1429</v>
      </c>
      <c r="X2" s="281" t="s">
        <v>1572</v>
      </c>
      <c r="Y2" s="226" t="s">
        <v>1430</v>
      </c>
      <c r="Z2" s="52" t="s">
        <v>1431</v>
      </c>
      <c r="AA2" s="52" t="s">
        <v>1333</v>
      </c>
      <c r="AB2" s="52" t="s">
        <v>210</v>
      </c>
      <c r="AC2" s="227" t="s">
        <v>1424</v>
      </c>
      <c r="AD2" s="228" t="s">
        <v>210</v>
      </c>
      <c r="AE2" s="228" t="s">
        <v>1425</v>
      </c>
      <c r="AF2" s="97" t="s">
        <v>1432</v>
      </c>
      <c r="AG2" s="97" t="s">
        <v>1433</v>
      </c>
      <c r="AH2" s="97" t="s">
        <v>1433</v>
      </c>
      <c r="AI2" s="227" t="s">
        <v>1424</v>
      </c>
      <c r="AJ2" s="228" t="s">
        <v>210</v>
      </c>
      <c r="AK2" s="228" t="s">
        <v>1425</v>
      </c>
    </row>
    <row r="3" spans="1:56">
      <c r="A3" s="37"/>
      <c r="B3" s="37"/>
      <c r="C3" s="176"/>
      <c r="D3" s="176"/>
      <c r="E3" s="37"/>
      <c r="F3" s="108" t="s">
        <v>1333</v>
      </c>
      <c r="G3" s="108" t="s">
        <v>1333</v>
      </c>
      <c r="H3" s="229"/>
      <c r="I3" s="229"/>
      <c r="J3" s="37" t="s">
        <v>1434</v>
      </c>
      <c r="K3" s="37" t="s">
        <v>1434</v>
      </c>
      <c r="L3" s="37" t="s">
        <v>1434</v>
      </c>
      <c r="M3" s="37" t="s">
        <v>1435</v>
      </c>
      <c r="N3" s="37" t="s">
        <v>1435</v>
      </c>
      <c r="O3" s="37" t="s">
        <v>1435</v>
      </c>
      <c r="P3" s="172"/>
      <c r="Q3" s="37"/>
      <c r="R3" s="37"/>
      <c r="S3" s="37"/>
      <c r="T3" s="37"/>
      <c r="U3" s="108" t="s">
        <v>1333</v>
      </c>
      <c r="V3" s="232" t="s">
        <v>1333</v>
      </c>
      <c r="W3" s="105" t="s">
        <v>1333</v>
      </c>
      <c r="X3" s="281"/>
      <c r="Y3" s="105" t="s">
        <v>1333</v>
      </c>
      <c r="Z3" s="1" t="s">
        <v>1333</v>
      </c>
      <c r="AA3" s="1" t="s">
        <v>1333</v>
      </c>
      <c r="AB3" s="1" t="s">
        <v>210</v>
      </c>
      <c r="AC3" s="37"/>
      <c r="AD3" s="37"/>
      <c r="AE3" s="37"/>
      <c r="AF3" s="97" t="s">
        <v>1333</v>
      </c>
      <c r="AG3" s="97" t="s">
        <v>1333</v>
      </c>
      <c r="AH3" s="97" t="s">
        <v>210</v>
      </c>
      <c r="AI3" s="37"/>
      <c r="AJ3" s="37"/>
      <c r="AK3" s="37"/>
      <c r="AL3" s="37"/>
      <c r="AM3" s="37"/>
      <c r="AN3" s="37"/>
      <c r="AO3" s="37"/>
      <c r="AP3" s="37"/>
      <c r="AQ3" s="37"/>
      <c r="AR3" s="37"/>
      <c r="AS3" s="37"/>
      <c r="AT3" s="37"/>
      <c r="AU3" s="37"/>
      <c r="AV3" s="37"/>
      <c r="AW3" s="37"/>
      <c r="AX3" s="37"/>
      <c r="AY3" s="37"/>
      <c r="AZ3" s="37"/>
      <c r="BA3" s="37"/>
      <c r="BB3" s="37"/>
      <c r="BC3" s="37"/>
      <c r="BD3" s="37"/>
    </row>
    <row r="4" spans="1:56">
      <c r="A4" s="37"/>
      <c r="B4" s="37"/>
      <c r="C4" s="176"/>
      <c r="D4" s="176"/>
      <c r="E4" s="37"/>
      <c r="F4" s="108"/>
      <c r="G4" s="108"/>
      <c r="H4" s="229"/>
      <c r="I4" s="229"/>
      <c r="J4" s="229"/>
      <c r="K4" s="229"/>
      <c r="L4" s="229"/>
      <c r="M4" s="37"/>
      <c r="N4" s="172"/>
      <c r="O4" s="172"/>
      <c r="P4" s="172"/>
      <c r="Q4" s="37"/>
      <c r="R4" s="37"/>
      <c r="S4" s="37"/>
      <c r="T4" s="37"/>
      <c r="U4" s="108"/>
      <c r="V4" s="232"/>
      <c r="W4" s="105"/>
      <c r="X4" s="281"/>
      <c r="Y4" s="105"/>
      <c r="Z4" s="37"/>
      <c r="AA4" s="37"/>
      <c r="AB4" s="37"/>
      <c r="AC4" s="37"/>
      <c r="AD4" s="37"/>
      <c r="AE4" s="37"/>
      <c r="AF4" s="97"/>
      <c r="AG4" s="97"/>
      <c r="AH4" s="97"/>
      <c r="AI4" s="37"/>
      <c r="AJ4" s="37"/>
      <c r="AK4" s="37"/>
      <c r="AL4" s="37"/>
      <c r="AM4" s="37"/>
      <c r="AN4" s="37"/>
      <c r="AO4" s="37"/>
      <c r="AP4" s="37"/>
      <c r="AQ4" s="37"/>
      <c r="AR4" s="37"/>
      <c r="AS4" s="37"/>
      <c r="AT4" s="37"/>
      <c r="AU4" s="37"/>
      <c r="AV4" s="37"/>
      <c r="AW4" s="37"/>
      <c r="AX4" s="37"/>
      <c r="AY4" s="37"/>
      <c r="AZ4" s="37"/>
      <c r="BA4" s="37"/>
      <c r="BB4" s="37"/>
      <c r="BC4" s="37"/>
      <c r="BD4" s="37"/>
    </row>
    <row r="5" spans="1:56" s="230" customFormat="1">
      <c r="A5" s="230" t="str">
        <f>main!A6</f>
        <v>Deployment 20/03/2019 IN2019_V02</v>
      </c>
      <c r="B5" s="231" t="str">
        <f>main!B6</f>
        <v>McLane-PARFLUX-Mark78H-21 ; controller sn ML11640-01, frame sn 2241, motor sn 11649-01, cup set D250x21</v>
      </c>
      <c r="C5" s="231"/>
      <c r="D5" s="231"/>
      <c r="V5" s="233"/>
      <c r="X5" s="282"/>
    </row>
    <row r="6" spans="1:56">
      <c r="A6">
        <v>2019</v>
      </c>
      <c r="B6" t="s">
        <v>98</v>
      </c>
      <c r="C6" t="str">
        <f>main!C7</f>
        <v>D 1</v>
      </c>
      <c r="D6">
        <v>4</v>
      </c>
      <c r="E6">
        <v>7</v>
      </c>
      <c r="F6">
        <v>41.13</v>
      </c>
      <c r="G6">
        <v>393.96</v>
      </c>
      <c r="H6" s="67">
        <v>44109</v>
      </c>
      <c r="I6" s="67">
        <v>44111</v>
      </c>
      <c r="J6" s="67">
        <v>44111</v>
      </c>
      <c r="K6" s="278">
        <v>0.3</v>
      </c>
      <c r="L6" s="67" t="s">
        <v>1565</v>
      </c>
      <c r="M6" s="67">
        <v>44106</v>
      </c>
      <c r="N6">
        <v>31</v>
      </c>
      <c r="O6">
        <v>23.5</v>
      </c>
      <c r="P6" s="89" t="s">
        <v>1446</v>
      </c>
      <c r="Q6" s="89" t="s">
        <v>1447</v>
      </c>
      <c r="R6" t="s">
        <v>50</v>
      </c>
      <c r="S6" t="s">
        <v>1439</v>
      </c>
      <c r="U6">
        <f>G6-F6</f>
        <v>352.83</v>
      </c>
      <c r="W6" s="66">
        <f>U6/4</f>
        <v>88.207499999999996</v>
      </c>
      <c r="X6" s="283">
        <f>ABS(W6-W7)</f>
        <v>1.1474999999999937</v>
      </c>
      <c r="Y6">
        <v>14624.91</v>
      </c>
      <c r="Z6">
        <v>394.06</v>
      </c>
      <c r="AA6">
        <f>Z6-G6</f>
        <v>0.10000000000002274</v>
      </c>
      <c r="AB6" s="280">
        <f>(AA6/AVERAGE(Z6-F6,G6-F6))</f>
        <v>2.8338245295857727E-4</v>
      </c>
      <c r="AC6" s="67">
        <v>44112</v>
      </c>
      <c r="AD6" t="s">
        <v>1566</v>
      </c>
      <c r="AE6" t="s">
        <v>1567</v>
      </c>
    </row>
    <row r="7" spans="1:56">
      <c r="A7">
        <v>2019</v>
      </c>
      <c r="B7" t="s">
        <v>98</v>
      </c>
      <c r="C7" t="s">
        <v>1436</v>
      </c>
      <c r="D7">
        <v>8</v>
      </c>
      <c r="E7">
        <v>10</v>
      </c>
      <c r="F7">
        <v>41.23</v>
      </c>
      <c r="G7">
        <v>302.41000000000003</v>
      </c>
      <c r="H7" s="67">
        <v>44109</v>
      </c>
      <c r="I7" s="67">
        <v>44111</v>
      </c>
      <c r="J7" s="67">
        <v>44111</v>
      </c>
      <c r="K7" s="278">
        <v>0.3</v>
      </c>
      <c r="L7" s="67" t="s">
        <v>1565</v>
      </c>
      <c r="M7" s="67">
        <v>44106</v>
      </c>
      <c r="N7">
        <v>31</v>
      </c>
      <c r="O7">
        <v>23.5</v>
      </c>
      <c r="P7" s="89" t="s">
        <v>1446</v>
      </c>
      <c r="Q7" s="89" t="s">
        <v>1447</v>
      </c>
      <c r="R7" t="s">
        <v>50</v>
      </c>
      <c r="S7" t="s">
        <v>1439</v>
      </c>
      <c r="U7">
        <f t="shared" ref="U7:U33" si="0">G7-F7</f>
        <v>261.18</v>
      </c>
      <c r="V7" s="233">
        <f>((U6+U7)/7)*10</f>
        <v>877.15714285714284</v>
      </c>
      <c r="W7" s="66">
        <f>U7/3</f>
        <v>87.06</v>
      </c>
      <c r="X7" s="284">
        <f>X6/SUM(U6,U7)</f>
        <v>1.868862070650305E-3</v>
      </c>
      <c r="Z7">
        <v>302.25</v>
      </c>
      <c r="AA7">
        <f>Z7-G7</f>
        <v>-0.16000000000002501</v>
      </c>
      <c r="AB7" s="280">
        <f>(AA7/AVERAGE(Z7-F7,G7-F7))</f>
        <v>-6.1279203370365762E-4</v>
      </c>
      <c r="AC7" s="67">
        <v>44112</v>
      </c>
      <c r="AD7" t="s">
        <v>1566</v>
      </c>
      <c r="AE7" t="s">
        <v>1567</v>
      </c>
    </row>
    <row r="8" spans="1:56">
      <c r="A8">
        <v>2019</v>
      </c>
      <c r="B8" t="s">
        <v>98</v>
      </c>
      <c r="C8">
        <f>main!C8</f>
        <v>2</v>
      </c>
      <c r="D8">
        <v>4</v>
      </c>
      <c r="E8">
        <v>10</v>
      </c>
      <c r="F8">
        <v>42.57</v>
      </c>
      <c r="G8">
        <v>418.92</v>
      </c>
      <c r="H8" s="67">
        <v>44109</v>
      </c>
      <c r="I8" s="67">
        <v>44112</v>
      </c>
      <c r="J8" s="67">
        <v>44112</v>
      </c>
      <c r="K8" t="s">
        <v>1566</v>
      </c>
      <c r="L8" t="s">
        <v>1567</v>
      </c>
      <c r="M8" s="67">
        <v>44106</v>
      </c>
      <c r="N8">
        <v>31</v>
      </c>
      <c r="O8">
        <v>23.5</v>
      </c>
      <c r="P8" s="89" t="s">
        <v>1446</v>
      </c>
      <c r="Q8" s="89" t="s">
        <v>1447</v>
      </c>
      <c r="R8" t="s">
        <v>50</v>
      </c>
      <c r="S8" t="s">
        <v>1439</v>
      </c>
      <c r="U8">
        <f t="shared" si="0"/>
        <v>376.35</v>
      </c>
      <c r="V8" s="233">
        <f>((U8/7)*10)</f>
        <v>537.64285714285722</v>
      </c>
      <c r="W8">
        <f>U8/7</f>
        <v>53.76428571428572</v>
      </c>
      <c r="X8" s="281"/>
      <c r="Y8">
        <v>14622.43</v>
      </c>
      <c r="AB8" s="279"/>
    </row>
    <row r="9" spans="1:56">
      <c r="A9">
        <v>2019</v>
      </c>
      <c r="B9" t="s">
        <v>98</v>
      </c>
      <c r="C9">
        <f>main!C9</f>
        <v>3</v>
      </c>
      <c r="D9">
        <v>4</v>
      </c>
      <c r="E9">
        <v>10</v>
      </c>
      <c r="F9">
        <v>39.54</v>
      </c>
      <c r="G9">
        <v>202.42</v>
      </c>
      <c r="H9" s="67">
        <v>44109</v>
      </c>
      <c r="I9" s="67">
        <v>44112</v>
      </c>
      <c r="J9" s="67">
        <v>44112</v>
      </c>
      <c r="K9" t="s">
        <v>1566</v>
      </c>
      <c r="L9" t="s">
        <v>1567</v>
      </c>
      <c r="M9" s="67">
        <v>44106</v>
      </c>
      <c r="N9">
        <v>31</v>
      </c>
      <c r="O9">
        <v>23.5</v>
      </c>
      <c r="P9" s="89" t="s">
        <v>1446</v>
      </c>
      <c r="Q9" s="89" t="s">
        <v>1447</v>
      </c>
      <c r="R9" t="s">
        <v>50</v>
      </c>
      <c r="S9" t="s">
        <v>1439</v>
      </c>
      <c r="U9">
        <f t="shared" si="0"/>
        <v>162.88</v>
      </c>
      <c r="V9" s="233">
        <f t="shared" ref="V9:V18" si="1">((U9/7)*10)</f>
        <v>232.68571428571425</v>
      </c>
      <c r="W9">
        <f t="shared" ref="W9:W25" si="2">U9/7</f>
        <v>23.268571428571427</v>
      </c>
      <c r="X9" s="281"/>
      <c r="Y9">
        <v>15041.32</v>
      </c>
      <c r="AB9" s="279"/>
      <c r="AF9">
        <v>40.5</v>
      </c>
      <c r="AG9">
        <f>AF9-F9</f>
        <v>0.96000000000000085</v>
      </c>
      <c r="AH9" s="280">
        <f>AG9/U9</f>
        <v>5.8939096267190622E-3</v>
      </c>
      <c r="AI9" s="67">
        <v>44112</v>
      </c>
      <c r="AJ9" t="s">
        <v>1566</v>
      </c>
      <c r="AK9" t="s">
        <v>1567</v>
      </c>
    </row>
    <row r="10" spans="1:56">
      <c r="A10">
        <v>2019</v>
      </c>
      <c r="B10" t="s">
        <v>98</v>
      </c>
      <c r="C10">
        <f>main!C10</f>
        <v>4</v>
      </c>
      <c r="D10">
        <v>4</v>
      </c>
      <c r="E10">
        <v>10</v>
      </c>
      <c r="F10">
        <v>40.39</v>
      </c>
      <c r="G10">
        <v>319.64999999999998</v>
      </c>
      <c r="H10" s="67">
        <v>44109</v>
      </c>
      <c r="I10" s="67">
        <v>44111</v>
      </c>
      <c r="J10" s="67">
        <v>44111</v>
      </c>
      <c r="K10" s="278">
        <v>0.3</v>
      </c>
      <c r="L10" s="67" t="s">
        <v>1565</v>
      </c>
      <c r="M10" s="67">
        <v>44106</v>
      </c>
      <c r="N10">
        <v>31</v>
      </c>
      <c r="O10">
        <v>23.5</v>
      </c>
      <c r="P10" s="89" t="s">
        <v>1446</v>
      </c>
      <c r="Q10" s="89" t="s">
        <v>1447</v>
      </c>
      <c r="R10" t="s">
        <v>50</v>
      </c>
      <c r="S10" t="s">
        <v>1439</v>
      </c>
      <c r="U10">
        <f t="shared" si="0"/>
        <v>279.26</v>
      </c>
      <c r="V10" s="233">
        <f t="shared" si="1"/>
        <v>398.94285714285718</v>
      </c>
      <c r="W10">
        <f t="shared" si="2"/>
        <v>39.894285714285715</v>
      </c>
      <c r="X10" s="281"/>
      <c r="Y10">
        <v>15030.08</v>
      </c>
      <c r="Z10">
        <v>319.44</v>
      </c>
      <c r="AA10">
        <f>Z10-G10</f>
        <v>-0.20999999999997954</v>
      </c>
      <c r="AB10" s="280">
        <f>(AA10/AVERAGE(Z10-F10,G10-F10))</f>
        <v>-7.5227024412953222E-4</v>
      </c>
      <c r="AC10" s="67">
        <v>44112</v>
      </c>
      <c r="AD10" t="s">
        <v>1566</v>
      </c>
      <c r="AE10" t="s">
        <v>1567</v>
      </c>
      <c r="AF10">
        <v>41.54</v>
      </c>
      <c r="AG10">
        <f>AF10-F10</f>
        <v>1.1499999999999986</v>
      </c>
      <c r="AH10" s="280">
        <f>AG10/U10</f>
        <v>4.1180262121320588E-3</v>
      </c>
      <c r="AI10" s="67">
        <v>44112</v>
      </c>
      <c r="AJ10" t="s">
        <v>1566</v>
      </c>
      <c r="AK10" t="s">
        <v>1567</v>
      </c>
    </row>
    <row r="11" spans="1:56">
      <c r="A11">
        <v>2019</v>
      </c>
      <c r="B11" t="s">
        <v>98</v>
      </c>
      <c r="C11">
        <f>main!C11</f>
        <v>5</v>
      </c>
      <c r="D11">
        <v>4</v>
      </c>
      <c r="E11">
        <v>10</v>
      </c>
      <c r="F11">
        <v>42.11</v>
      </c>
      <c r="G11">
        <v>242.86</v>
      </c>
      <c r="H11" s="67">
        <v>44109</v>
      </c>
      <c r="I11" s="67">
        <v>44112</v>
      </c>
      <c r="J11" s="67">
        <v>44112</v>
      </c>
      <c r="K11" t="s">
        <v>1566</v>
      </c>
      <c r="L11" t="s">
        <v>1567</v>
      </c>
      <c r="M11" s="67">
        <v>44106</v>
      </c>
      <c r="N11">
        <v>31</v>
      </c>
      <c r="O11">
        <v>23.5</v>
      </c>
      <c r="P11" s="89" t="s">
        <v>1446</v>
      </c>
      <c r="Q11" s="89" t="s">
        <v>1447</v>
      </c>
      <c r="R11" t="s">
        <v>50</v>
      </c>
      <c r="S11" t="s">
        <v>1439</v>
      </c>
      <c r="U11">
        <f t="shared" si="0"/>
        <v>200.75</v>
      </c>
      <c r="V11" s="233">
        <f t="shared" si="1"/>
        <v>286.78571428571428</v>
      </c>
      <c r="W11">
        <f t="shared" si="2"/>
        <v>28.678571428571427</v>
      </c>
      <c r="X11" s="281"/>
      <c r="Y11">
        <v>15068.25</v>
      </c>
    </row>
    <row r="12" spans="1:56">
      <c r="A12">
        <v>2019</v>
      </c>
      <c r="B12" t="s">
        <v>98</v>
      </c>
      <c r="C12">
        <f>main!C12</f>
        <v>6</v>
      </c>
      <c r="D12">
        <v>4</v>
      </c>
      <c r="E12">
        <v>10</v>
      </c>
      <c r="F12">
        <v>41.5</v>
      </c>
      <c r="G12">
        <v>271.26</v>
      </c>
      <c r="H12" s="67">
        <v>44109</v>
      </c>
      <c r="I12" s="67">
        <v>44112</v>
      </c>
      <c r="J12" s="67">
        <v>44112</v>
      </c>
      <c r="K12" t="s">
        <v>1566</v>
      </c>
      <c r="L12" t="s">
        <v>1567</v>
      </c>
      <c r="M12" s="67">
        <v>44106</v>
      </c>
      <c r="N12">
        <v>31</v>
      </c>
      <c r="O12">
        <v>23.5</v>
      </c>
      <c r="P12" s="89" t="s">
        <v>1446</v>
      </c>
      <c r="Q12" s="89" t="s">
        <v>1447</v>
      </c>
      <c r="R12" t="s">
        <v>50</v>
      </c>
      <c r="S12" t="s">
        <v>1439</v>
      </c>
      <c r="U12">
        <f t="shared" si="0"/>
        <v>229.76</v>
      </c>
      <c r="V12" s="233">
        <f t="shared" si="1"/>
        <v>328.2285714285714</v>
      </c>
      <c r="W12">
        <f t="shared" si="2"/>
        <v>32.822857142857139</v>
      </c>
      <c r="X12" s="281"/>
      <c r="Y12">
        <v>15090.63</v>
      </c>
    </row>
    <row r="13" spans="1:56">
      <c r="A13">
        <v>2019</v>
      </c>
      <c r="B13" t="s">
        <v>98</v>
      </c>
      <c r="C13">
        <f>main!C13</f>
        <v>7</v>
      </c>
      <c r="D13">
        <v>4</v>
      </c>
      <c r="E13">
        <v>10</v>
      </c>
      <c r="F13">
        <v>41.56</v>
      </c>
      <c r="G13">
        <v>169.77</v>
      </c>
      <c r="H13" s="67">
        <v>44109</v>
      </c>
      <c r="I13" s="67">
        <v>44112</v>
      </c>
      <c r="J13" s="67">
        <v>44112</v>
      </c>
      <c r="K13" t="s">
        <v>1566</v>
      </c>
      <c r="L13" t="s">
        <v>1567</v>
      </c>
      <c r="M13" s="67">
        <v>44106</v>
      </c>
      <c r="N13">
        <v>31</v>
      </c>
      <c r="O13">
        <v>23.5</v>
      </c>
      <c r="P13" s="89" t="s">
        <v>1446</v>
      </c>
      <c r="Q13" s="89" t="s">
        <v>1447</v>
      </c>
      <c r="R13" t="s">
        <v>50</v>
      </c>
      <c r="S13" t="s">
        <v>1439</v>
      </c>
      <c r="U13">
        <f t="shared" si="0"/>
        <v>128.21</v>
      </c>
      <c r="V13" s="233">
        <f t="shared" si="1"/>
        <v>183.15714285714284</v>
      </c>
      <c r="W13">
        <f t="shared" si="2"/>
        <v>18.315714285714286</v>
      </c>
      <c r="X13" s="281"/>
      <c r="Y13">
        <v>15062.82</v>
      </c>
    </row>
    <row r="14" spans="1:56">
      <c r="A14">
        <v>2019</v>
      </c>
      <c r="B14" t="s">
        <v>98</v>
      </c>
      <c r="C14">
        <f>main!C14</f>
        <v>8</v>
      </c>
      <c r="D14">
        <v>4</v>
      </c>
      <c r="E14">
        <v>10</v>
      </c>
      <c r="F14">
        <v>41.68</v>
      </c>
      <c r="G14">
        <v>104.33</v>
      </c>
      <c r="H14" s="67">
        <v>44109</v>
      </c>
      <c r="I14" s="67">
        <v>44112</v>
      </c>
      <c r="J14" s="67">
        <v>44112</v>
      </c>
      <c r="K14" t="s">
        <v>1566</v>
      </c>
      <c r="L14" t="s">
        <v>1567</v>
      </c>
      <c r="M14" s="67">
        <v>44106</v>
      </c>
      <c r="N14">
        <v>31</v>
      </c>
      <c r="O14">
        <v>23.5</v>
      </c>
      <c r="P14" s="89" t="s">
        <v>1446</v>
      </c>
      <c r="Q14" s="89" t="s">
        <v>1447</v>
      </c>
      <c r="R14" t="s">
        <v>50</v>
      </c>
      <c r="S14" t="s">
        <v>1439</v>
      </c>
      <c r="U14">
        <f t="shared" si="0"/>
        <v>62.65</v>
      </c>
      <c r="V14" s="233">
        <f t="shared" si="1"/>
        <v>89.5</v>
      </c>
      <c r="W14">
        <f t="shared" si="2"/>
        <v>8.9499999999999993</v>
      </c>
      <c r="X14" s="281"/>
      <c r="Y14">
        <v>15067.84</v>
      </c>
    </row>
    <row r="15" spans="1:56">
      <c r="A15">
        <v>2019</v>
      </c>
      <c r="B15" t="s">
        <v>98</v>
      </c>
      <c r="C15">
        <f>main!C15</f>
        <v>9</v>
      </c>
      <c r="D15">
        <v>4</v>
      </c>
      <c r="E15">
        <v>10</v>
      </c>
      <c r="F15">
        <v>40.39</v>
      </c>
      <c r="G15">
        <v>102.6</v>
      </c>
      <c r="H15" s="67">
        <v>44109</v>
      </c>
      <c r="I15" s="67">
        <v>44112</v>
      </c>
      <c r="J15" s="67">
        <v>44112</v>
      </c>
      <c r="K15" t="s">
        <v>1566</v>
      </c>
      <c r="L15" t="s">
        <v>1567</v>
      </c>
      <c r="M15" s="67">
        <v>44106</v>
      </c>
      <c r="N15">
        <v>31</v>
      </c>
      <c r="O15">
        <v>23.5</v>
      </c>
      <c r="P15" s="89" t="s">
        <v>1446</v>
      </c>
      <c r="Q15" s="89" t="s">
        <v>1447</v>
      </c>
      <c r="R15" t="s">
        <v>50</v>
      </c>
      <c r="S15" t="s">
        <v>1439</v>
      </c>
      <c r="U15">
        <f t="shared" si="0"/>
        <v>62.209999999999994</v>
      </c>
      <c r="V15" s="233">
        <f t="shared" si="1"/>
        <v>88.871428571428567</v>
      </c>
      <c r="W15">
        <f t="shared" si="2"/>
        <v>8.887142857142857</v>
      </c>
      <c r="X15" s="281"/>
      <c r="Y15">
        <v>14576.95</v>
      </c>
    </row>
    <row r="16" spans="1:56">
      <c r="A16">
        <v>2019</v>
      </c>
      <c r="B16" t="s">
        <v>98</v>
      </c>
      <c r="C16">
        <f>main!C16</f>
        <v>10</v>
      </c>
      <c r="D16">
        <v>4</v>
      </c>
      <c r="E16">
        <v>10</v>
      </c>
      <c r="F16">
        <v>41.25</v>
      </c>
      <c r="G16">
        <v>164.44</v>
      </c>
      <c r="H16" s="67">
        <v>44109</v>
      </c>
      <c r="I16" s="67">
        <v>44112</v>
      </c>
      <c r="J16" s="67">
        <v>44112</v>
      </c>
      <c r="K16" t="s">
        <v>1568</v>
      </c>
      <c r="L16" t="s">
        <v>1569</v>
      </c>
      <c r="M16" s="67">
        <v>44106</v>
      </c>
      <c r="N16">
        <v>31</v>
      </c>
      <c r="O16">
        <v>23.5</v>
      </c>
      <c r="P16" s="89" t="s">
        <v>1446</v>
      </c>
      <c r="Q16" s="89" t="s">
        <v>1447</v>
      </c>
      <c r="R16" t="s">
        <v>50</v>
      </c>
      <c r="S16" t="s">
        <v>1440</v>
      </c>
      <c r="U16">
        <f t="shared" si="0"/>
        <v>123.19</v>
      </c>
      <c r="V16" s="233">
        <f t="shared" si="1"/>
        <v>175.98571428571429</v>
      </c>
      <c r="W16">
        <f t="shared" si="2"/>
        <v>17.598571428571429</v>
      </c>
      <c r="X16" s="281"/>
      <c r="Y16">
        <v>15053.81</v>
      </c>
    </row>
    <row r="17" spans="1:37">
      <c r="A17">
        <v>2019</v>
      </c>
      <c r="B17" t="s">
        <v>98</v>
      </c>
      <c r="C17">
        <f>main!C17</f>
        <v>11</v>
      </c>
      <c r="D17">
        <v>4</v>
      </c>
      <c r="E17">
        <v>10</v>
      </c>
      <c r="F17">
        <v>41.9</v>
      </c>
      <c r="G17">
        <v>430.36</v>
      </c>
      <c r="H17" s="67">
        <v>44109</v>
      </c>
      <c r="I17" s="67">
        <v>44112</v>
      </c>
      <c r="J17" s="67">
        <v>44112</v>
      </c>
      <c r="K17" t="s">
        <v>1568</v>
      </c>
      <c r="L17" t="s">
        <v>1569</v>
      </c>
      <c r="M17" s="67">
        <v>44106</v>
      </c>
      <c r="N17">
        <v>31</v>
      </c>
      <c r="O17">
        <v>23.5</v>
      </c>
      <c r="P17" s="89" t="s">
        <v>1446</v>
      </c>
      <c r="Q17" s="89" t="s">
        <v>1447</v>
      </c>
      <c r="R17" t="s">
        <v>50</v>
      </c>
      <c r="S17" t="s">
        <v>1440</v>
      </c>
      <c r="U17">
        <f t="shared" si="0"/>
        <v>388.46000000000004</v>
      </c>
      <c r="V17" s="233">
        <f t="shared" si="1"/>
        <v>554.94285714285718</v>
      </c>
      <c r="W17">
        <f t="shared" si="2"/>
        <v>55.494285714285716</v>
      </c>
      <c r="X17" s="281"/>
      <c r="Y17">
        <v>14575.61</v>
      </c>
    </row>
    <row r="18" spans="1:37">
      <c r="A18">
        <v>2019</v>
      </c>
      <c r="B18" t="s">
        <v>98</v>
      </c>
      <c r="C18">
        <f>main!C18</f>
        <v>12</v>
      </c>
      <c r="D18">
        <v>4</v>
      </c>
      <c r="E18">
        <v>10</v>
      </c>
      <c r="F18">
        <v>39.53</v>
      </c>
      <c r="G18">
        <v>644.27</v>
      </c>
      <c r="H18" s="67">
        <v>44109</v>
      </c>
      <c r="I18" s="67">
        <v>44112</v>
      </c>
      <c r="J18" s="67">
        <v>44112</v>
      </c>
      <c r="K18" t="s">
        <v>1568</v>
      </c>
      <c r="L18" t="s">
        <v>1569</v>
      </c>
      <c r="M18" s="67">
        <v>44106</v>
      </c>
      <c r="N18">
        <v>31</v>
      </c>
      <c r="O18">
        <v>23.5</v>
      </c>
      <c r="P18" s="89" t="s">
        <v>1446</v>
      </c>
      <c r="Q18" s="89" t="s">
        <v>1447</v>
      </c>
      <c r="R18" t="s">
        <v>50</v>
      </c>
      <c r="S18" t="s">
        <v>1440</v>
      </c>
      <c r="U18">
        <f t="shared" si="0"/>
        <v>604.74</v>
      </c>
      <c r="V18" s="233">
        <f t="shared" si="1"/>
        <v>863.91428571428582</v>
      </c>
      <c r="W18">
        <f t="shared" si="2"/>
        <v>86.391428571428577</v>
      </c>
      <c r="X18" s="281"/>
      <c r="Y18">
        <v>15052.51</v>
      </c>
    </row>
    <row r="19" spans="1:37">
      <c r="A19">
        <v>2019</v>
      </c>
      <c r="B19" t="s">
        <v>98</v>
      </c>
      <c r="C19">
        <f>main!C19</f>
        <v>13</v>
      </c>
      <c r="D19">
        <v>4</v>
      </c>
      <c r="E19">
        <v>7</v>
      </c>
      <c r="F19">
        <v>39.99</v>
      </c>
      <c r="G19">
        <v>879.32</v>
      </c>
      <c r="H19" s="67">
        <v>44109</v>
      </c>
      <c r="I19" s="67">
        <v>44112</v>
      </c>
      <c r="J19" s="67">
        <v>44112</v>
      </c>
      <c r="K19" t="s">
        <v>1568</v>
      </c>
      <c r="L19" t="s">
        <v>1569</v>
      </c>
      <c r="M19" s="67">
        <v>44106</v>
      </c>
      <c r="N19">
        <v>31</v>
      </c>
      <c r="O19">
        <v>23.5</v>
      </c>
      <c r="P19" s="89" t="s">
        <v>1446</v>
      </c>
      <c r="Q19" s="89" t="s">
        <v>1447</v>
      </c>
      <c r="R19" t="s">
        <v>50</v>
      </c>
      <c r="S19" t="s">
        <v>1440</v>
      </c>
      <c r="U19">
        <f t="shared" si="0"/>
        <v>839.33</v>
      </c>
      <c r="V19" s="233">
        <f>((U19+U20)/7)*10</f>
        <v>2098.2714285714287</v>
      </c>
      <c r="W19" s="66">
        <f>U19/4</f>
        <v>209.83250000000001</v>
      </c>
      <c r="X19" s="283">
        <f>ABS(W19-W20)</f>
        <v>1.2500000000045475E-2</v>
      </c>
      <c r="Y19">
        <v>15090.14</v>
      </c>
    </row>
    <row r="20" spans="1:37">
      <c r="A20">
        <v>2019</v>
      </c>
      <c r="B20" t="s">
        <v>98</v>
      </c>
      <c r="C20" t="s">
        <v>1437</v>
      </c>
      <c r="D20">
        <v>8</v>
      </c>
      <c r="E20">
        <v>10</v>
      </c>
      <c r="F20">
        <v>41.1</v>
      </c>
      <c r="G20">
        <v>670.56</v>
      </c>
      <c r="H20" s="67">
        <v>44109</v>
      </c>
      <c r="I20" s="67">
        <v>44112</v>
      </c>
      <c r="J20" s="67">
        <v>44112</v>
      </c>
      <c r="K20" t="s">
        <v>1568</v>
      </c>
      <c r="L20" t="s">
        <v>1569</v>
      </c>
      <c r="M20" s="67">
        <v>44106</v>
      </c>
      <c r="N20">
        <v>31</v>
      </c>
      <c r="O20">
        <v>23.5</v>
      </c>
      <c r="P20" s="89" t="s">
        <v>1446</v>
      </c>
      <c r="Q20" s="89" t="s">
        <v>1447</v>
      </c>
      <c r="R20" t="s">
        <v>50</v>
      </c>
      <c r="S20" t="s">
        <v>1440</v>
      </c>
      <c r="U20">
        <f t="shared" si="0"/>
        <v>629.45999999999992</v>
      </c>
      <c r="W20" s="66">
        <f>U20/3</f>
        <v>209.81999999999996</v>
      </c>
      <c r="X20" s="284">
        <f>X19/SUM(U19,U20)</f>
        <v>8.5104065251298516E-6</v>
      </c>
    </row>
    <row r="21" spans="1:37">
      <c r="A21">
        <v>2019</v>
      </c>
      <c r="B21" t="s">
        <v>98</v>
      </c>
      <c r="C21">
        <f>main!C20</f>
        <v>14</v>
      </c>
      <c r="D21">
        <v>4</v>
      </c>
      <c r="E21">
        <v>7</v>
      </c>
      <c r="F21">
        <v>41.61</v>
      </c>
      <c r="G21">
        <v>826.87</v>
      </c>
      <c r="H21" s="67">
        <v>44109</v>
      </c>
      <c r="I21" s="67">
        <v>44112</v>
      </c>
      <c r="J21" s="67">
        <v>44112</v>
      </c>
      <c r="K21" t="s">
        <v>1568</v>
      </c>
      <c r="L21" t="s">
        <v>1569</v>
      </c>
      <c r="M21" s="67">
        <v>44106</v>
      </c>
      <c r="N21">
        <v>31</v>
      </c>
      <c r="O21">
        <v>23.5</v>
      </c>
      <c r="P21" s="89" t="s">
        <v>1446</v>
      </c>
      <c r="Q21" s="89" t="s">
        <v>1447</v>
      </c>
      <c r="R21" t="s">
        <v>50</v>
      </c>
      <c r="S21" t="s">
        <v>1440</v>
      </c>
      <c r="U21">
        <f t="shared" si="0"/>
        <v>785.26</v>
      </c>
      <c r="V21" s="233">
        <f>((U21+U22)/7)*10</f>
        <v>1958.8428571428572</v>
      </c>
      <c r="W21" s="66">
        <f>U21/4</f>
        <v>196.315</v>
      </c>
      <c r="X21" s="283">
        <f>ABS(W21-W22)</f>
        <v>1.004999999999967</v>
      </c>
      <c r="Y21">
        <v>15048.71</v>
      </c>
    </row>
    <row r="22" spans="1:37">
      <c r="A22">
        <v>2019</v>
      </c>
      <c r="B22" t="s">
        <v>98</v>
      </c>
      <c r="C22" t="s">
        <v>1438</v>
      </c>
      <c r="D22">
        <v>8</v>
      </c>
      <c r="E22">
        <v>10</v>
      </c>
      <c r="F22">
        <v>41.9</v>
      </c>
      <c r="G22">
        <v>627.83000000000004</v>
      </c>
      <c r="H22" s="67">
        <v>44109</v>
      </c>
      <c r="I22" s="67">
        <v>44112</v>
      </c>
      <c r="J22" s="67">
        <v>44112</v>
      </c>
      <c r="K22" t="s">
        <v>1568</v>
      </c>
      <c r="L22" t="s">
        <v>1569</v>
      </c>
      <c r="M22" s="67">
        <v>44106</v>
      </c>
      <c r="N22">
        <v>31</v>
      </c>
      <c r="O22">
        <v>23.5</v>
      </c>
      <c r="P22" s="89" t="s">
        <v>1446</v>
      </c>
      <c r="Q22" s="89" t="s">
        <v>1447</v>
      </c>
      <c r="R22" t="s">
        <v>50</v>
      </c>
      <c r="S22" t="s">
        <v>1440</v>
      </c>
      <c r="U22">
        <f t="shared" si="0"/>
        <v>585.93000000000006</v>
      </c>
      <c r="W22" s="66">
        <f>U22/3</f>
        <v>195.31000000000003</v>
      </c>
      <c r="X22" s="284">
        <f>X21/SUM(U21,U22)</f>
        <v>7.3294000102098686E-4</v>
      </c>
    </row>
    <row r="23" spans="1:37">
      <c r="A23">
        <v>2019</v>
      </c>
      <c r="B23" t="s">
        <v>98</v>
      </c>
      <c r="C23">
        <f>main!C21</f>
        <v>15</v>
      </c>
      <c r="D23">
        <v>4</v>
      </c>
      <c r="E23">
        <v>10</v>
      </c>
      <c r="F23">
        <v>41.41</v>
      </c>
      <c r="G23">
        <v>647.73</v>
      </c>
      <c r="H23" s="67">
        <v>44109</v>
      </c>
      <c r="I23" s="67">
        <v>44112</v>
      </c>
      <c r="J23" s="67">
        <v>44112</v>
      </c>
      <c r="K23" t="s">
        <v>1568</v>
      </c>
      <c r="L23" t="s">
        <v>1569</v>
      </c>
      <c r="M23" s="67">
        <v>44106</v>
      </c>
      <c r="N23">
        <v>31</v>
      </c>
      <c r="O23">
        <v>23.5</v>
      </c>
      <c r="P23" s="89" t="s">
        <v>1446</v>
      </c>
      <c r="Q23" s="89" t="s">
        <v>1447</v>
      </c>
      <c r="R23" t="s">
        <v>50</v>
      </c>
      <c r="S23" t="s">
        <v>1440</v>
      </c>
      <c r="U23">
        <f t="shared" si="0"/>
        <v>606.32000000000005</v>
      </c>
      <c r="V23" s="233">
        <f>((U23)/7)*10</f>
        <v>866.17142857142869</v>
      </c>
      <c r="W23">
        <f t="shared" si="2"/>
        <v>86.617142857142866</v>
      </c>
      <c r="X23" s="281"/>
      <c r="Y23">
        <v>15015.12</v>
      </c>
    </row>
    <row r="24" spans="1:37">
      <c r="A24">
        <v>2019</v>
      </c>
      <c r="B24" t="s">
        <v>98</v>
      </c>
      <c r="C24">
        <f>main!C22</f>
        <v>16</v>
      </c>
      <c r="D24">
        <v>4</v>
      </c>
      <c r="E24">
        <v>10</v>
      </c>
      <c r="F24">
        <v>40.69</v>
      </c>
      <c r="G24">
        <v>314.13</v>
      </c>
      <c r="H24" s="67">
        <v>44110</v>
      </c>
      <c r="I24" s="67">
        <v>44113</v>
      </c>
      <c r="J24" s="67">
        <v>44113</v>
      </c>
      <c r="K24" t="s">
        <v>1570</v>
      </c>
      <c r="L24" t="s">
        <v>1571</v>
      </c>
      <c r="M24" s="67">
        <v>44106</v>
      </c>
      <c r="N24">
        <v>31</v>
      </c>
      <c r="O24">
        <v>23.5</v>
      </c>
      <c r="P24" s="89" t="s">
        <v>1446</v>
      </c>
      <c r="Q24" s="89" t="s">
        <v>1447</v>
      </c>
      <c r="R24" t="s">
        <v>50</v>
      </c>
      <c r="S24" t="s">
        <v>1445</v>
      </c>
      <c r="U24">
        <f t="shared" si="0"/>
        <v>273.44</v>
      </c>
      <c r="V24" s="233">
        <f t="shared" ref="V24:V25" si="3">((U24)/7)*10</f>
        <v>390.62857142857138</v>
      </c>
      <c r="W24">
        <f t="shared" si="2"/>
        <v>39.062857142857141</v>
      </c>
      <c r="X24" s="281"/>
      <c r="Y24">
        <v>15031.31</v>
      </c>
      <c r="AB24" s="280"/>
      <c r="AC24" s="67"/>
      <c r="AF24">
        <v>41.52</v>
      </c>
      <c r="AG24">
        <f>AF24-F24</f>
        <v>0.8300000000000054</v>
      </c>
      <c r="AH24" s="280">
        <f>AG24/U24</f>
        <v>3.0354008191925299E-3</v>
      </c>
      <c r="AI24" s="67">
        <v>44113</v>
      </c>
      <c r="AJ24" t="s">
        <v>1574</v>
      </c>
      <c r="AK24" t="s">
        <v>1575</v>
      </c>
    </row>
    <row r="25" spans="1:37">
      <c r="A25">
        <v>2019</v>
      </c>
      <c r="B25" t="s">
        <v>98</v>
      </c>
      <c r="C25">
        <f>main!C23</f>
        <v>17</v>
      </c>
      <c r="D25">
        <v>4</v>
      </c>
      <c r="E25">
        <v>7</v>
      </c>
      <c r="F25">
        <v>40.98</v>
      </c>
      <c r="G25">
        <v>204.95</v>
      </c>
      <c r="H25" s="67">
        <v>44110</v>
      </c>
      <c r="I25" s="67">
        <v>44113</v>
      </c>
      <c r="J25" s="67">
        <v>44113</v>
      </c>
      <c r="K25" t="s">
        <v>1570</v>
      </c>
      <c r="L25" t="s">
        <v>1571</v>
      </c>
      <c r="M25" s="67">
        <v>44106</v>
      </c>
      <c r="N25">
        <v>31</v>
      </c>
      <c r="O25">
        <v>23.5</v>
      </c>
      <c r="P25" s="89" t="s">
        <v>1446</v>
      </c>
      <c r="Q25" s="89" t="s">
        <v>1447</v>
      </c>
      <c r="R25" t="s">
        <v>50</v>
      </c>
      <c r="S25" t="s">
        <v>1445</v>
      </c>
      <c r="U25">
        <f t="shared" si="0"/>
        <v>163.97</v>
      </c>
      <c r="V25" s="233">
        <f t="shared" si="3"/>
        <v>234.24285714285713</v>
      </c>
      <c r="W25">
        <f t="shared" si="2"/>
        <v>23.424285714285713</v>
      </c>
      <c r="X25" s="281"/>
      <c r="Y25">
        <v>14951.58</v>
      </c>
      <c r="AB25" s="280"/>
      <c r="AC25" s="67"/>
      <c r="AF25">
        <v>41.86</v>
      </c>
      <c r="AG25">
        <f>AF25-F25</f>
        <v>0.88000000000000256</v>
      </c>
      <c r="AH25" s="280">
        <f>AG25/U25</f>
        <v>5.366835396718928E-3</v>
      </c>
      <c r="AI25" s="67">
        <v>44113</v>
      </c>
      <c r="AJ25" t="s">
        <v>1574</v>
      </c>
      <c r="AK25" t="s">
        <v>1575</v>
      </c>
    </row>
    <row r="26" spans="1:37">
      <c r="A26">
        <v>2019</v>
      </c>
      <c r="B26" t="s">
        <v>98</v>
      </c>
      <c r="C26">
        <f>main!C24</f>
        <v>18</v>
      </c>
      <c r="D26">
        <v>4</v>
      </c>
      <c r="E26">
        <v>7</v>
      </c>
      <c r="F26">
        <v>40.61</v>
      </c>
      <c r="G26">
        <v>144.85</v>
      </c>
      <c r="H26" s="67">
        <v>44110</v>
      </c>
      <c r="I26" s="67">
        <v>44113</v>
      </c>
      <c r="J26" s="67">
        <v>44113</v>
      </c>
      <c r="K26" t="s">
        <v>1570</v>
      </c>
      <c r="L26" t="s">
        <v>1571</v>
      </c>
      <c r="M26" s="67">
        <v>44106</v>
      </c>
      <c r="N26">
        <v>31</v>
      </c>
      <c r="O26">
        <v>23.5</v>
      </c>
      <c r="P26" s="89" t="s">
        <v>1446</v>
      </c>
      <c r="Q26" s="89" t="s">
        <v>1447</v>
      </c>
      <c r="R26" t="s">
        <v>50</v>
      </c>
      <c r="S26" t="s">
        <v>1445</v>
      </c>
      <c r="U26">
        <f t="shared" si="0"/>
        <v>104.24</v>
      </c>
      <c r="V26" s="233">
        <f>((U26+U27)/7)*10</f>
        <v>250.32857142857148</v>
      </c>
      <c r="W26" s="66">
        <f>U26/4</f>
        <v>26.06</v>
      </c>
      <c r="X26" s="283">
        <f>ABS(W26-W27)</f>
        <v>2.3966666666666612</v>
      </c>
      <c r="Y26">
        <v>14506.58</v>
      </c>
    </row>
    <row r="27" spans="1:37">
      <c r="A27">
        <v>2019</v>
      </c>
      <c r="B27" t="s">
        <v>98</v>
      </c>
      <c r="C27" t="s">
        <v>1441</v>
      </c>
      <c r="D27">
        <v>8</v>
      </c>
      <c r="E27">
        <v>10</v>
      </c>
      <c r="F27">
        <v>41.44</v>
      </c>
      <c r="G27">
        <v>112.43</v>
      </c>
      <c r="H27" s="67">
        <v>44110</v>
      </c>
      <c r="I27" s="67">
        <v>44113</v>
      </c>
      <c r="J27" s="67">
        <v>44113</v>
      </c>
      <c r="K27" t="s">
        <v>1570</v>
      </c>
      <c r="L27" t="s">
        <v>1571</v>
      </c>
      <c r="M27" s="67">
        <v>44106</v>
      </c>
      <c r="N27">
        <v>31</v>
      </c>
      <c r="O27">
        <v>23.5</v>
      </c>
      <c r="P27" s="89" t="s">
        <v>1446</v>
      </c>
      <c r="Q27" s="89" t="s">
        <v>1447</v>
      </c>
      <c r="R27" t="s">
        <v>50</v>
      </c>
      <c r="S27" t="s">
        <v>1445</v>
      </c>
      <c r="U27">
        <f t="shared" si="0"/>
        <v>70.990000000000009</v>
      </c>
      <c r="W27" s="66">
        <f>U27/3</f>
        <v>23.663333333333338</v>
      </c>
      <c r="X27" s="284">
        <f>X26/SUM(U26,U27)</f>
        <v>1.3677262264832854E-2</v>
      </c>
    </row>
    <row r="28" spans="1:37">
      <c r="A28">
        <v>2019</v>
      </c>
      <c r="B28" t="s">
        <v>98</v>
      </c>
      <c r="C28">
        <f>main!C25</f>
        <v>19</v>
      </c>
      <c r="D28">
        <v>4</v>
      </c>
      <c r="E28">
        <v>7</v>
      </c>
      <c r="F28">
        <v>41.06</v>
      </c>
      <c r="G28">
        <v>182.55</v>
      </c>
      <c r="H28" s="67">
        <v>44110</v>
      </c>
      <c r="I28" s="67">
        <v>44113</v>
      </c>
      <c r="J28" s="67">
        <v>44113</v>
      </c>
      <c r="K28" t="s">
        <v>1570</v>
      </c>
      <c r="L28" t="s">
        <v>1571</v>
      </c>
      <c r="M28" s="67">
        <v>44106</v>
      </c>
      <c r="N28">
        <v>31</v>
      </c>
      <c r="O28">
        <v>23.5</v>
      </c>
      <c r="P28" s="89" t="s">
        <v>1446</v>
      </c>
      <c r="Q28" s="89" t="s">
        <v>1447</v>
      </c>
      <c r="R28" t="s">
        <v>50</v>
      </c>
      <c r="S28" t="s">
        <v>1445</v>
      </c>
      <c r="U28">
        <f>G28-F28</f>
        <v>141.49</v>
      </c>
      <c r="V28" s="233">
        <f>((U28+U29)/7)*10</f>
        <v>324.08571428571429</v>
      </c>
      <c r="W28" s="66">
        <f>U28/4</f>
        <v>35.372500000000002</v>
      </c>
      <c r="X28" s="283">
        <f>ABS(W28-W29)</f>
        <v>6.9158333333333353</v>
      </c>
      <c r="Y28">
        <v>14993.35</v>
      </c>
    </row>
    <row r="29" spans="1:37">
      <c r="A29">
        <v>2019</v>
      </c>
      <c r="B29" t="s">
        <v>98</v>
      </c>
      <c r="C29" t="s">
        <v>1442</v>
      </c>
      <c r="D29">
        <v>8</v>
      </c>
      <c r="E29">
        <v>10</v>
      </c>
      <c r="F29">
        <v>40.369999999999997</v>
      </c>
      <c r="G29">
        <v>125.74</v>
      </c>
      <c r="H29" s="67">
        <v>44110</v>
      </c>
      <c r="I29" s="67">
        <v>44113</v>
      </c>
      <c r="J29" s="67">
        <v>44113</v>
      </c>
      <c r="K29" t="s">
        <v>1570</v>
      </c>
      <c r="L29" t="s">
        <v>1571</v>
      </c>
      <c r="M29" s="67">
        <v>44106</v>
      </c>
      <c r="N29">
        <v>31</v>
      </c>
      <c r="O29">
        <v>23.5</v>
      </c>
      <c r="P29" s="89" t="s">
        <v>1446</v>
      </c>
      <c r="Q29" s="89" t="s">
        <v>1447</v>
      </c>
      <c r="R29" t="s">
        <v>50</v>
      </c>
      <c r="S29" t="s">
        <v>1445</v>
      </c>
      <c r="U29">
        <f t="shared" si="0"/>
        <v>85.37</v>
      </c>
      <c r="W29" s="66">
        <f>U29/3</f>
        <v>28.456666666666667</v>
      </c>
      <c r="X29" s="284">
        <f>X28/SUM(U28,U29)</f>
        <v>3.0485027476564112E-2</v>
      </c>
    </row>
    <row r="30" spans="1:37">
      <c r="A30">
        <v>2019</v>
      </c>
      <c r="B30" t="s">
        <v>98</v>
      </c>
      <c r="C30">
        <f>main!C26</f>
        <v>20</v>
      </c>
      <c r="D30">
        <v>4</v>
      </c>
      <c r="E30">
        <v>7</v>
      </c>
      <c r="F30">
        <v>41.28</v>
      </c>
      <c r="G30">
        <v>130.47</v>
      </c>
      <c r="H30" s="67">
        <v>44110</v>
      </c>
      <c r="I30" s="67">
        <v>44113</v>
      </c>
      <c r="J30" s="67">
        <v>44113</v>
      </c>
      <c r="K30" t="s">
        <v>1570</v>
      </c>
      <c r="L30" t="s">
        <v>1571</v>
      </c>
      <c r="M30" s="67">
        <v>44106</v>
      </c>
      <c r="N30">
        <v>31</v>
      </c>
      <c r="O30">
        <v>23.5</v>
      </c>
      <c r="P30" s="89" t="s">
        <v>1446</v>
      </c>
      <c r="Q30" s="89" t="s">
        <v>1447</v>
      </c>
      <c r="R30" t="s">
        <v>50</v>
      </c>
      <c r="S30" t="s">
        <v>1445</v>
      </c>
      <c r="U30">
        <f t="shared" si="0"/>
        <v>89.19</v>
      </c>
      <c r="V30" s="233">
        <f t="shared" ref="V30:V32" si="4">((U30+U31)/7)*10</f>
        <v>238.44285714285715</v>
      </c>
      <c r="W30" s="66">
        <f>U30/4</f>
        <v>22.297499999999999</v>
      </c>
      <c r="X30" s="283">
        <f>ABS(W30-W31)</f>
        <v>3.6091666666666669</v>
      </c>
      <c r="Y30">
        <v>14937</v>
      </c>
    </row>
    <row r="31" spans="1:37">
      <c r="A31">
        <v>2019</v>
      </c>
      <c r="B31" t="s">
        <v>98</v>
      </c>
      <c r="C31" t="s">
        <v>1443</v>
      </c>
      <c r="D31">
        <v>8</v>
      </c>
      <c r="E31">
        <v>10</v>
      </c>
      <c r="F31">
        <v>40.64</v>
      </c>
      <c r="G31">
        <v>118.36</v>
      </c>
      <c r="H31" s="67">
        <v>44110</v>
      </c>
      <c r="I31" s="67">
        <v>44113</v>
      </c>
      <c r="J31" s="67">
        <v>44113</v>
      </c>
      <c r="K31" t="s">
        <v>1570</v>
      </c>
      <c r="L31" t="s">
        <v>1571</v>
      </c>
      <c r="M31" s="67">
        <v>44106</v>
      </c>
      <c r="N31">
        <v>31</v>
      </c>
      <c r="O31">
        <v>23.5</v>
      </c>
      <c r="P31" s="89" t="s">
        <v>1446</v>
      </c>
      <c r="Q31" s="89" t="s">
        <v>1447</v>
      </c>
      <c r="R31" t="s">
        <v>50</v>
      </c>
      <c r="S31" t="s">
        <v>1445</v>
      </c>
      <c r="U31">
        <f t="shared" si="0"/>
        <v>77.72</v>
      </c>
      <c r="W31" s="66">
        <f>U31/3</f>
        <v>25.906666666666666</v>
      </c>
      <c r="X31" s="284">
        <f>X30/SUM(U30,U31)</f>
        <v>2.1623429792502948E-2</v>
      </c>
    </row>
    <row r="32" spans="1:37">
      <c r="A32">
        <v>2019</v>
      </c>
      <c r="B32" t="s">
        <v>98</v>
      </c>
      <c r="C32">
        <f>main!C27</f>
        <v>21</v>
      </c>
      <c r="D32">
        <v>4</v>
      </c>
      <c r="E32">
        <v>7</v>
      </c>
      <c r="F32">
        <v>40.19</v>
      </c>
      <c r="G32">
        <v>195.87</v>
      </c>
      <c r="H32" s="67">
        <v>44110</v>
      </c>
      <c r="I32" s="67">
        <v>44113</v>
      </c>
      <c r="J32" s="67">
        <v>44113</v>
      </c>
      <c r="K32" t="s">
        <v>1570</v>
      </c>
      <c r="L32" t="s">
        <v>1571</v>
      </c>
      <c r="M32" s="67">
        <v>44106</v>
      </c>
      <c r="N32">
        <v>31</v>
      </c>
      <c r="O32">
        <v>23.5</v>
      </c>
      <c r="P32" s="89" t="s">
        <v>1446</v>
      </c>
      <c r="Q32" s="89" t="s">
        <v>1447</v>
      </c>
      <c r="R32" t="s">
        <v>50</v>
      </c>
      <c r="S32" t="s">
        <v>1445</v>
      </c>
      <c r="U32">
        <f t="shared" si="0"/>
        <v>155.68</v>
      </c>
      <c r="V32" s="233">
        <f t="shared" si="4"/>
        <v>415.82857142857154</v>
      </c>
      <c r="W32" s="66">
        <f>U32/4</f>
        <v>38.92</v>
      </c>
      <c r="X32" s="283">
        <f>ABS(W32-W33)</f>
        <v>6.2133333333333312</v>
      </c>
      <c r="Y32">
        <v>15029.64</v>
      </c>
    </row>
    <row r="33" spans="1:25">
      <c r="A33">
        <v>2019</v>
      </c>
      <c r="B33" t="s">
        <v>98</v>
      </c>
      <c r="C33" t="s">
        <v>1444</v>
      </c>
      <c r="D33">
        <v>8</v>
      </c>
      <c r="E33">
        <v>10</v>
      </c>
      <c r="F33">
        <v>41.1</v>
      </c>
      <c r="G33">
        <v>176.5</v>
      </c>
      <c r="H33" s="67">
        <v>44110</v>
      </c>
      <c r="I33" s="67">
        <v>44113</v>
      </c>
      <c r="J33" s="67">
        <v>44113</v>
      </c>
      <c r="K33" t="s">
        <v>1570</v>
      </c>
      <c r="L33" t="s">
        <v>1571</v>
      </c>
      <c r="M33" s="67">
        <v>44106</v>
      </c>
      <c r="N33">
        <v>31</v>
      </c>
      <c r="O33">
        <v>23.5</v>
      </c>
      <c r="P33" s="89" t="s">
        <v>1446</v>
      </c>
      <c r="Q33" s="89" t="s">
        <v>1447</v>
      </c>
      <c r="R33" t="s">
        <v>50</v>
      </c>
      <c r="S33" t="s">
        <v>1445</v>
      </c>
      <c r="U33">
        <f t="shared" si="0"/>
        <v>135.4</v>
      </c>
      <c r="W33" s="66">
        <f>U33/3</f>
        <v>45.133333333333333</v>
      </c>
      <c r="X33" s="284">
        <f>X32/SUM(U32,U33)</f>
        <v>2.1345792680133743E-2</v>
      </c>
    </row>
    <row r="35" spans="1:25" s="230" customFormat="1">
      <c r="A35" s="230" t="str">
        <f>main!A30</f>
        <v>Deployment 20/03/2019 IN2019_V02</v>
      </c>
      <c r="B35" s="231" t="str">
        <f>main!B30</f>
        <v>McLane-PARFLUX-Mark78H-21 ; controller sn ML11741-01, frame sn 14182-01, motor sn 14182-01, cup set E250x21</v>
      </c>
      <c r="C35" s="231"/>
      <c r="D35" s="231"/>
      <c r="V35" s="233"/>
      <c r="X35" s="282"/>
    </row>
    <row r="36" spans="1:25">
      <c r="A36">
        <v>2019</v>
      </c>
      <c r="B36" t="s">
        <v>101</v>
      </c>
      <c r="C36" t="str">
        <f>main!C31</f>
        <v>E 1</v>
      </c>
      <c r="D36">
        <v>4</v>
      </c>
      <c r="E36">
        <v>7</v>
      </c>
      <c r="F36">
        <v>41.56</v>
      </c>
      <c r="G36">
        <v>343.2</v>
      </c>
      <c r="H36" s="67">
        <v>44116</v>
      </c>
      <c r="I36" s="67">
        <v>44122</v>
      </c>
      <c r="J36" s="67">
        <v>44122</v>
      </c>
      <c r="K36" t="s">
        <v>1576</v>
      </c>
      <c r="L36" t="s">
        <v>1585</v>
      </c>
      <c r="M36" s="67">
        <v>44110</v>
      </c>
      <c r="N36">
        <v>27</v>
      </c>
      <c r="O36">
        <v>23.2</v>
      </c>
      <c r="P36" s="89" t="s">
        <v>1446</v>
      </c>
      <c r="Q36" s="89" t="s">
        <v>1447</v>
      </c>
      <c r="R36" t="s">
        <v>50</v>
      </c>
      <c r="S36" t="s">
        <v>1583</v>
      </c>
      <c r="U36">
        <f t="shared" ref="U36:U49" si="5">G36-F36</f>
        <v>301.64</v>
      </c>
      <c r="V36" s="233">
        <f>((U36+U37)/7)*10</f>
        <v>736.7</v>
      </c>
      <c r="W36" s="66">
        <f>U36/4</f>
        <v>75.41</v>
      </c>
      <c r="X36" s="283">
        <f>ABS(W36-W37)</f>
        <v>4.0599999999999881</v>
      </c>
      <c r="Y36">
        <v>14531.65</v>
      </c>
    </row>
    <row r="37" spans="1:25">
      <c r="A37">
        <v>2019</v>
      </c>
      <c r="B37" t="s">
        <v>101</v>
      </c>
      <c r="C37" t="s">
        <v>1436</v>
      </c>
      <c r="D37">
        <v>8</v>
      </c>
      <c r="E37">
        <v>10</v>
      </c>
      <c r="F37">
        <v>38.47</v>
      </c>
      <c r="G37">
        <v>252.52</v>
      </c>
      <c r="H37" s="67">
        <v>44116</v>
      </c>
      <c r="I37" s="67">
        <v>44122</v>
      </c>
      <c r="J37" s="67">
        <v>44122</v>
      </c>
      <c r="K37" t="s">
        <v>1576</v>
      </c>
      <c r="L37" t="s">
        <v>1585</v>
      </c>
      <c r="M37" s="67">
        <v>44110</v>
      </c>
      <c r="N37">
        <v>27</v>
      </c>
      <c r="O37">
        <v>23.2</v>
      </c>
      <c r="P37" s="89" t="s">
        <v>1446</v>
      </c>
      <c r="Q37" s="89" t="s">
        <v>1447</v>
      </c>
      <c r="R37" t="s">
        <v>50</v>
      </c>
      <c r="S37" t="s">
        <v>1583</v>
      </c>
      <c r="U37">
        <f t="shared" si="5"/>
        <v>214.05</v>
      </c>
      <c r="W37" s="66">
        <f>U37/3</f>
        <v>71.350000000000009</v>
      </c>
      <c r="X37" s="284">
        <f>X36/SUM(U36,U37)</f>
        <v>7.8729469254784617E-3</v>
      </c>
    </row>
    <row r="38" spans="1:25">
      <c r="A38">
        <v>2019</v>
      </c>
      <c r="B38" t="s">
        <v>101</v>
      </c>
      <c r="C38">
        <f>main!C32</f>
        <v>2</v>
      </c>
      <c r="D38">
        <v>4</v>
      </c>
      <c r="E38">
        <v>10</v>
      </c>
      <c r="F38">
        <v>39.64</v>
      </c>
      <c r="G38">
        <v>540.45000000000005</v>
      </c>
      <c r="H38" s="67">
        <v>44116</v>
      </c>
      <c r="I38" s="67">
        <v>44122</v>
      </c>
      <c r="J38" s="67">
        <v>44122</v>
      </c>
      <c r="K38" t="s">
        <v>1576</v>
      </c>
      <c r="L38" t="s">
        <v>1585</v>
      </c>
      <c r="M38" s="67">
        <v>44110</v>
      </c>
      <c r="N38">
        <v>27</v>
      </c>
      <c r="O38">
        <v>23.2</v>
      </c>
      <c r="P38" s="89" t="s">
        <v>1446</v>
      </c>
      <c r="Q38" s="89" t="s">
        <v>1447</v>
      </c>
      <c r="R38" t="s">
        <v>50</v>
      </c>
      <c r="S38" t="s">
        <v>1583</v>
      </c>
      <c r="U38">
        <f t="shared" si="5"/>
        <v>500.81000000000006</v>
      </c>
      <c r="V38" s="233">
        <f>((U38/7)*10)</f>
        <v>715.44285714285718</v>
      </c>
      <c r="Y38">
        <v>15062.18</v>
      </c>
    </row>
    <row r="39" spans="1:25">
      <c r="A39">
        <v>2019</v>
      </c>
      <c r="B39" t="s">
        <v>101</v>
      </c>
      <c r="C39">
        <f>main!C33</f>
        <v>3</v>
      </c>
      <c r="D39">
        <v>4</v>
      </c>
      <c r="E39">
        <v>10</v>
      </c>
      <c r="F39">
        <v>40.42</v>
      </c>
      <c r="G39">
        <v>374.07</v>
      </c>
      <c r="H39" s="67">
        <v>44116</v>
      </c>
      <c r="I39" s="67">
        <v>44122</v>
      </c>
      <c r="J39" s="67">
        <v>44122</v>
      </c>
      <c r="K39" t="s">
        <v>1576</v>
      </c>
      <c r="L39" t="s">
        <v>1585</v>
      </c>
      <c r="M39" s="67">
        <v>44110</v>
      </c>
      <c r="N39">
        <v>27</v>
      </c>
      <c r="O39">
        <v>23.2</v>
      </c>
      <c r="P39" s="89" t="s">
        <v>1446</v>
      </c>
      <c r="Q39" s="89" t="s">
        <v>1447</v>
      </c>
      <c r="R39" t="s">
        <v>50</v>
      </c>
      <c r="S39" t="s">
        <v>1583</v>
      </c>
      <c r="U39">
        <f t="shared" si="5"/>
        <v>333.65</v>
      </c>
      <c r="V39" s="233">
        <f t="shared" ref="V39" si="6">((U39/7)*10)</f>
        <v>476.64285714285711</v>
      </c>
      <c r="Y39">
        <v>14542.53</v>
      </c>
    </row>
    <row r="40" spans="1:25">
      <c r="A40">
        <v>2019</v>
      </c>
      <c r="B40" t="s">
        <v>101</v>
      </c>
      <c r="C40">
        <f>main!C34</f>
        <v>4</v>
      </c>
      <c r="D40">
        <v>4</v>
      </c>
      <c r="E40">
        <v>7</v>
      </c>
      <c r="F40">
        <v>41.72</v>
      </c>
      <c r="G40">
        <v>387.09</v>
      </c>
      <c r="H40" s="67">
        <v>44116</v>
      </c>
      <c r="I40" s="67">
        <v>44122</v>
      </c>
      <c r="J40" s="67">
        <v>44122</v>
      </c>
      <c r="K40" t="s">
        <v>1576</v>
      </c>
      <c r="L40" t="s">
        <v>1585</v>
      </c>
      <c r="M40" s="67">
        <v>44110</v>
      </c>
      <c r="N40">
        <v>27</v>
      </c>
      <c r="O40">
        <v>23.2</v>
      </c>
      <c r="P40" s="89" t="s">
        <v>1446</v>
      </c>
      <c r="Q40" s="89" t="s">
        <v>1447</v>
      </c>
      <c r="R40" t="s">
        <v>50</v>
      </c>
      <c r="S40" t="s">
        <v>1583</v>
      </c>
      <c r="U40">
        <f t="shared" si="5"/>
        <v>345.37</v>
      </c>
      <c r="V40" s="233">
        <f>((U40+U41)/7)*10</f>
        <v>989.07142857142856</v>
      </c>
      <c r="W40" s="66">
        <f>U40/4</f>
        <v>86.342500000000001</v>
      </c>
      <c r="X40" s="283">
        <f>ABS(W40-W41)</f>
        <v>29.31750000000001</v>
      </c>
      <c r="Y40">
        <v>14516.8</v>
      </c>
    </row>
    <row r="41" spans="1:25">
      <c r="A41">
        <v>2019</v>
      </c>
      <c r="B41" t="s">
        <v>101</v>
      </c>
      <c r="C41" t="s">
        <v>1580</v>
      </c>
      <c r="D41">
        <v>8</v>
      </c>
      <c r="E41">
        <v>10</v>
      </c>
      <c r="F41">
        <v>39.33</v>
      </c>
      <c r="G41">
        <v>386.31</v>
      </c>
      <c r="H41" s="67">
        <v>44116</v>
      </c>
      <c r="I41" s="67">
        <v>44122</v>
      </c>
      <c r="J41" s="67">
        <v>44122</v>
      </c>
      <c r="K41" t="s">
        <v>1576</v>
      </c>
      <c r="L41" t="s">
        <v>1585</v>
      </c>
      <c r="M41" s="67">
        <v>44110</v>
      </c>
      <c r="N41">
        <v>27</v>
      </c>
      <c r="O41">
        <v>23.2</v>
      </c>
      <c r="P41" s="89" t="s">
        <v>1446</v>
      </c>
      <c r="Q41" s="89" t="s">
        <v>1447</v>
      </c>
      <c r="R41" t="s">
        <v>50</v>
      </c>
      <c r="S41" t="s">
        <v>1583</v>
      </c>
      <c r="U41">
        <f t="shared" si="5"/>
        <v>346.98</v>
      </c>
      <c r="W41" s="66">
        <f>U41/3</f>
        <v>115.66000000000001</v>
      </c>
      <c r="X41" s="284">
        <f>X40/SUM(U40,U41)</f>
        <v>4.2344912255362188E-2</v>
      </c>
    </row>
    <row r="42" spans="1:25">
      <c r="A42">
        <v>2019</v>
      </c>
      <c r="B42" t="s">
        <v>101</v>
      </c>
      <c r="C42">
        <f>main!C35</f>
        <v>5</v>
      </c>
      <c r="D42">
        <v>4</v>
      </c>
      <c r="E42">
        <v>10</v>
      </c>
      <c r="F42">
        <v>41.8</v>
      </c>
      <c r="G42">
        <v>327.2</v>
      </c>
      <c r="H42" s="67">
        <v>44116</v>
      </c>
      <c r="I42" s="67">
        <v>44122</v>
      </c>
      <c r="J42" s="67">
        <v>44122</v>
      </c>
      <c r="K42" t="s">
        <v>1576</v>
      </c>
      <c r="L42" t="s">
        <v>1585</v>
      </c>
      <c r="M42" s="67">
        <v>44110</v>
      </c>
      <c r="N42">
        <v>27</v>
      </c>
      <c r="O42">
        <v>23.2</v>
      </c>
      <c r="P42" s="89" t="s">
        <v>1446</v>
      </c>
      <c r="Q42" s="89" t="s">
        <v>1447</v>
      </c>
      <c r="R42" t="s">
        <v>50</v>
      </c>
      <c r="S42" t="s">
        <v>1579</v>
      </c>
      <c r="U42">
        <f t="shared" si="5"/>
        <v>285.39999999999998</v>
      </c>
      <c r="V42" s="233">
        <f t="shared" ref="V42:V49" si="7">((U42/7)*10)</f>
        <v>407.71428571428567</v>
      </c>
      <c r="Y42">
        <v>14622.82</v>
      </c>
    </row>
    <row r="43" spans="1:25">
      <c r="A43">
        <v>2019</v>
      </c>
      <c r="B43" t="s">
        <v>101</v>
      </c>
      <c r="C43">
        <f>main!C36</f>
        <v>6</v>
      </c>
      <c r="D43">
        <v>4</v>
      </c>
      <c r="E43">
        <v>10</v>
      </c>
      <c r="F43">
        <v>41.37</v>
      </c>
      <c r="G43">
        <v>334.06</v>
      </c>
      <c r="H43" s="67">
        <v>44116</v>
      </c>
      <c r="I43" s="67">
        <v>44122</v>
      </c>
      <c r="J43" s="67">
        <v>44122</v>
      </c>
      <c r="K43" t="s">
        <v>1576</v>
      </c>
      <c r="L43" t="s">
        <v>1585</v>
      </c>
      <c r="M43" s="67">
        <v>44110</v>
      </c>
      <c r="N43">
        <v>27</v>
      </c>
      <c r="O43">
        <v>23.2</v>
      </c>
      <c r="P43" s="89" t="s">
        <v>1446</v>
      </c>
      <c r="Q43" s="89" t="s">
        <v>1447</v>
      </c>
      <c r="R43" t="s">
        <v>50</v>
      </c>
      <c r="S43" t="s">
        <v>1579</v>
      </c>
      <c r="U43">
        <f t="shared" si="5"/>
        <v>292.69</v>
      </c>
      <c r="V43" s="233">
        <f t="shared" si="7"/>
        <v>418.12857142857138</v>
      </c>
      <c r="Y43">
        <v>14547.7</v>
      </c>
    </row>
    <row r="44" spans="1:25">
      <c r="A44">
        <v>2019</v>
      </c>
      <c r="B44" t="s">
        <v>101</v>
      </c>
      <c r="C44">
        <f>main!C37</f>
        <v>7</v>
      </c>
      <c r="D44">
        <v>4</v>
      </c>
      <c r="E44">
        <v>10</v>
      </c>
      <c r="F44">
        <v>40.659999999999997</v>
      </c>
      <c r="G44">
        <v>234.99</v>
      </c>
      <c r="H44" s="67">
        <v>44116</v>
      </c>
      <c r="I44" s="67">
        <v>44122</v>
      </c>
      <c r="J44" s="67">
        <v>44122</v>
      </c>
      <c r="K44" t="s">
        <v>1576</v>
      </c>
      <c r="L44" t="s">
        <v>1585</v>
      </c>
      <c r="M44" s="67">
        <v>44110</v>
      </c>
      <c r="N44">
        <v>27</v>
      </c>
      <c r="O44">
        <v>23.2</v>
      </c>
      <c r="P44" s="89" t="s">
        <v>1446</v>
      </c>
      <c r="Q44" s="89" t="s">
        <v>1447</v>
      </c>
      <c r="R44" t="s">
        <v>50</v>
      </c>
      <c r="S44" t="s">
        <v>1579</v>
      </c>
      <c r="U44">
        <f t="shared" si="5"/>
        <v>194.33</v>
      </c>
      <c r="V44" s="233">
        <f t="shared" si="7"/>
        <v>277.61428571428576</v>
      </c>
      <c r="Y44">
        <v>15084.2</v>
      </c>
    </row>
    <row r="45" spans="1:25">
      <c r="A45">
        <v>2019</v>
      </c>
      <c r="B45" t="s">
        <v>101</v>
      </c>
      <c r="C45">
        <f>main!C38</f>
        <v>8</v>
      </c>
      <c r="D45">
        <v>4</v>
      </c>
      <c r="E45">
        <v>10</v>
      </c>
      <c r="F45">
        <v>40.72</v>
      </c>
      <c r="G45">
        <v>161.29</v>
      </c>
      <c r="H45" s="67">
        <v>44116</v>
      </c>
      <c r="I45" s="67">
        <v>44122</v>
      </c>
      <c r="J45" s="67">
        <v>44122</v>
      </c>
      <c r="K45" t="s">
        <v>1576</v>
      </c>
      <c r="L45" t="s">
        <v>1585</v>
      </c>
      <c r="M45" s="67">
        <v>44110</v>
      </c>
      <c r="N45">
        <v>27</v>
      </c>
      <c r="O45">
        <v>23.2</v>
      </c>
      <c r="P45" s="89" t="s">
        <v>1446</v>
      </c>
      <c r="Q45" s="89" t="s">
        <v>1447</v>
      </c>
      <c r="R45" t="s">
        <v>50</v>
      </c>
      <c r="S45" t="s">
        <v>1579</v>
      </c>
      <c r="U45">
        <f t="shared" si="5"/>
        <v>120.57</v>
      </c>
      <c r="V45" s="233">
        <f t="shared" si="7"/>
        <v>172.24285714285713</v>
      </c>
      <c r="Y45">
        <v>15011.5</v>
      </c>
    </row>
    <row r="46" spans="1:25">
      <c r="A46">
        <v>2019</v>
      </c>
      <c r="B46" t="s">
        <v>101</v>
      </c>
      <c r="C46">
        <f>main!C39</f>
        <v>9</v>
      </c>
      <c r="D46">
        <v>4</v>
      </c>
      <c r="E46">
        <v>10</v>
      </c>
      <c r="F46">
        <v>40.78</v>
      </c>
      <c r="G46">
        <v>143.43</v>
      </c>
      <c r="H46" s="67">
        <v>44116</v>
      </c>
      <c r="I46" s="67">
        <v>44122</v>
      </c>
      <c r="J46" s="67">
        <v>44122</v>
      </c>
      <c r="K46" t="s">
        <v>1576</v>
      </c>
      <c r="L46" t="s">
        <v>1585</v>
      </c>
      <c r="M46" s="67">
        <v>44110</v>
      </c>
      <c r="N46">
        <v>27</v>
      </c>
      <c r="O46">
        <v>23.2</v>
      </c>
      <c r="P46" s="89" t="s">
        <v>1446</v>
      </c>
      <c r="Q46" s="89" t="s">
        <v>1447</v>
      </c>
      <c r="R46" t="s">
        <v>50</v>
      </c>
      <c r="S46" t="s">
        <v>1579</v>
      </c>
      <c r="U46">
        <f t="shared" si="5"/>
        <v>102.65</v>
      </c>
      <c r="V46" s="233">
        <f t="shared" si="7"/>
        <v>146.64285714285714</v>
      </c>
      <c r="Y46">
        <v>15120.28</v>
      </c>
    </row>
    <row r="47" spans="1:25">
      <c r="A47">
        <v>2019</v>
      </c>
      <c r="B47" t="s">
        <v>101</v>
      </c>
      <c r="C47">
        <f>main!C40</f>
        <v>10</v>
      </c>
      <c r="D47">
        <v>4</v>
      </c>
      <c r="E47">
        <v>10</v>
      </c>
      <c r="F47">
        <v>41.28</v>
      </c>
      <c r="G47">
        <v>174.07</v>
      </c>
      <c r="H47" s="67">
        <v>44116</v>
      </c>
      <c r="I47" s="67">
        <v>44122</v>
      </c>
      <c r="J47" s="67">
        <v>44122</v>
      </c>
      <c r="K47" t="s">
        <v>1576</v>
      </c>
      <c r="L47" t="s">
        <v>1585</v>
      </c>
      <c r="M47" s="67">
        <v>44110</v>
      </c>
      <c r="N47">
        <v>27</v>
      </c>
      <c r="O47">
        <v>23.2</v>
      </c>
      <c r="P47" s="89" t="s">
        <v>1446</v>
      </c>
      <c r="Q47" s="89" t="s">
        <v>1448</v>
      </c>
      <c r="R47" t="s">
        <v>50</v>
      </c>
      <c r="S47" t="s">
        <v>1579</v>
      </c>
      <c r="U47">
        <f t="shared" si="5"/>
        <v>132.79</v>
      </c>
      <c r="V47" s="233">
        <f t="shared" si="7"/>
        <v>189.7</v>
      </c>
      <c r="Y47">
        <v>14595.64</v>
      </c>
    </row>
    <row r="48" spans="1:25">
      <c r="A48">
        <v>2019</v>
      </c>
      <c r="B48" t="s">
        <v>101</v>
      </c>
      <c r="C48">
        <f>main!C41</f>
        <v>11</v>
      </c>
      <c r="D48">
        <v>4</v>
      </c>
      <c r="E48">
        <v>10</v>
      </c>
      <c r="F48">
        <v>39.24</v>
      </c>
      <c r="G48">
        <v>177.41</v>
      </c>
      <c r="H48" s="67">
        <v>44116</v>
      </c>
      <c r="I48" s="67">
        <v>44122</v>
      </c>
      <c r="J48" s="67">
        <v>44122</v>
      </c>
      <c r="K48" t="s">
        <v>1576</v>
      </c>
      <c r="L48" t="s">
        <v>1585</v>
      </c>
      <c r="M48" s="67">
        <v>44110</v>
      </c>
      <c r="N48">
        <v>27</v>
      </c>
      <c r="O48">
        <v>23.2</v>
      </c>
      <c r="P48" s="89" t="s">
        <v>1446</v>
      </c>
      <c r="Q48" s="89" t="s">
        <v>1448</v>
      </c>
      <c r="R48" t="s">
        <v>50</v>
      </c>
      <c r="S48" t="s">
        <v>1579</v>
      </c>
      <c r="U48">
        <f t="shared" si="5"/>
        <v>138.16999999999999</v>
      </c>
      <c r="V48" s="233">
        <f t="shared" si="7"/>
        <v>197.38571428571424</v>
      </c>
      <c r="Y48">
        <v>14634.39</v>
      </c>
    </row>
    <row r="49" spans="1:25">
      <c r="A49">
        <v>2019</v>
      </c>
      <c r="B49" t="s">
        <v>101</v>
      </c>
      <c r="C49">
        <f>main!C42</f>
        <v>12</v>
      </c>
      <c r="D49">
        <v>4</v>
      </c>
      <c r="E49">
        <v>10</v>
      </c>
      <c r="F49">
        <v>40.76</v>
      </c>
      <c r="G49">
        <v>291.63</v>
      </c>
      <c r="H49" s="67">
        <v>44116</v>
      </c>
      <c r="I49" s="67">
        <v>44122</v>
      </c>
      <c r="J49" s="67">
        <v>44122</v>
      </c>
      <c r="K49" t="s">
        <v>1576</v>
      </c>
      <c r="L49" t="s">
        <v>1585</v>
      </c>
      <c r="M49" s="67">
        <v>44110</v>
      </c>
      <c r="N49">
        <v>27</v>
      </c>
      <c r="O49">
        <v>23.2</v>
      </c>
      <c r="P49" s="89" t="s">
        <v>1446</v>
      </c>
      <c r="Q49" s="89" t="s">
        <v>1448</v>
      </c>
      <c r="R49" t="s">
        <v>50</v>
      </c>
      <c r="S49" t="s">
        <v>1579</v>
      </c>
      <c r="U49">
        <f t="shared" si="5"/>
        <v>250.87</v>
      </c>
      <c r="V49" s="233">
        <f t="shared" si="7"/>
        <v>358.38571428571424</v>
      </c>
      <c r="Y49">
        <v>14647.68</v>
      </c>
    </row>
    <row r="50" spans="1:25">
      <c r="A50">
        <v>2019</v>
      </c>
      <c r="B50" t="s">
        <v>101</v>
      </c>
      <c r="C50">
        <v>13</v>
      </c>
      <c r="D50">
        <v>4</v>
      </c>
      <c r="E50">
        <v>7</v>
      </c>
      <c r="F50">
        <v>39.479999999999997</v>
      </c>
      <c r="G50">
        <v>327.05</v>
      </c>
      <c r="H50" s="67">
        <v>44113</v>
      </c>
      <c r="I50" s="67">
        <v>44116</v>
      </c>
      <c r="J50" s="67">
        <v>44116</v>
      </c>
      <c r="K50" t="s">
        <v>1576</v>
      </c>
      <c r="L50" t="s">
        <v>1577</v>
      </c>
      <c r="M50" s="67">
        <v>44110</v>
      </c>
      <c r="N50">
        <v>27</v>
      </c>
      <c r="O50">
        <v>23.2</v>
      </c>
      <c r="P50" s="89" t="s">
        <v>1446</v>
      </c>
      <c r="Q50" s="89" t="s">
        <v>1448</v>
      </c>
      <c r="R50" t="s">
        <v>50</v>
      </c>
      <c r="S50" s="89" t="s">
        <v>1582</v>
      </c>
      <c r="U50">
        <f>G50-F50</f>
        <v>287.57</v>
      </c>
      <c r="V50" s="233">
        <f>((U50+U51)/7)*10</f>
        <v>739.7</v>
      </c>
      <c r="W50" s="66">
        <f>U50/4</f>
        <v>71.892499999999998</v>
      </c>
      <c r="X50" s="283">
        <f>ABS(W50-W51)</f>
        <v>4.8474999999999966</v>
      </c>
      <c r="Y50">
        <v>14593.78</v>
      </c>
    </row>
    <row r="51" spans="1:25">
      <c r="A51">
        <v>2019</v>
      </c>
      <c r="B51" t="s">
        <v>101</v>
      </c>
      <c r="C51" t="s">
        <v>1437</v>
      </c>
      <c r="D51">
        <v>8</v>
      </c>
      <c r="E51">
        <v>10</v>
      </c>
      <c r="F51">
        <v>39.92</v>
      </c>
      <c r="G51">
        <v>270.14</v>
      </c>
      <c r="H51" s="67">
        <v>44113</v>
      </c>
      <c r="I51" s="67">
        <v>44116</v>
      </c>
      <c r="J51" s="67">
        <v>44116</v>
      </c>
      <c r="K51" t="s">
        <v>1576</v>
      </c>
      <c r="L51" t="s">
        <v>1577</v>
      </c>
      <c r="M51" s="67">
        <v>44110</v>
      </c>
      <c r="N51">
        <v>27</v>
      </c>
      <c r="O51">
        <v>23.2</v>
      </c>
      <c r="P51" s="89" t="s">
        <v>1446</v>
      </c>
      <c r="Q51" s="89" t="s">
        <v>1448</v>
      </c>
      <c r="R51" t="s">
        <v>50</v>
      </c>
      <c r="S51" s="89" t="s">
        <v>1582</v>
      </c>
      <c r="U51">
        <f>G51-F51</f>
        <v>230.21999999999997</v>
      </c>
      <c r="W51" s="66">
        <f>U51/3</f>
        <v>76.739999999999995</v>
      </c>
      <c r="X51" s="284">
        <f>X50/SUM(U50,U51)</f>
        <v>9.3619034743815006E-3</v>
      </c>
    </row>
    <row r="52" spans="1:25">
      <c r="A52">
        <v>2019</v>
      </c>
      <c r="B52" t="s">
        <v>101</v>
      </c>
      <c r="C52">
        <v>14</v>
      </c>
      <c r="D52">
        <v>4</v>
      </c>
      <c r="E52">
        <v>7</v>
      </c>
      <c r="F52">
        <v>39.49</v>
      </c>
      <c r="G52">
        <v>599.92999999999995</v>
      </c>
      <c r="H52" s="67">
        <v>44113</v>
      </c>
      <c r="I52" s="67">
        <v>44116</v>
      </c>
      <c r="J52" s="67">
        <v>44116</v>
      </c>
      <c r="K52" t="s">
        <v>1576</v>
      </c>
      <c r="L52" t="s">
        <v>1577</v>
      </c>
      <c r="M52" s="67">
        <v>44110</v>
      </c>
      <c r="N52">
        <v>27</v>
      </c>
      <c r="O52">
        <v>23.2</v>
      </c>
      <c r="P52" s="89" t="s">
        <v>1446</v>
      </c>
      <c r="Q52" s="89" t="s">
        <v>1448</v>
      </c>
      <c r="R52" t="s">
        <v>50</v>
      </c>
      <c r="S52" s="89" t="s">
        <v>1582</v>
      </c>
      <c r="U52">
        <f>G52-F52</f>
        <v>560.43999999999994</v>
      </c>
      <c r="V52" s="233">
        <f>((U52+U53)/7)*10</f>
        <v>1475.9571428571426</v>
      </c>
      <c r="W52" s="66">
        <f>U52/4</f>
        <v>140.10999999999999</v>
      </c>
      <c r="X52" s="283">
        <f>ABS(W52-W53)</f>
        <v>17.466666666666669</v>
      </c>
      <c r="Y52">
        <v>15103.56</v>
      </c>
    </row>
    <row r="53" spans="1:25">
      <c r="A53">
        <v>2019</v>
      </c>
      <c r="B53" t="s">
        <v>101</v>
      </c>
      <c r="C53" t="s">
        <v>1438</v>
      </c>
      <c r="D53">
        <v>8</v>
      </c>
      <c r="E53">
        <v>10</v>
      </c>
      <c r="F53">
        <v>41.79</v>
      </c>
      <c r="G53">
        <v>514.52</v>
      </c>
      <c r="H53" s="67">
        <v>44113</v>
      </c>
      <c r="I53" s="67">
        <v>44116</v>
      </c>
      <c r="J53" s="67">
        <v>44116</v>
      </c>
      <c r="K53" t="s">
        <v>1576</v>
      </c>
      <c r="L53" t="s">
        <v>1577</v>
      </c>
      <c r="M53" s="67">
        <v>44110</v>
      </c>
      <c r="N53">
        <v>27</v>
      </c>
      <c r="O53">
        <v>23.2</v>
      </c>
      <c r="P53" s="89" t="s">
        <v>1446</v>
      </c>
      <c r="Q53" s="89" t="s">
        <v>1448</v>
      </c>
      <c r="R53" t="s">
        <v>50</v>
      </c>
      <c r="S53" s="89" t="s">
        <v>1582</v>
      </c>
      <c r="U53">
        <f>G53-F53</f>
        <v>472.72999999999996</v>
      </c>
      <c r="W53" s="66">
        <f>U53/3</f>
        <v>157.57666666666665</v>
      </c>
      <c r="X53" s="284">
        <f>X52/SUM(U52,U53)</f>
        <v>1.6905898029043305E-2</v>
      </c>
    </row>
    <row r="54" spans="1:25">
      <c r="A54">
        <v>2019</v>
      </c>
      <c r="B54" t="s">
        <v>101</v>
      </c>
      <c r="C54">
        <f>main!C45</f>
        <v>15</v>
      </c>
      <c r="D54">
        <v>4</v>
      </c>
      <c r="E54">
        <v>10</v>
      </c>
      <c r="F54">
        <v>39.619999999999997</v>
      </c>
      <c r="G54">
        <v>621.91</v>
      </c>
      <c r="H54" s="67">
        <v>44113</v>
      </c>
      <c r="I54" s="67">
        <v>44116</v>
      </c>
      <c r="J54" s="67">
        <v>44116</v>
      </c>
      <c r="K54" t="s">
        <v>1576</v>
      </c>
      <c r="L54" t="s">
        <v>1577</v>
      </c>
      <c r="M54" s="67">
        <v>44110</v>
      </c>
      <c r="N54">
        <v>27</v>
      </c>
      <c r="O54">
        <v>23.2</v>
      </c>
      <c r="P54" s="89" t="s">
        <v>1446</v>
      </c>
      <c r="Q54" s="89" t="s">
        <v>1448</v>
      </c>
      <c r="R54" t="s">
        <v>50</v>
      </c>
      <c r="S54" s="89" t="s">
        <v>1582</v>
      </c>
      <c r="U54">
        <f t="shared" ref="U54:U60" si="8">G54-F54</f>
        <v>582.29</v>
      </c>
      <c r="V54" s="233">
        <f>((U54)/7)*10</f>
        <v>831.84285714285704</v>
      </c>
      <c r="X54" s="287"/>
      <c r="Y54">
        <v>15052.28</v>
      </c>
    </row>
    <row r="55" spans="1:25">
      <c r="A55">
        <v>2019</v>
      </c>
      <c r="B55" t="s">
        <v>101</v>
      </c>
      <c r="C55">
        <f>main!C46</f>
        <v>16</v>
      </c>
      <c r="D55">
        <v>4</v>
      </c>
      <c r="E55">
        <v>10</v>
      </c>
      <c r="F55">
        <v>40.770000000000003</v>
      </c>
      <c r="G55">
        <v>128.43</v>
      </c>
      <c r="H55" s="67">
        <v>44113</v>
      </c>
      <c r="I55" s="67">
        <v>44116</v>
      </c>
      <c r="J55" s="67">
        <v>44116</v>
      </c>
      <c r="K55" t="s">
        <v>1576</v>
      </c>
      <c r="L55" t="s">
        <v>1577</v>
      </c>
      <c r="M55" s="67">
        <v>44110</v>
      </c>
      <c r="N55">
        <v>27</v>
      </c>
      <c r="O55">
        <v>23.2</v>
      </c>
      <c r="P55" s="89" t="s">
        <v>1446</v>
      </c>
      <c r="Q55" s="89" t="s">
        <v>1448</v>
      </c>
      <c r="R55" t="s">
        <v>50</v>
      </c>
      <c r="S55" s="89" t="s">
        <v>1578</v>
      </c>
      <c r="U55">
        <f t="shared" si="8"/>
        <v>87.66</v>
      </c>
      <c r="V55" s="233">
        <f t="shared" ref="V55:V60" si="9">((U55)/7)*10</f>
        <v>125.22857142857143</v>
      </c>
      <c r="Y55">
        <v>15096.02</v>
      </c>
    </row>
    <row r="56" spans="1:25">
      <c r="A56">
        <v>2019</v>
      </c>
      <c r="B56" t="s">
        <v>101</v>
      </c>
      <c r="C56">
        <f>main!C47</f>
        <v>17</v>
      </c>
      <c r="D56">
        <v>4</v>
      </c>
      <c r="E56">
        <v>10</v>
      </c>
      <c r="F56">
        <v>40.630000000000003</v>
      </c>
      <c r="G56">
        <v>93.16</v>
      </c>
      <c r="H56" s="67">
        <v>44113</v>
      </c>
      <c r="I56" s="67">
        <v>44116</v>
      </c>
      <c r="J56" s="67">
        <v>44116</v>
      </c>
      <c r="K56" t="s">
        <v>1576</v>
      </c>
      <c r="L56" t="s">
        <v>1577</v>
      </c>
      <c r="M56" s="67">
        <v>44110</v>
      </c>
      <c r="N56">
        <v>27</v>
      </c>
      <c r="O56">
        <v>23.2</v>
      </c>
      <c r="P56" s="89" t="s">
        <v>1446</v>
      </c>
      <c r="Q56" s="89" t="s">
        <v>1448</v>
      </c>
      <c r="R56" t="s">
        <v>50</v>
      </c>
      <c r="S56" s="89" t="s">
        <v>1578</v>
      </c>
      <c r="U56">
        <f t="shared" si="8"/>
        <v>52.529999999999994</v>
      </c>
      <c r="V56" s="233">
        <f t="shared" si="9"/>
        <v>75.04285714285713</v>
      </c>
      <c r="Y56">
        <v>15105.5</v>
      </c>
    </row>
    <row r="57" spans="1:25">
      <c r="A57">
        <v>2019</v>
      </c>
      <c r="B57" t="s">
        <v>101</v>
      </c>
      <c r="C57">
        <f>main!C48</f>
        <v>18</v>
      </c>
      <c r="D57">
        <v>4</v>
      </c>
      <c r="E57">
        <v>10</v>
      </c>
      <c r="F57">
        <v>39.15</v>
      </c>
      <c r="G57">
        <v>120.22</v>
      </c>
      <c r="H57" s="67">
        <v>44113</v>
      </c>
      <c r="I57" s="67">
        <v>44116</v>
      </c>
      <c r="J57" s="67">
        <v>44116</v>
      </c>
      <c r="K57" t="s">
        <v>1576</v>
      </c>
      <c r="L57" t="s">
        <v>1577</v>
      </c>
      <c r="M57" s="67">
        <v>44110</v>
      </c>
      <c r="N57">
        <v>27</v>
      </c>
      <c r="O57">
        <v>23.2</v>
      </c>
      <c r="P57" s="89" t="s">
        <v>1446</v>
      </c>
      <c r="Q57" s="89" t="s">
        <v>1448</v>
      </c>
      <c r="R57" t="s">
        <v>50</v>
      </c>
      <c r="S57" s="89" t="s">
        <v>1578</v>
      </c>
      <c r="U57">
        <f t="shared" si="8"/>
        <v>81.069999999999993</v>
      </c>
      <c r="V57" s="233">
        <f t="shared" si="9"/>
        <v>115.81428571428572</v>
      </c>
      <c r="Y57">
        <v>14994.12</v>
      </c>
    </row>
    <row r="58" spans="1:25">
      <c r="A58">
        <v>2019</v>
      </c>
      <c r="B58" t="s">
        <v>101</v>
      </c>
      <c r="C58">
        <f>main!C49</f>
        <v>19</v>
      </c>
      <c r="D58">
        <v>4</v>
      </c>
      <c r="E58">
        <v>10</v>
      </c>
      <c r="F58">
        <v>39.18</v>
      </c>
      <c r="G58">
        <v>61.55</v>
      </c>
      <c r="H58" s="67">
        <v>44113</v>
      </c>
      <c r="I58" s="67">
        <v>44116</v>
      </c>
      <c r="J58" s="67">
        <v>44116</v>
      </c>
      <c r="K58" t="s">
        <v>1576</v>
      </c>
      <c r="L58" t="s">
        <v>1577</v>
      </c>
      <c r="M58" s="67">
        <v>44110</v>
      </c>
      <c r="N58">
        <v>27</v>
      </c>
      <c r="O58">
        <v>23.2</v>
      </c>
      <c r="P58" s="89" t="s">
        <v>1446</v>
      </c>
      <c r="Q58" s="89" t="s">
        <v>1448</v>
      </c>
      <c r="R58" t="s">
        <v>50</v>
      </c>
      <c r="S58" s="89" t="s">
        <v>1578</v>
      </c>
      <c r="U58">
        <f t="shared" si="8"/>
        <v>22.369999999999997</v>
      </c>
      <c r="V58" s="233">
        <f t="shared" si="9"/>
        <v>31.957142857142852</v>
      </c>
      <c r="Y58">
        <v>14604.8</v>
      </c>
    </row>
    <row r="59" spans="1:25">
      <c r="A59">
        <v>2019</v>
      </c>
      <c r="B59" t="s">
        <v>101</v>
      </c>
      <c r="C59">
        <f>main!C50</f>
        <v>20</v>
      </c>
      <c r="D59">
        <v>4</v>
      </c>
      <c r="E59">
        <v>10</v>
      </c>
      <c r="F59">
        <v>39.21</v>
      </c>
      <c r="G59">
        <v>203.54</v>
      </c>
      <c r="H59" s="67">
        <v>44113</v>
      </c>
      <c r="I59" s="67">
        <v>44116</v>
      </c>
      <c r="J59" s="67">
        <v>44116</v>
      </c>
      <c r="K59" t="s">
        <v>1576</v>
      </c>
      <c r="L59" t="s">
        <v>1577</v>
      </c>
      <c r="M59" s="67">
        <v>44110</v>
      </c>
      <c r="N59">
        <v>27</v>
      </c>
      <c r="O59">
        <v>23.2</v>
      </c>
      <c r="P59" s="89" t="s">
        <v>1446</v>
      </c>
      <c r="Q59" s="89" t="s">
        <v>1448</v>
      </c>
      <c r="R59" t="s">
        <v>50</v>
      </c>
      <c r="S59" s="89" t="s">
        <v>1578</v>
      </c>
      <c r="U59">
        <f t="shared" si="8"/>
        <v>164.32999999999998</v>
      </c>
      <c r="V59" s="233">
        <f t="shared" si="9"/>
        <v>234.75714285714281</v>
      </c>
      <c r="Y59">
        <v>14653.22</v>
      </c>
    </row>
    <row r="60" spans="1:25">
      <c r="A60">
        <v>2019</v>
      </c>
      <c r="B60" t="s">
        <v>101</v>
      </c>
      <c r="C60">
        <f>main!C51</f>
        <v>21</v>
      </c>
      <c r="D60">
        <v>4</v>
      </c>
      <c r="E60">
        <v>10</v>
      </c>
      <c r="F60">
        <v>40.340000000000003</v>
      </c>
      <c r="G60">
        <v>129.36000000000001</v>
      </c>
      <c r="H60" s="67">
        <v>44113</v>
      </c>
      <c r="I60" s="67">
        <v>44116</v>
      </c>
      <c r="J60" s="67">
        <v>44116</v>
      </c>
      <c r="K60" t="s">
        <v>1576</v>
      </c>
      <c r="L60" t="s">
        <v>1577</v>
      </c>
      <c r="M60" s="67">
        <v>44110</v>
      </c>
      <c r="N60">
        <v>27</v>
      </c>
      <c r="O60">
        <v>23.2</v>
      </c>
      <c r="P60" s="89" t="s">
        <v>1446</v>
      </c>
      <c r="Q60" s="89" t="s">
        <v>1448</v>
      </c>
      <c r="R60" t="s">
        <v>50</v>
      </c>
      <c r="S60" s="89" t="s">
        <v>1578</v>
      </c>
      <c r="U60">
        <f t="shared" si="8"/>
        <v>89.02000000000001</v>
      </c>
      <c r="V60" s="233">
        <f t="shared" si="9"/>
        <v>127.17142857142859</v>
      </c>
      <c r="Y60">
        <v>14573.84</v>
      </c>
    </row>
    <row r="61" spans="1:25">
      <c r="S61" s="89"/>
    </row>
    <row r="62" spans="1:25" s="230" customFormat="1">
      <c r="A62" s="230" t="str">
        <f>main!A54</f>
        <v>Deployment 20/03/2019 IN2019_V02</v>
      </c>
      <c r="B62" s="231" t="str">
        <f>main!B54</f>
        <v>McLane-PARFLUX-Mark78H-21 ; controller sn ML11649-01, frame sn 10705-01, funnel says 10583, motor sn 11640-01, cup set L250x21</v>
      </c>
      <c r="V62" s="233"/>
      <c r="X62" s="282"/>
    </row>
    <row r="63" spans="1:25">
      <c r="A63">
        <v>2019</v>
      </c>
      <c r="B63" t="s">
        <v>102</v>
      </c>
      <c r="C63" t="str">
        <f>main!C55</f>
        <v>L 1</v>
      </c>
      <c r="D63">
        <v>4</v>
      </c>
      <c r="E63">
        <v>7</v>
      </c>
      <c r="F63">
        <v>40.119999999999997</v>
      </c>
      <c r="G63">
        <v>283.3</v>
      </c>
      <c r="H63" s="67">
        <v>44117</v>
      </c>
      <c r="I63" s="67">
        <v>44122</v>
      </c>
      <c r="J63" s="67">
        <v>44122</v>
      </c>
      <c r="K63" t="s">
        <v>1576</v>
      </c>
      <c r="L63" t="s">
        <v>1585</v>
      </c>
      <c r="P63" s="89" t="s">
        <v>1446</v>
      </c>
      <c r="Q63" s="89" t="s">
        <v>1448</v>
      </c>
      <c r="R63" t="s">
        <v>50</v>
      </c>
      <c r="S63" s="89" t="s">
        <v>1584</v>
      </c>
      <c r="U63">
        <f t="shared" ref="U63:U91" si="10">G63-F63</f>
        <v>243.18</v>
      </c>
      <c r="V63" s="233">
        <f>((U63+U64)/7)*10</f>
        <v>614.01428571428573</v>
      </c>
      <c r="W63" s="66">
        <f>U63/4</f>
        <v>60.795000000000002</v>
      </c>
      <c r="X63" s="283">
        <f>ABS(W63-W64)</f>
        <v>1.4149999999999991</v>
      </c>
    </row>
    <row r="64" spans="1:25">
      <c r="A64">
        <v>2019</v>
      </c>
      <c r="B64" t="s">
        <v>102</v>
      </c>
      <c r="C64" t="s">
        <v>1436</v>
      </c>
      <c r="D64">
        <v>8</v>
      </c>
      <c r="E64">
        <v>10</v>
      </c>
      <c r="F64">
        <v>40.69</v>
      </c>
      <c r="G64">
        <v>227.32</v>
      </c>
      <c r="H64" s="67">
        <v>44117</v>
      </c>
      <c r="I64" s="67">
        <v>44122</v>
      </c>
      <c r="J64" s="67">
        <v>44122</v>
      </c>
      <c r="K64" t="s">
        <v>1576</v>
      </c>
      <c r="L64" t="s">
        <v>1585</v>
      </c>
      <c r="P64" s="89" t="s">
        <v>1446</v>
      </c>
      <c r="Q64" s="89" t="s">
        <v>1448</v>
      </c>
      <c r="R64" t="s">
        <v>50</v>
      </c>
      <c r="S64" s="89" t="s">
        <v>1584</v>
      </c>
      <c r="U64">
        <f t="shared" si="10"/>
        <v>186.63</v>
      </c>
      <c r="W64" s="66">
        <f>U64/3</f>
        <v>62.21</v>
      </c>
      <c r="X64" s="284">
        <f>X63/SUM(U63,U64)</f>
        <v>3.2921523463856103E-3</v>
      </c>
    </row>
    <row r="65" spans="1:24">
      <c r="A65">
        <v>2019</v>
      </c>
      <c r="B65" t="s">
        <v>102</v>
      </c>
      <c r="C65">
        <f>main!C56</f>
        <v>2</v>
      </c>
      <c r="D65">
        <v>4</v>
      </c>
      <c r="E65">
        <v>10</v>
      </c>
      <c r="F65">
        <v>40.909999999999997</v>
      </c>
      <c r="G65">
        <v>443.14</v>
      </c>
      <c r="H65" s="67">
        <v>44117</v>
      </c>
      <c r="I65" s="67">
        <v>44122</v>
      </c>
      <c r="J65" s="67">
        <v>44122</v>
      </c>
      <c r="K65" t="s">
        <v>1576</v>
      </c>
      <c r="L65" t="s">
        <v>1585</v>
      </c>
      <c r="P65" s="89" t="s">
        <v>1446</v>
      </c>
      <c r="Q65" s="89" t="s">
        <v>1448</v>
      </c>
      <c r="R65" t="s">
        <v>50</v>
      </c>
      <c r="S65" s="89" t="s">
        <v>1584</v>
      </c>
      <c r="U65">
        <f t="shared" si="10"/>
        <v>402.23</v>
      </c>
      <c r="V65" s="233">
        <f>((U65)/7)*10</f>
        <v>574.61428571428576</v>
      </c>
    </row>
    <row r="66" spans="1:24">
      <c r="A66">
        <v>2019</v>
      </c>
      <c r="B66" t="s">
        <v>102</v>
      </c>
      <c r="C66">
        <f>main!C57</f>
        <v>3</v>
      </c>
      <c r="D66">
        <v>4</v>
      </c>
      <c r="E66">
        <v>10</v>
      </c>
      <c r="F66">
        <v>42.38</v>
      </c>
      <c r="G66">
        <v>366.62</v>
      </c>
      <c r="H66" s="67">
        <v>44117</v>
      </c>
      <c r="I66" s="67">
        <v>44122</v>
      </c>
      <c r="J66" s="67">
        <v>44122</v>
      </c>
      <c r="K66" t="s">
        <v>1576</v>
      </c>
      <c r="L66" t="s">
        <v>1585</v>
      </c>
      <c r="P66" s="89" t="s">
        <v>1446</v>
      </c>
      <c r="Q66" s="89" t="s">
        <v>1448</v>
      </c>
      <c r="R66" t="s">
        <v>50</v>
      </c>
      <c r="S66" s="89" t="s">
        <v>1584</v>
      </c>
      <c r="U66">
        <f t="shared" si="10"/>
        <v>324.24</v>
      </c>
      <c r="V66" s="233">
        <f t="shared" ref="V66:V75" si="11">((U66)/7)*10</f>
        <v>463.2</v>
      </c>
    </row>
    <row r="67" spans="1:24">
      <c r="A67">
        <v>2019</v>
      </c>
      <c r="B67" t="s">
        <v>102</v>
      </c>
      <c r="C67">
        <f>main!C58</f>
        <v>4</v>
      </c>
      <c r="D67">
        <v>4</v>
      </c>
      <c r="E67">
        <v>10</v>
      </c>
      <c r="F67">
        <v>39.159999999999997</v>
      </c>
      <c r="G67">
        <v>387</v>
      </c>
      <c r="H67" s="67">
        <v>44117</v>
      </c>
      <c r="I67" s="67">
        <v>44122</v>
      </c>
      <c r="J67" s="67">
        <v>44122</v>
      </c>
      <c r="K67" t="s">
        <v>1576</v>
      </c>
      <c r="L67" t="s">
        <v>1585</v>
      </c>
      <c r="P67" s="89" t="s">
        <v>1446</v>
      </c>
      <c r="Q67" s="89" t="s">
        <v>1448</v>
      </c>
      <c r="R67" t="s">
        <v>50</v>
      </c>
      <c r="S67" s="89" t="s">
        <v>1584</v>
      </c>
      <c r="U67">
        <f t="shared" si="10"/>
        <v>347.84000000000003</v>
      </c>
      <c r="V67" s="233">
        <f t="shared" si="11"/>
        <v>496.91428571428571</v>
      </c>
    </row>
    <row r="68" spans="1:24">
      <c r="A68">
        <v>2019</v>
      </c>
      <c r="B68" t="s">
        <v>102</v>
      </c>
      <c r="C68">
        <f>main!C59</f>
        <v>5</v>
      </c>
      <c r="D68">
        <v>4</v>
      </c>
      <c r="E68">
        <v>10</v>
      </c>
      <c r="F68">
        <v>39.89</v>
      </c>
      <c r="G68">
        <v>408.22</v>
      </c>
      <c r="H68" s="67">
        <v>44117</v>
      </c>
      <c r="I68" s="67">
        <v>44122</v>
      </c>
      <c r="J68" s="67">
        <v>44122</v>
      </c>
      <c r="K68" t="s">
        <v>1576</v>
      </c>
      <c r="L68" t="s">
        <v>1585</v>
      </c>
      <c r="P68" s="89" t="s">
        <v>1446</v>
      </c>
      <c r="Q68" s="89" t="s">
        <v>1448</v>
      </c>
      <c r="R68" t="s">
        <v>50</v>
      </c>
      <c r="S68" s="89" t="s">
        <v>1584</v>
      </c>
      <c r="U68">
        <f t="shared" si="10"/>
        <v>368.33000000000004</v>
      </c>
      <c r="V68" s="233">
        <f t="shared" si="11"/>
        <v>526.18571428571431</v>
      </c>
    </row>
    <row r="69" spans="1:24">
      <c r="A69">
        <v>2019</v>
      </c>
      <c r="B69" t="s">
        <v>102</v>
      </c>
      <c r="C69">
        <f>main!C60</f>
        <v>6</v>
      </c>
      <c r="D69">
        <v>4</v>
      </c>
      <c r="E69">
        <v>10</v>
      </c>
      <c r="F69">
        <v>39.700000000000003</v>
      </c>
      <c r="G69">
        <v>393.53</v>
      </c>
      <c r="H69" s="67">
        <v>44122</v>
      </c>
      <c r="I69" s="67">
        <v>44125</v>
      </c>
      <c r="J69" s="67">
        <v>44125</v>
      </c>
      <c r="K69" t="s">
        <v>1589</v>
      </c>
      <c r="L69" t="s">
        <v>1590</v>
      </c>
      <c r="P69" s="89" t="s">
        <v>1446</v>
      </c>
      <c r="Q69" s="89" t="s">
        <v>1448</v>
      </c>
      <c r="R69" t="s">
        <v>50</v>
      </c>
      <c r="S69" s="89" t="s">
        <v>1586</v>
      </c>
      <c r="U69">
        <f t="shared" si="10"/>
        <v>353.83</v>
      </c>
      <c r="V69" s="233">
        <f t="shared" si="11"/>
        <v>505.47142857142853</v>
      </c>
    </row>
    <row r="70" spans="1:24">
      <c r="A70">
        <v>2019</v>
      </c>
      <c r="B70" t="s">
        <v>102</v>
      </c>
      <c r="C70">
        <f>main!C61</f>
        <v>7</v>
      </c>
      <c r="D70">
        <v>4</v>
      </c>
      <c r="E70">
        <v>10</v>
      </c>
      <c r="F70">
        <v>39.82</v>
      </c>
      <c r="G70">
        <v>295.70999999999998</v>
      </c>
      <c r="H70" s="67">
        <v>44122</v>
      </c>
      <c r="I70" s="67">
        <v>44125</v>
      </c>
      <c r="J70" s="67">
        <v>44125</v>
      </c>
      <c r="K70" t="s">
        <v>1589</v>
      </c>
      <c r="L70" t="s">
        <v>1590</v>
      </c>
      <c r="P70" s="89" t="s">
        <v>1446</v>
      </c>
      <c r="Q70" s="89" t="s">
        <v>1448</v>
      </c>
      <c r="R70" t="s">
        <v>50</v>
      </c>
      <c r="S70" s="89" t="s">
        <v>1586</v>
      </c>
      <c r="U70">
        <f t="shared" si="10"/>
        <v>255.89</v>
      </c>
      <c r="V70" s="233">
        <f t="shared" si="11"/>
        <v>365.55714285714282</v>
      </c>
    </row>
    <row r="71" spans="1:24">
      <c r="A71">
        <v>2019</v>
      </c>
      <c r="B71" t="s">
        <v>102</v>
      </c>
      <c r="C71">
        <f>main!C62</f>
        <v>8</v>
      </c>
      <c r="D71">
        <v>4</v>
      </c>
      <c r="E71">
        <v>10</v>
      </c>
      <c r="F71">
        <v>39.270000000000003</v>
      </c>
      <c r="G71">
        <v>309.98</v>
      </c>
      <c r="H71" s="67">
        <v>44122</v>
      </c>
      <c r="I71" s="67">
        <v>44125</v>
      </c>
      <c r="J71" s="67">
        <v>44125</v>
      </c>
      <c r="K71" t="s">
        <v>1589</v>
      </c>
      <c r="L71" t="s">
        <v>1590</v>
      </c>
      <c r="P71" s="89" t="s">
        <v>1446</v>
      </c>
      <c r="Q71" s="89" t="s">
        <v>1448</v>
      </c>
      <c r="R71" t="s">
        <v>50</v>
      </c>
      <c r="S71" s="89" t="s">
        <v>1586</v>
      </c>
      <c r="U71">
        <f t="shared" si="10"/>
        <v>270.71000000000004</v>
      </c>
      <c r="V71" s="233">
        <f t="shared" si="11"/>
        <v>386.72857142857146</v>
      </c>
    </row>
    <row r="72" spans="1:24">
      <c r="A72">
        <v>2019</v>
      </c>
      <c r="B72" t="s">
        <v>102</v>
      </c>
      <c r="C72">
        <f>main!C63</f>
        <v>9</v>
      </c>
      <c r="D72">
        <v>4</v>
      </c>
      <c r="E72">
        <v>10</v>
      </c>
      <c r="F72">
        <v>40.68</v>
      </c>
      <c r="G72">
        <v>267.08999999999997</v>
      </c>
      <c r="H72" s="67">
        <v>44122</v>
      </c>
      <c r="I72" s="67">
        <v>44125</v>
      </c>
      <c r="J72" s="67">
        <v>44125</v>
      </c>
      <c r="K72" t="s">
        <v>1589</v>
      </c>
      <c r="L72" t="s">
        <v>1590</v>
      </c>
      <c r="P72" s="89" t="s">
        <v>1446</v>
      </c>
      <c r="Q72" s="89" t="s">
        <v>1448</v>
      </c>
      <c r="R72" t="s">
        <v>50</v>
      </c>
      <c r="S72" s="89" t="s">
        <v>1586</v>
      </c>
      <c r="U72">
        <f t="shared" si="10"/>
        <v>226.40999999999997</v>
      </c>
      <c r="V72" s="233">
        <f t="shared" si="11"/>
        <v>323.44285714285712</v>
      </c>
    </row>
    <row r="73" spans="1:24">
      <c r="A73">
        <v>2019</v>
      </c>
      <c r="B73" t="s">
        <v>102</v>
      </c>
      <c r="C73">
        <f>main!C64</f>
        <v>10</v>
      </c>
      <c r="D73">
        <v>4</v>
      </c>
      <c r="E73">
        <v>10</v>
      </c>
      <c r="F73">
        <v>39.770000000000003</v>
      </c>
      <c r="G73">
        <v>218.32</v>
      </c>
      <c r="H73" s="67">
        <v>44122</v>
      </c>
      <c r="I73" s="67">
        <v>44125</v>
      </c>
      <c r="J73" s="67">
        <v>44125</v>
      </c>
      <c r="K73" t="s">
        <v>1589</v>
      </c>
      <c r="L73" t="s">
        <v>1590</v>
      </c>
      <c r="P73" s="89" t="s">
        <v>1446</v>
      </c>
      <c r="Q73" s="89" t="s">
        <v>1448</v>
      </c>
      <c r="R73" t="s">
        <v>50</v>
      </c>
      <c r="S73" s="89" t="s">
        <v>1586</v>
      </c>
      <c r="U73">
        <f t="shared" si="10"/>
        <v>178.54999999999998</v>
      </c>
      <c r="V73" s="233">
        <f t="shared" si="11"/>
        <v>255.07142857142856</v>
      </c>
    </row>
    <row r="74" spans="1:24">
      <c r="A74">
        <v>2019</v>
      </c>
      <c r="B74" t="s">
        <v>102</v>
      </c>
      <c r="C74">
        <f>main!C65</f>
        <v>11</v>
      </c>
      <c r="D74">
        <v>4</v>
      </c>
      <c r="E74">
        <v>10</v>
      </c>
      <c r="F74">
        <v>39.78</v>
      </c>
      <c r="G74">
        <v>229.83</v>
      </c>
      <c r="H74" s="67">
        <v>44122</v>
      </c>
      <c r="I74" s="67">
        <v>44125</v>
      </c>
      <c r="J74" s="67">
        <v>44125</v>
      </c>
      <c r="K74" t="s">
        <v>1589</v>
      </c>
      <c r="L74" t="s">
        <v>1590</v>
      </c>
      <c r="P74" s="89" t="s">
        <v>1446</v>
      </c>
      <c r="Q74" s="89" t="s">
        <v>1448</v>
      </c>
      <c r="R74" t="s">
        <v>50</v>
      </c>
      <c r="S74" s="89" t="s">
        <v>1586</v>
      </c>
      <c r="U74">
        <f t="shared" si="10"/>
        <v>190.05</v>
      </c>
      <c r="V74" s="233">
        <f t="shared" si="11"/>
        <v>271.5</v>
      </c>
    </row>
    <row r="75" spans="1:24">
      <c r="A75">
        <v>2019</v>
      </c>
      <c r="B75" t="s">
        <v>102</v>
      </c>
      <c r="C75">
        <f>main!C66</f>
        <v>12</v>
      </c>
      <c r="D75">
        <v>4</v>
      </c>
      <c r="E75">
        <v>10</v>
      </c>
      <c r="F75">
        <v>41.24</v>
      </c>
      <c r="G75">
        <v>382.15</v>
      </c>
      <c r="H75" s="67">
        <v>44122</v>
      </c>
      <c r="I75" s="67">
        <v>44125</v>
      </c>
      <c r="J75" s="67">
        <v>44125</v>
      </c>
      <c r="K75" t="s">
        <v>1589</v>
      </c>
      <c r="L75" t="s">
        <v>1590</v>
      </c>
      <c r="P75" s="89" t="s">
        <v>1446</v>
      </c>
      <c r="Q75" s="89" t="s">
        <v>1448</v>
      </c>
      <c r="R75" t="s">
        <v>50</v>
      </c>
      <c r="S75" s="89" t="s">
        <v>1586</v>
      </c>
      <c r="U75">
        <f t="shared" si="10"/>
        <v>340.90999999999997</v>
      </c>
      <c r="V75" s="233">
        <f t="shared" si="11"/>
        <v>487.01428571428562</v>
      </c>
    </row>
    <row r="76" spans="1:24">
      <c r="A76">
        <v>2019</v>
      </c>
      <c r="B76" t="s">
        <v>102</v>
      </c>
      <c r="C76">
        <f>main!C67</f>
        <v>13</v>
      </c>
      <c r="D76">
        <v>4</v>
      </c>
      <c r="E76">
        <v>7</v>
      </c>
      <c r="F76">
        <v>42.27</v>
      </c>
      <c r="G76">
        <v>364.79</v>
      </c>
      <c r="H76" s="67">
        <v>44122</v>
      </c>
      <c r="I76" s="67">
        <v>44125</v>
      </c>
      <c r="J76" s="67">
        <v>44125</v>
      </c>
      <c r="K76" t="s">
        <v>1589</v>
      </c>
      <c r="L76" t="s">
        <v>1590</v>
      </c>
      <c r="P76" s="89" t="s">
        <v>1446</v>
      </c>
      <c r="Q76" s="89" t="s">
        <v>1448</v>
      </c>
      <c r="R76" t="s">
        <v>50</v>
      </c>
      <c r="S76" s="89" t="s">
        <v>1586</v>
      </c>
      <c r="U76">
        <f t="shared" si="10"/>
        <v>322.52000000000004</v>
      </c>
      <c r="V76" s="233">
        <f>((U76+U77)/7)*10</f>
        <v>820.12857142857138</v>
      </c>
      <c r="W76" s="66">
        <f>U76/4</f>
        <v>80.63000000000001</v>
      </c>
      <c r="X76" s="283">
        <f>ABS(W76-W77)</f>
        <v>3.2266666666666595</v>
      </c>
    </row>
    <row r="77" spans="1:24">
      <c r="A77">
        <v>2019</v>
      </c>
      <c r="B77" t="s">
        <v>102</v>
      </c>
      <c r="C77" t="s">
        <v>1437</v>
      </c>
      <c r="D77">
        <v>8</v>
      </c>
      <c r="E77">
        <v>10</v>
      </c>
      <c r="F77">
        <v>42.36</v>
      </c>
      <c r="G77">
        <v>293.93</v>
      </c>
      <c r="H77" s="67">
        <v>44122</v>
      </c>
      <c r="I77" s="67">
        <v>44125</v>
      </c>
      <c r="J77" s="67">
        <v>44125</v>
      </c>
      <c r="K77" t="s">
        <v>1589</v>
      </c>
      <c r="L77" t="s">
        <v>1590</v>
      </c>
      <c r="P77" s="89" t="s">
        <v>1446</v>
      </c>
      <c r="Q77" s="89" t="s">
        <v>1448</v>
      </c>
      <c r="R77" t="s">
        <v>50</v>
      </c>
      <c r="S77" s="89" t="s">
        <v>1586</v>
      </c>
      <c r="U77">
        <f t="shared" si="10"/>
        <v>251.57</v>
      </c>
      <c r="W77" s="66">
        <f>U77/3</f>
        <v>83.856666666666669</v>
      </c>
      <c r="X77" s="284">
        <f>X76/SUM(U76,U77)</f>
        <v>5.6204892380404799E-3</v>
      </c>
    </row>
    <row r="78" spans="1:24">
      <c r="A78">
        <v>2019</v>
      </c>
      <c r="B78" t="s">
        <v>102</v>
      </c>
      <c r="C78">
        <f>main!C68</f>
        <v>14</v>
      </c>
      <c r="D78">
        <v>4</v>
      </c>
      <c r="E78">
        <v>10</v>
      </c>
      <c r="F78">
        <v>39.659999999999997</v>
      </c>
      <c r="G78">
        <v>524.16</v>
      </c>
      <c r="H78" s="67">
        <v>44122</v>
      </c>
      <c r="I78" s="67">
        <v>44125</v>
      </c>
      <c r="J78" s="67">
        <v>44125</v>
      </c>
      <c r="K78" t="s">
        <v>1589</v>
      </c>
      <c r="L78" t="s">
        <v>1590</v>
      </c>
      <c r="P78" s="89" t="s">
        <v>1446</v>
      </c>
      <c r="Q78" s="89" t="s">
        <v>1448</v>
      </c>
      <c r="R78" t="s">
        <v>50</v>
      </c>
      <c r="S78" s="89" t="s">
        <v>1586</v>
      </c>
      <c r="U78">
        <f t="shared" si="10"/>
        <v>484.5</v>
      </c>
      <c r="V78" s="233">
        <f t="shared" ref="V78:V79" si="12">((U78)/7)*10</f>
        <v>692.14285714285711</v>
      </c>
    </row>
    <row r="79" spans="1:24">
      <c r="A79">
        <v>2019</v>
      </c>
      <c r="B79" t="s">
        <v>102</v>
      </c>
      <c r="C79">
        <f>main!C69</f>
        <v>15</v>
      </c>
      <c r="D79">
        <v>4</v>
      </c>
      <c r="E79">
        <v>10</v>
      </c>
      <c r="F79">
        <v>40.14</v>
      </c>
      <c r="G79">
        <v>487.8</v>
      </c>
      <c r="H79" s="67">
        <v>44122</v>
      </c>
      <c r="I79" s="67">
        <v>44125</v>
      </c>
      <c r="J79" s="67">
        <v>44125</v>
      </c>
      <c r="K79" t="s">
        <v>1589</v>
      </c>
      <c r="L79" t="s">
        <v>1590</v>
      </c>
      <c r="P79" s="89" t="s">
        <v>1446</v>
      </c>
      <c r="Q79" s="89" t="s">
        <v>1448</v>
      </c>
      <c r="R79" t="s">
        <v>50</v>
      </c>
      <c r="S79" s="89" t="s">
        <v>1586</v>
      </c>
      <c r="U79">
        <f t="shared" si="10"/>
        <v>447.66</v>
      </c>
      <c r="V79" s="233">
        <f t="shared" si="12"/>
        <v>639.51428571428573</v>
      </c>
    </row>
    <row r="80" spans="1:24">
      <c r="A80">
        <v>2019</v>
      </c>
      <c r="B80" t="s">
        <v>102</v>
      </c>
      <c r="C80">
        <f>main!C70</f>
        <v>16</v>
      </c>
      <c r="D80">
        <v>4</v>
      </c>
      <c r="E80">
        <v>7</v>
      </c>
      <c r="F80">
        <v>40.33</v>
      </c>
      <c r="G80">
        <v>568.41999999999996</v>
      </c>
      <c r="H80" s="67">
        <v>44122</v>
      </c>
      <c r="I80" s="67">
        <v>44125</v>
      </c>
      <c r="J80" s="67">
        <v>44125</v>
      </c>
      <c r="K80" t="s">
        <v>1589</v>
      </c>
      <c r="L80" t="s">
        <v>1590</v>
      </c>
      <c r="P80" s="89" t="s">
        <v>1446</v>
      </c>
      <c r="Q80" s="89" t="s">
        <v>1448</v>
      </c>
      <c r="R80" t="s">
        <v>50</v>
      </c>
      <c r="S80" s="89" t="s">
        <v>1586</v>
      </c>
      <c r="U80">
        <f t="shared" si="10"/>
        <v>528.08999999999992</v>
      </c>
      <c r="V80" s="233">
        <f>((U80+U81)/7)*10</f>
        <v>1350.5285714285715</v>
      </c>
      <c r="W80" s="66">
        <f>U80/4</f>
        <v>132.02249999999998</v>
      </c>
      <c r="X80" s="283">
        <f>ABS(W80-W81)</f>
        <v>7.0708333333333542</v>
      </c>
    </row>
    <row r="81" spans="1:24">
      <c r="A81">
        <v>2019</v>
      </c>
      <c r="B81" t="s">
        <v>102</v>
      </c>
      <c r="C81" t="s">
        <v>1587</v>
      </c>
      <c r="D81">
        <v>8</v>
      </c>
      <c r="E81">
        <v>10</v>
      </c>
      <c r="F81">
        <v>40.42</v>
      </c>
      <c r="G81">
        <v>457.7</v>
      </c>
      <c r="H81" s="67">
        <v>44122</v>
      </c>
      <c r="I81" s="67">
        <v>44125</v>
      </c>
      <c r="J81" s="67">
        <v>44125</v>
      </c>
      <c r="K81" t="s">
        <v>1589</v>
      </c>
      <c r="L81" t="s">
        <v>1590</v>
      </c>
      <c r="P81" s="89" t="s">
        <v>1446</v>
      </c>
      <c r="Q81" s="89" t="s">
        <v>1448</v>
      </c>
      <c r="R81" t="s">
        <v>50</v>
      </c>
      <c r="S81" s="89" t="s">
        <v>1586</v>
      </c>
      <c r="U81">
        <f t="shared" si="10"/>
        <v>417.28</v>
      </c>
      <c r="W81" s="66">
        <f>U81/3</f>
        <v>139.09333333333333</v>
      </c>
      <c r="X81" s="284">
        <f>X80/SUM(U80,U81)</f>
        <v>7.4794348597198501E-3</v>
      </c>
    </row>
    <row r="82" spans="1:24">
      <c r="A82">
        <v>2019</v>
      </c>
      <c r="B82" t="s">
        <v>102</v>
      </c>
      <c r="C82">
        <f>main!C71</f>
        <v>17</v>
      </c>
      <c r="D82">
        <v>4</v>
      </c>
      <c r="E82">
        <v>7</v>
      </c>
      <c r="F82">
        <v>39.68</v>
      </c>
      <c r="G82">
        <v>356.5</v>
      </c>
      <c r="H82" s="67">
        <v>44122</v>
      </c>
      <c r="I82" s="67">
        <v>44125</v>
      </c>
      <c r="J82" s="67">
        <v>44125</v>
      </c>
      <c r="K82" t="s">
        <v>1589</v>
      </c>
      <c r="L82" t="s">
        <v>1590</v>
      </c>
      <c r="P82" s="89" t="s">
        <v>1446</v>
      </c>
      <c r="Q82" s="89" t="s">
        <v>1448</v>
      </c>
      <c r="R82" t="s">
        <v>50</v>
      </c>
      <c r="S82" s="89" t="s">
        <v>1586</v>
      </c>
      <c r="U82">
        <f t="shared" si="10"/>
        <v>316.82</v>
      </c>
      <c r="V82" s="233">
        <f>((U82+U83)/7)*10</f>
        <v>801.0428571428572</v>
      </c>
      <c r="W82" s="66">
        <f>U82/4</f>
        <v>79.204999999999998</v>
      </c>
      <c r="X82" s="283">
        <f>ABS(W82-W83)</f>
        <v>2.0983333333333292</v>
      </c>
    </row>
    <row r="83" spans="1:24">
      <c r="A83">
        <v>2019</v>
      </c>
      <c r="B83" t="s">
        <v>102</v>
      </c>
      <c r="C83" t="s">
        <v>1588</v>
      </c>
      <c r="D83">
        <v>8</v>
      </c>
      <c r="E83">
        <v>10</v>
      </c>
      <c r="F83">
        <v>38.74</v>
      </c>
      <c r="G83">
        <v>282.64999999999998</v>
      </c>
      <c r="H83" s="67">
        <v>44122</v>
      </c>
      <c r="I83" s="67">
        <v>44125</v>
      </c>
      <c r="J83" s="67">
        <v>44125</v>
      </c>
      <c r="K83" t="s">
        <v>1589</v>
      </c>
      <c r="L83" t="s">
        <v>1590</v>
      </c>
      <c r="P83" s="89" t="s">
        <v>1446</v>
      </c>
      <c r="Q83" s="89" t="s">
        <v>1448</v>
      </c>
      <c r="R83" t="s">
        <v>50</v>
      </c>
      <c r="S83" s="89" t="s">
        <v>1586</v>
      </c>
      <c r="U83">
        <f t="shared" si="10"/>
        <v>243.90999999999997</v>
      </c>
      <c r="W83" s="66">
        <f>U83/3</f>
        <v>81.303333333333327</v>
      </c>
      <c r="X83" s="284">
        <f>X82/SUM(U82,U83)</f>
        <v>3.7421456553659144E-3</v>
      </c>
    </row>
    <row r="84" spans="1:24">
      <c r="A84">
        <v>2019</v>
      </c>
      <c r="B84" t="s">
        <v>102</v>
      </c>
      <c r="C84">
        <f>main!C72</f>
        <v>18</v>
      </c>
      <c r="D84">
        <v>4</v>
      </c>
      <c r="E84">
        <v>7</v>
      </c>
      <c r="F84">
        <v>39.79</v>
      </c>
      <c r="G84">
        <v>292.97000000000003</v>
      </c>
      <c r="H84" s="67">
        <v>44122</v>
      </c>
      <c r="I84" s="67">
        <v>44125</v>
      </c>
      <c r="J84" s="67">
        <v>44125</v>
      </c>
      <c r="K84" t="s">
        <v>1589</v>
      </c>
      <c r="L84" t="s">
        <v>1590</v>
      </c>
      <c r="P84" s="89" t="s">
        <v>1446</v>
      </c>
      <c r="Q84" s="89" t="s">
        <v>1448</v>
      </c>
      <c r="R84" t="s">
        <v>50</v>
      </c>
      <c r="S84" s="89" t="s">
        <v>1586</v>
      </c>
      <c r="U84">
        <f t="shared" si="10"/>
        <v>253.18000000000004</v>
      </c>
      <c r="V84" s="233">
        <f>((U84+U85)/7)*10</f>
        <v>649.40000000000009</v>
      </c>
      <c r="W84" s="66">
        <f>U84/4</f>
        <v>63.295000000000009</v>
      </c>
      <c r="X84" s="283">
        <f>ABS(W84-W85)</f>
        <v>3.8383333333333312</v>
      </c>
    </row>
    <row r="85" spans="1:24">
      <c r="A85">
        <v>2019</v>
      </c>
      <c r="B85" t="s">
        <v>102</v>
      </c>
      <c r="C85" t="s">
        <v>1441</v>
      </c>
      <c r="D85">
        <v>8</v>
      </c>
      <c r="E85">
        <v>10</v>
      </c>
      <c r="F85">
        <v>40.22</v>
      </c>
      <c r="G85">
        <v>241.62</v>
      </c>
      <c r="H85" s="67">
        <v>44122</v>
      </c>
      <c r="I85" s="67">
        <v>44125</v>
      </c>
      <c r="J85" s="67">
        <v>44125</v>
      </c>
      <c r="K85" t="s">
        <v>1589</v>
      </c>
      <c r="L85" t="s">
        <v>1590</v>
      </c>
      <c r="P85" s="89" t="s">
        <v>1446</v>
      </c>
      <c r="Q85" s="89" t="s">
        <v>1448</v>
      </c>
      <c r="R85" t="s">
        <v>50</v>
      </c>
      <c r="S85" s="89" t="s">
        <v>1586</v>
      </c>
      <c r="U85">
        <f t="shared" si="10"/>
        <v>201.4</v>
      </c>
      <c r="W85" s="66">
        <f>U85/3</f>
        <v>67.13333333333334</v>
      </c>
      <c r="X85" s="284">
        <f>X84/SUM(U84,U85)</f>
        <v>8.4436916127707574E-3</v>
      </c>
    </row>
    <row r="86" spans="1:24">
      <c r="A86">
        <v>2019</v>
      </c>
      <c r="B86" t="s">
        <v>102</v>
      </c>
      <c r="C86">
        <f>main!C73</f>
        <v>19</v>
      </c>
      <c r="D86">
        <v>4</v>
      </c>
      <c r="E86">
        <v>7</v>
      </c>
      <c r="F86">
        <v>40.76</v>
      </c>
      <c r="G86">
        <v>395.16</v>
      </c>
      <c r="H86" s="67">
        <v>44122</v>
      </c>
      <c r="I86" s="67">
        <v>44125</v>
      </c>
      <c r="J86" s="67">
        <v>44125</v>
      </c>
      <c r="K86" t="s">
        <v>1589</v>
      </c>
      <c r="L86" t="s">
        <v>1590</v>
      </c>
      <c r="P86" s="89" t="s">
        <v>1446</v>
      </c>
      <c r="Q86" s="89" t="s">
        <v>1448</v>
      </c>
      <c r="R86" t="s">
        <v>50</v>
      </c>
      <c r="S86" s="89" t="s">
        <v>1586</v>
      </c>
      <c r="U86">
        <f t="shared" si="10"/>
        <v>354.40000000000003</v>
      </c>
      <c r="V86" s="233">
        <f>((U86+U87)/7)*10</f>
        <v>869.64285714285711</v>
      </c>
      <c r="W86" s="66">
        <f>U86/4</f>
        <v>88.600000000000009</v>
      </c>
      <c r="X86" s="283">
        <f>ABS(W86-W87)</f>
        <v>3.8166666666666629</v>
      </c>
    </row>
    <row r="87" spans="1:24">
      <c r="A87">
        <v>2019</v>
      </c>
      <c r="B87" t="s">
        <v>102</v>
      </c>
      <c r="C87" t="s">
        <v>1442</v>
      </c>
      <c r="D87">
        <v>8</v>
      </c>
      <c r="E87">
        <v>10</v>
      </c>
      <c r="F87">
        <v>40</v>
      </c>
      <c r="G87">
        <v>294.35000000000002</v>
      </c>
      <c r="H87" s="67">
        <v>44122</v>
      </c>
      <c r="I87" s="67">
        <v>44125</v>
      </c>
      <c r="J87" s="67">
        <v>44125</v>
      </c>
      <c r="K87" t="s">
        <v>1589</v>
      </c>
      <c r="L87" t="s">
        <v>1590</v>
      </c>
      <c r="P87" s="89" t="s">
        <v>1446</v>
      </c>
      <c r="Q87" s="89" t="s">
        <v>1448</v>
      </c>
      <c r="R87" t="s">
        <v>50</v>
      </c>
      <c r="S87" s="89" t="s">
        <v>1586</v>
      </c>
      <c r="U87">
        <f t="shared" si="10"/>
        <v>254.35000000000002</v>
      </c>
      <c r="W87" s="66">
        <f>U87/3</f>
        <v>84.783333333333346</v>
      </c>
      <c r="X87" s="284">
        <f>X86/SUM(U86,U87)</f>
        <v>6.2696783025325059E-3</v>
      </c>
    </row>
    <row r="88" spans="1:24">
      <c r="A88">
        <v>2019</v>
      </c>
      <c r="B88" t="s">
        <v>102</v>
      </c>
      <c r="C88">
        <f>main!C74</f>
        <v>20</v>
      </c>
      <c r="D88">
        <v>4</v>
      </c>
      <c r="E88">
        <v>7</v>
      </c>
      <c r="F88">
        <v>39.17</v>
      </c>
      <c r="G88">
        <v>327.68</v>
      </c>
      <c r="H88" s="67">
        <v>44122</v>
      </c>
      <c r="I88" s="67">
        <v>44125</v>
      </c>
      <c r="J88" s="67">
        <v>44125</v>
      </c>
      <c r="K88" t="s">
        <v>1589</v>
      </c>
      <c r="L88" t="s">
        <v>1590</v>
      </c>
      <c r="P88" s="89" t="s">
        <v>1446</v>
      </c>
      <c r="Q88" s="89" t="s">
        <v>1448</v>
      </c>
      <c r="R88" t="s">
        <v>50</v>
      </c>
      <c r="S88" s="89" t="s">
        <v>1586</v>
      </c>
      <c r="U88">
        <f t="shared" si="10"/>
        <v>288.51</v>
      </c>
      <c r="V88" s="233">
        <f>((U88+U89)/7)*10</f>
        <v>712.12857142857149</v>
      </c>
      <c r="W88" s="66">
        <f>U88/4</f>
        <v>72.127499999999998</v>
      </c>
      <c r="X88" s="283">
        <f>ABS(W88-W89)</f>
        <v>2.1341666666666725</v>
      </c>
    </row>
    <row r="89" spans="1:24">
      <c r="A89">
        <v>2019</v>
      </c>
      <c r="B89" t="s">
        <v>102</v>
      </c>
      <c r="C89" t="s">
        <v>1443</v>
      </c>
      <c r="D89">
        <v>8</v>
      </c>
      <c r="E89">
        <v>10</v>
      </c>
      <c r="F89">
        <v>40.06</v>
      </c>
      <c r="G89">
        <v>250.04</v>
      </c>
      <c r="H89" s="67">
        <v>44122</v>
      </c>
      <c r="I89" s="67">
        <v>44125</v>
      </c>
      <c r="J89" s="67">
        <v>44125</v>
      </c>
      <c r="K89" t="s">
        <v>1589</v>
      </c>
      <c r="L89" t="s">
        <v>1590</v>
      </c>
      <c r="P89" s="89" t="s">
        <v>1446</v>
      </c>
      <c r="Q89" s="89" t="s">
        <v>1448</v>
      </c>
      <c r="R89" t="s">
        <v>50</v>
      </c>
      <c r="S89" s="89" t="s">
        <v>1586</v>
      </c>
      <c r="U89">
        <f t="shared" si="10"/>
        <v>209.98</v>
      </c>
      <c r="W89" s="66">
        <f>U89/3</f>
        <v>69.993333333333325</v>
      </c>
      <c r="X89" s="284">
        <f>X88/SUM(U88,U89)</f>
        <v>4.2812627468287682E-3</v>
      </c>
    </row>
    <row r="90" spans="1:24">
      <c r="A90">
        <v>2019</v>
      </c>
      <c r="B90" t="s">
        <v>102</v>
      </c>
      <c r="C90">
        <f>main!C75</f>
        <v>21</v>
      </c>
      <c r="D90">
        <v>4</v>
      </c>
      <c r="E90">
        <v>7</v>
      </c>
      <c r="F90">
        <v>39.450000000000003</v>
      </c>
      <c r="G90">
        <v>205.88</v>
      </c>
      <c r="H90" s="67">
        <v>44122</v>
      </c>
      <c r="I90" s="67">
        <v>44125</v>
      </c>
      <c r="J90" s="67">
        <v>44125</v>
      </c>
      <c r="K90" t="s">
        <v>1589</v>
      </c>
      <c r="L90" t="s">
        <v>1590</v>
      </c>
      <c r="P90" s="89" t="s">
        <v>1446</v>
      </c>
      <c r="Q90" s="89" t="s">
        <v>1448</v>
      </c>
      <c r="R90" t="s">
        <v>50</v>
      </c>
      <c r="S90" s="89" t="s">
        <v>1586</v>
      </c>
      <c r="U90">
        <f t="shared" si="10"/>
        <v>166.43</v>
      </c>
      <c r="V90" s="233">
        <f>((U90+U91)/7)*10</f>
        <v>424.35714285714289</v>
      </c>
      <c r="W90" s="66">
        <f>U90/4</f>
        <v>41.607500000000002</v>
      </c>
      <c r="X90" s="283">
        <f>ABS(W90-W91)</f>
        <v>1.9324999999999974</v>
      </c>
    </row>
    <row r="91" spans="1:24">
      <c r="A91">
        <v>2019</v>
      </c>
      <c r="B91" t="s">
        <v>102</v>
      </c>
      <c r="C91" t="s">
        <v>1444</v>
      </c>
      <c r="D91">
        <v>8</v>
      </c>
      <c r="E91">
        <v>10</v>
      </c>
      <c r="F91">
        <v>38.76</v>
      </c>
      <c r="G91">
        <v>169.38</v>
      </c>
      <c r="H91" s="67">
        <v>44122</v>
      </c>
      <c r="I91" s="67">
        <v>44125</v>
      </c>
      <c r="J91" s="67">
        <v>44125</v>
      </c>
      <c r="K91" t="s">
        <v>1589</v>
      </c>
      <c r="L91" t="s">
        <v>1590</v>
      </c>
      <c r="P91" s="89" t="s">
        <v>1446</v>
      </c>
      <c r="Q91" s="89" t="s">
        <v>1448</v>
      </c>
      <c r="R91" t="s">
        <v>50</v>
      </c>
      <c r="S91" s="89" t="s">
        <v>1586</v>
      </c>
      <c r="U91">
        <f t="shared" si="10"/>
        <v>130.62</v>
      </c>
      <c r="W91" s="66">
        <f>U91/3</f>
        <v>43.54</v>
      </c>
      <c r="X91" s="284">
        <f>X90/SUM(U90,U91)</f>
        <v>6.505638781349932E-3</v>
      </c>
    </row>
  </sheetData>
  <conditionalFormatting sqref="U1:U4">
    <cfRule type="cellIs" dxfId="0" priority="1" operator="lessThan">
      <formula>10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7A60-B94E-45F9-8567-F574EFB1599C}">
  <dimension ref="A1:AF113"/>
  <sheetViews>
    <sheetView zoomScale="80" zoomScaleNormal="80" workbookViewId="0">
      <selection activeCell="T97" sqref="T97"/>
    </sheetView>
  </sheetViews>
  <sheetFormatPr defaultRowHeight="14.5"/>
  <cols>
    <col min="2" max="2" width="11.81640625" bestFit="1" customWidth="1"/>
    <col min="21" max="21" width="10.26953125" bestFit="1" customWidth="1"/>
    <col min="22" max="22" width="23.1796875" bestFit="1" customWidth="1"/>
  </cols>
  <sheetData>
    <row r="1" spans="1:14" ht="15.5">
      <c r="A1" s="227" t="s">
        <v>1678</v>
      </c>
      <c r="B1" s="227"/>
    </row>
    <row r="2" spans="1:14">
      <c r="F2" s="304" t="s">
        <v>1679</v>
      </c>
      <c r="G2" s="304" t="s">
        <v>1679</v>
      </c>
      <c r="H2" s="304" t="s">
        <v>1427</v>
      </c>
      <c r="I2" s="305"/>
      <c r="J2" s="306"/>
    </row>
    <row r="3" spans="1:14">
      <c r="A3" s="297" t="s">
        <v>20</v>
      </c>
      <c r="B3" s="297" t="s">
        <v>1683</v>
      </c>
      <c r="C3" s="298" t="s">
        <v>156</v>
      </c>
      <c r="D3" s="299" t="s">
        <v>157</v>
      </c>
      <c r="E3" s="298" t="s">
        <v>158</v>
      </c>
      <c r="F3" s="219" t="s">
        <v>1680</v>
      </c>
      <c r="G3" s="219" t="s">
        <v>30</v>
      </c>
      <c r="H3" s="219" t="s">
        <v>175</v>
      </c>
      <c r="I3" s="307" t="s">
        <v>1702</v>
      </c>
    </row>
    <row r="4" spans="1:14">
      <c r="A4" s="312" t="s">
        <v>1681</v>
      </c>
      <c r="B4" s="317" t="s">
        <v>1682</v>
      </c>
      <c r="C4" s="318"/>
      <c r="D4" s="319"/>
      <c r="E4" s="318"/>
      <c r="F4" s="320"/>
      <c r="G4" s="320"/>
      <c r="H4" s="320"/>
      <c r="I4" s="308"/>
      <c r="L4" s="76"/>
      <c r="M4" s="76"/>
      <c r="N4" s="324"/>
    </row>
    <row r="5" spans="1:14">
      <c r="A5" s="300" t="s">
        <v>1591</v>
      </c>
      <c r="B5" s="309">
        <v>2719.8</v>
      </c>
      <c r="C5" s="301">
        <v>16.493982315063477</v>
      </c>
      <c r="D5" s="302">
        <v>1.4027091264724731</v>
      </c>
      <c r="E5" s="301">
        <v>1.6053479909896851</v>
      </c>
      <c r="F5" s="315">
        <v>2019</v>
      </c>
      <c r="G5" s="315" t="s">
        <v>98</v>
      </c>
      <c r="H5" s="315">
        <v>1</v>
      </c>
      <c r="I5">
        <f t="shared" ref="I5:I16" si="0">C5/E5</f>
        <v>10.274396833358891</v>
      </c>
      <c r="L5" s="76"/>
      <c r="M5" s="76"/>
    </row>
    <row r="6" spans="1:14">
      <c r="A6" s="326" t="s">
        <v>1592</v>
      </c>
      <c r="B6" s="327">
        <v>2695.2</v>
      </c>
      <c r="C6" s="328">
        <v>15.471473693847656</v>
      </c>
      <c r="D6" s="329">
        <v>1.3047398328781128</v>
      </c>
      <c r="E6" s="328">
        <v>1.377947211265564</v>
      </c>
      <c r="F6" s="330">
        <v>2019</v>
      </c>
      <c r="G6" s="330" t="s">
        <v>98</v>
      </c>
      <c r="H6" s="327" t="s">
        <v>1684</v>
      </c>
      <c r="I6" s="331">
        <f t="shared" si="0"/>
        <v>11.2279146598352</v>
      </c>
      <c r="L6" s="325"/>
      <c r="M6" s="325"/>
    </row>
    <row r="7" spans="1:14">
      <c r="A7" s="300" t="s">
        <v>1593</v>
      </c>
      <c r="B7" s="310">
        <v>3678.2</v>
      </c>
      <c r="C7" s="301">
        <v>14.961239814758301</v>
      </c>
      <c r="D7" s="302">
        <v>0.94896554946899414</v>
      </c>
      <c r="E7" s="301">
        <v>1.1001783609390259</v>
      </c>
      <c r="F7" s="315">
        <v>2019</v>
      </c>
      <c r="G7" s="315" t="s">
        <v>98</v>
      </c>
      <c r="H7" s="310">
        <v>3</v>
      </c>
      <c r="I7">
        <f t="shared" si="0"/>
        <v>13.598922089313374</v>
      </c>
    </row>
    <row r="8" spans="1:14">
      <c r="A8" s="300" t="s">
        <v>1594</v>
      </c>
      <c r="B8" s="310">
        <v>2295.9</v>
      </c>
      <c r="C8" s="301">
        <v>15.094412803649902</v>
      </c>
      <c r="D8" s="302">
        <v>1.3163539171218872</v>
      </c>
      <c r="E8" s="301">
        <v>1.3729462623596191</v>
      </c>
      <c r="F8" s="315">
        <v>2019</v>
      </c>
      <c r="G8" s="315" t="s">
        <v>98</v>
      </c>
      <c r="H8" s="310">
        <v>4</v>
      </c>
      <c r="I8">
        <f t="shared" si="0"/>
        <v>10.994175968480976</v>
      </c>
      <c r="J8" s="330" t="s">
        <v>98</v>
      </c>
      <c r="K8" s="327">
        <v>2</v>
      </c>
      <c r="L8" s="76" t="s">
        <v>1705</v>
      </c>
      <c r="M8" s="76"/>
      <c r="N8" s="76"/>
    </row>
    <row r="9" spans="1:14">
      <c r="A9" s="300" t="s">
        <v>1595</v>
      </c>
      <c r="B9" s="310">
        <v>2374.1999999999998</v>
      </c>
      <c r="C9" s="301">
        <v>15.571017265319824</v>
      </c>
      <c r="D9" s="302">
        <v>1.2891032695770264</v>
      </c>
      <c r="E9" s="301">
        <v>1.3772218227386475</v>
      </c>
      <c r="F9" s="315">
        <v>2019</v>
      </c>
      <c r="G9" s="315" t="s">
        <v>98</v>
      </c>
      <c r="H9" s="310">
        <v>5</v>
      </c>
      <c r="I9">
        <f t="shared" si="0"/>
        <v>11.306106981630878</v>
      </c>
      <c r="L9" s="76" t="s">
        <v>1703</v>
      </c>
      <c r="M9" s="76" t="s">
        <v>1704</v>
      </c>
      <c r="N9" s="76"/>
    </row>
    <row r="10" spans="1:14">
      <c r="A10" s="300" t="s">
        <v>1596</v>
      </c>
      <c r="B10" s="310">
        <v>3322.2</v>
      </c>
      <c r="C10" s="301">
        <v>15.029834747314453</v>
      </c>
      <c r="D10" s="302">
        <v>1.364091157913208</v>
      </c>
      <c r="E10" s="301">
        <v>1.3040809631347656</v>
      </c>
      <c r="F10" s="315">
        <v>2019</v>
      </c>
      <c r="G10" s="315" t="s">
        <v>98</v>
      </c>
      <c r="H10" s="310">
        <v>6</v>
      </c>
      <c r="I10">
        <f t="shared" si="0"/>
        <v>11.525231310167701</v>
      </c>
      <c r="K10" t="s">
        <v>210</v>
      </c>
      <c r="L10" s="334">
        <f>((E6-E16)/AVERAGE(E6,E16))*100</f>
        <v>-1.0213976217367047</v>
      </c>
      <c r="M10" s="334">
        <f>((C6-C16)/AVERAGE(C6,C16))*100</f>
        <v>0.32796679940454876</v>
      </c>
    </row>
    <row r="11" spans="1:14">
      <c r="A11" s="300" t="s">
        <v>1597</v>
      </c>
      <c r="B11" s="310">
        <v>2845.1</v>
      </c>
      <c r="C11" s="301">
        <v>17.541290283203125</v>
      </c>
      <c r="D11" s="302">
        <v>1.6977771520614624</v>
      </c>
      <c r="E11" s="301">
        <v>1.9773457050323486</v>
      </c>
      <c r="F11" s="315">
        <v>2019</v>
      </c>
      <c r="G11" s="315" t="s">
        <v>98</v>
      </c>
      <c r="H11" s="310">
        <v>7</v>
      </c>
      <c r="I11">
        <f t="shared" si="0"/>
        <v>8.8711297364747637</v>
      </c>
      <c r="L11" s="105"/>
    </row>
    <row r="12" spans="1:14">
      <c r="A12" s="300" t="s">
        <v>1598</v>
      </c>
      <c r="B12" s="310">
        <v>2591.1999999999998</v>
      </c>
      <c r="C12" s="301">
        <v>19.502628326416016</v>
      </c>
      <c r="D12" s="302">
        <v>2.0063951015472412</v>
      </c>
      <c r="E12" s="301">
        <v>2.8569262027740479</v>
      </c>
      <c r="F12" s="315">
        <v>2019</v>
      </c>
      <c r="G12" s="315" t="s">
        <v>98</v>
      </c>
      <c r="H12" s="310">
        <v>8</v>
      </c>
      <c r="I12">
        <f t="shared" si="0"/>
        <v>6.826437556377603</v>
      </c>
    </row>
    <row r="13" spans="1:14">
      <c r="A13" s="300" t="s">
        <v>1599</v>
      </c>
      <c r="B13" s="310">
        <v>2459.8000000000002</v>
      </c>
      <c r="C13" s="301">
        <v>22.682868957519531</v>
      </c>
      <c r="D13" s="302">
        <v>2.7638511657714844</v>
      </c>
      <c r="E13" s="301">
        <v>3.4354841709136963</v>
      </c>
      <c r="F13" s="315">
        <v>2019</v>
      </c>
      <c r="G13" s="315" t="s">
        <v>98</v>
      </c>
      <c r="H13" s="310">
        <v>9</v>
      </c>
      <c r="I13">
        <f t="shared" si="0"/>
        <v>6.6025246600064609</v>
      </c>
    </row>
    <row r="14" spans="1:14">
      <c r="A14" s="300" t="s">
        <v>1600</v>
      </c>
      <c r="B14" s="310">
        <v>2528.9</v>
      </c>
      <c r="C14" s="301">
        <v>16.158702850341797</v>
      </c>
      <c r="D14" s="302">
        <v>1.3664209842681885</v>
      </c>
      <c r="E14" s="301">
        <v>1.6685749292373657</v>
      </c>
      <c r="F14" s="315">
        <v>2019</v>
      </c>
      <c r="G14" s="315" t="s">
        <v>98</v>
      </c>
      <c r="H14" s="310">
        <v>10</v>
      </c>
      <c r="I14">
        <f t="shared" si="0"/>
        <v>9.6841337881824998</v>
      </c>
    </row>
    <row r="15" spans="1:14" ht="15" thickBot="1">
      <c r="A15" s="300" t="s">
        <v>1601</v>
      </c>
      <c r="B15" s="311">
        <v>2788.2</v>
      </c>
      <c r="C15" s="301">
        <v>14.976724624633789</v>
      </c>
      <c r="D15" s="302">
        <v>1.099612832069397</v>
      </c>
      <c r="E15" s="301">
        <v>1.2329243421554565</v>
      </c>
      <c r="F15" s="316">
        <v>2019</v>
      </c>
      <c r="G15" s="316" t="s">
        <v>98</v>
      </c>
      <c r="H15" s="311">
        <v>11</v>
      </c>
      <c r="I15">
        <f t="shared" si="0"/>
        <v>12.147318462745874</v>
      </c>
    </row>
    <row r="16" spans="1:14" ht="15" thickTop="1">
      <c r="A16" s="326" t="s">
        <v>1602</v>
      </c>
      <c r="B16" s="332">
        <v>3163.6</v>
      </c>
      <c r="C16" s="328">
        <v>15.420815467834473</v>
      </c>
      <c r="D16" s="329">
        <v>1.3661191463470459</v>
      </c>
      <c r="E16" s="328">
        <v>1.3920937776565552</v>
      </c>
      <c r="F16" s="333">
        <v>2019</v>
      </c>
      <c r="G16" s="333" t="s">
        <v>98</v>
      </c>
      <c r="H16" s="332" t="s">
        <v>1685</v>
      </c>
      <c r="I16" s="331">
        <f t="shared" si="0"/>
        <v>11.077425756326424</v>
      </c>
    </row>
    <row r="17" spans="1:14">
      <c r="A17" s="312" t="s">
        <v>1603</v>
      </c>
      <c r="B17" s="312"/>
      <c r="C17" s="313"/>
      <c r="D17" s="314"/>
      <c r="E17" s="313"/>
      <c r="F17" s="303"/>
    </row>
    <row r="18" spans="1:14">
      <c r="A18" s="300" t="s">
        <v>1604</v>
      </c>
      <c r="B18" s="310">
        <v>3381.2</v>
      </c>
      <c r="C18" s="301">
        <v>14.551158905029297</v>
      </c>
      <c r="D18" s="302">
        <v>0.97580194473266602</v>
      </c>
      <c r="E18" s="301">
        <v>0.97431081533432007</v>
      </c>
      <c r="F18" s="315">
        <v>2019</v>
      </c>
      <c r="G18" s="315" t="s">
        <v>98</v>
      </c>
      <c r="H18" s="310">
        <v>12</v>
      </c>
      <c r="I18">
        <f t="shared" ref="I18:I29" si="1">C18/E18</f>
        <v>14.934822313387013</v>
      </c>
    </row>
    <row r="19" spans="1:14">
      <c r="A19" s="300" t="s">
        <v>1605</v>
      </c>
      <c r="B19" s="310">
        <v>2522.3000000000002</v>
      </c>
      <c r="C19" s="301">
        <v>13.037094116210938</v>
      </c>
      <c r="D19" s="302">
        <v>0.62588435411453247</v>
      </c>
      <c r="E19" s="301">
        <v>0.55354195833206177</v>
      </c>
      <c r="F19" s="315">
        <v>2019</v>
      </c>
      <c r="G19" s="315" t="s">
        <v>98</v>
      </c>
      <c r="H19" s="310">
        <v>13</v>
      </c>
      <c r="I19">
        <f t="shared" si="1"/>
        <v>23.552133528403957</v>
      </c>
    </row>
    <row r="20" spans="1:14">
      <c r="A20" s="335" t="s">
        <v>1606</v>
      </c>
      <c r="B20" s="336">
        <v>2117.6</v>
      </c>
      <c r="C20" s="337">
        <v>12.729029655456543</v>
      </c>
      <c r="D20" s="338">
        <v>0.56830841302871704</v>
      </c>
      <c r="E20" s="337">
        <v>0.57681554555892944</v>
      </c>
      <c r="F20" s="339">
        <v>2019</v>
      </c>
      <c r="G20" s="339" t="s">
        <v>98</v>
      </c>
      <c r="H20" s="336" t="s">
        <v>1686</v>
      </c>
      <c r="I20" s="340">
        <f t="shared" si="1"/>
        <v>22.067764562624991</v>
      </c>
      <c r="J20" s="339" t="s">
        <v>98</v>
      </c>
      <c r="K20" s="336">
        <v>14</v>
      </c>
      <c r="L20" s="76" t="s">
        <v>1705</v>
      </c>
      <c r="M20" s="76"/>
      <c r="N20" s="76"/>
    </row>
    <row r="21" spans="1:14">
      <c r="A21" s="335" t="s">
        <v>1607</v>
      </c>
      <c r="B21" s="336">
        <v>2550.1</v>
      </c>
      <c r="C21" s="337">
        <v>12.647359848022461</v>
      </c>
      <c r="D21" s="338">
        <v>0.62070494890213013</v>
      </c>
      <c r="E21" s="337">
        <v>0.59667819738388062</v>
      </c>
      <c r="F21" s="339">
        <v>2019</v>
      </c>
      <c r="G21" s="339" t="s">
        <v>98</v>
      </c>
      <c r="H21" s="336" t="s">
        <v>1687</v>
      </c>
      <c r="I21" s="340">
        <f t="shared" si="1"/>
        <v>21.196282859796902</v>
      </c>
      <c r="L21" s="76" t="s">
        <v>1703</v>
      </c>
      <c r="M21" s="76" t="s">
        <v>1704</v>
      </c>
      <c r="N21" s="76"/>
    </row>
    <row r="22" spans="1:14">
      <c r="A22" s="300" t="s">
        <v>1608</v>
      </c>
      <c r="B22" s="310">
        <v>2545</v>
      </c>
      <c r="C22" s="301">
        <v>12.13929271697998</v>
      </c>
      <c r="D22" s="302">
        <v>0.70039463043212891</v>
      </c>
      <c r="E22" s="301">
        <v>0.64991587400436401</v>
      </c>
      <c r="F22" s="315">
        <v>2019</v>
      </c>
      <c r="G22" s="315" t="s">
        <v>98</v>
      </c>
      <c r="H22" s="310">
        <v>15</v>
      </c>
      <c r="I22">
        <f t="shared" si="1"/>
        <v>18.678252374704218</v>
      </c>
      <c r="K22" t="s">
        <v>210</v>
      </c>
      <c r="L22" s="341">
        <f>((E20-E21)/AVERAGE(E20,E21))*100</f>
        <v>-3.3852164861383796</v>
      </c>
      <c r="M22" s="341">
        <f>((C20-C21)/AVERAGE(C20,C21))*100</f>
        <v>0.64366766929460495</v>
      </c>
    </row>
    <row r="23" spans="1:14">
      <c r="A23" s="300" t="s">
        <v>1609</v>
      </c>
      <c r="B23" s="310">
        <v>3860.8</v>
      </c>
      <c r="C23" s="301">
        <v>3.1780283451080322</v>
      </c>
      <c r="D23" s="302">
        <v>0.71619886159896851</v>
      </c>
      <c r="E23" s="301">
        <v>0.25890868902206421</v>
      </c>
      <c r="F23" s="315"/>
      <c r="G23" s="315" t="s">
        <v>1688</v>
      </c>
      <c r="H23" s="310"/>
      <c r="I23">
        <f t="shared" si="1"/>
        <v>12.274707183879798</v>
      </c>
    </row>
    <row r="24" spans="1:14">
      <c r="A24" s="369" t="s">
        <v>1610</v>
      </c>
      <c r="B24" s="370">
        <v>2108.1</v>
      </c>
      <c r="C24" s="371">
        <v>25.968635559082031</v>
      </c>
      <c r="D24" s="372">
        <v>3.1705729961395264</v>
      </c>
      <c r="E24" s="371">
        <v>1.5519053936004639</v>
      </c>
      <c r="F24" s="373">
        <v>2019</v>
      </c>
      <c r="G24" s="373" t="s">
        <v>98</v>
      </c>
      <c r="H24" s="370">
        <v>16</v>
      </c>
      <c r="I24" s="374">
        <f t="shared" si="1"/>
        <v>16.733388301998275</v>
      </c>
    </row>
    <row r="25" spans="1:14">
      <c r="A25" s="300" t="s">
        <v>1611</v>
      </c>
      <c r="B25" s="310">
        <v>2269.1</v>
      </c>
      <c r="C25" s="301">
        <v>19.005569458007813</v>
      </c>
      <c r="D25" s="302">
        <v>1.859127402305603</v>
      </c>
      <c r="E25" s="301">
        <v>1.9113456010818481</v>
      </c>
      <c r="F25" s="315">
        <v>2019</v>
      </c>
      <c r="G25" s="315" t="s">
        <v>98</v>
      </c>
      <c r="H25" s="310">
        <v>17</v>
      </c>
      <c r="I25">
        <f t="shared" si="1"/>
        <v>9.9435546597383517</v>
      </c>
    </row>
    <row r="26" spans="1:14">
      <c r="A26" s="300" t="s">
        <v>1612</v>
      </c>
      <c r="B26" s="310">
        <v>2099.9</v>
      </c>
      <c r="C26" s="301">
        <v>21.95036506652832</v>
      </c>
      <c r="D26" s="302">
        <v>2.4691586494445801</v>
      </c>
      <c r="E26" s="301">
        <v>2.4620542526245117</v>
      </c>
      <c r="F26" s="315">
        <v>2019</v>
      </c>
      <c r="G26" s="315" t="s">
        <v>98</v>
      </c>
      <c r="H26" s="310">
        <v>18</v>
      </c>
      <c r="I26">
        <f t="shared" si="1"/>
        <v>8.9154676600361551</v>
      </c>
    </row>
    <row r="27" spans="1:14">
      <c r="A27" s="300" t="s">
        <v>1613</v>
      </c>
      <c r="B27" s="310">
        <v>2635.2</v>
      </c>
      <c r="C27" s="301">
        <v>20.553665161132813</v>
      </c>
      <c r="D27" s="302">
        <v>2.1493401527404785</v>
      </c>
      <c r="E27" s="301">
        <v>2.2835824489593506</v>
      </c>
      <c r="F27" s="315">
        <v>2019</v>
      </c>
      <c r="G27" s="315" t="s">
        <v>98</v>
      </c>
      <c r="H27" s="310">
        <v>19</v>
      </c>
      <c r="I27">
        <f t="shared" si="1"/>
        <v>9.0006231964601522</v>
      </c>
    </row>
    <row r="28" spans="1:14" ht="15" thickBot="1">
      <c r="A28" s="300" t="s">
        <v>1614</v>
      </c>
      <c r="B28" s="311">
        <v>2649.1</v>
      </c>
      <c r="C28" s="301">
        <v>20.583889007568359</v>
      </c>
      <c r="D28" s="302">
        <v>2.3624162673950195</v>
      </c>
      <c r="E28" s="301">
        <v>2.4531049728393555</v>
      </c>
      <c r="F28" s="316">
        <v>2019</v>
      </c>
      <c r="G28" s="316" t="s">
        <v>98</v>
      </c>
      <c r="H28" s="311">
        <v>20</v>
      </c>
      <c r="I28">
        <f t="shared" si="1"/>
        <v>8.3909531942057338</v>
      </c>
    </row>
    <row r="29" spans="1:14" ht="15" thickTop="1">
      <c r="A29" s="300" t="s">
        <v>1615</v>
      </c>
      <c r="B29" s="219">
        <v>2218</v>
      </c>
      <c r="C29" s="301">
        <v>18.822460174560547</v>
      </c>
      <c r="D29" s="302">
        <v>1.5671674013137817</v>
      </c>
      <c r="E29" s="301">
        <v>1.962510347366333</v>
      </c>
      <c r="F29" s="207">
        <v>2019</v>
      </c>
      <c r="G29" s="207" t="s">
        <v>98</v>
      </c>
      <c r="H29" s="219">
        <v>21</v>
      </c>
      <c r="I29">
        <f t="shared" si="1"/>
        <v>9.5910119403039467</v>
      </c>
    </row>
    <row r="30" spans="1:14">
      <c r="A30" s="312" t="s">
        <v>1616</v>
      </c>
      <c r="B30" s="317" t="s">
        <v>1682</v>
      </c>
      <c r="C30" s="313"/>
      <c r="D30" s="314"/>
      <c r="E30" s="313"/>
      <c r="F30" s="303"/>
    </row>
    <row r="31" spans="1:14">
      <c r="A31" s="312" t="s">
        <v>1617</v>
      </c>
      <c r="B31" s="312"/>
      <c r="C31" s="313"/>
      <c r="D31" s="314"/>
      <c r="E31" s="313"/>
      <c r="F31" s="303"/>
    </row>
    <row r="32" spans="1:14">
      <c r="A32" s="300" t="s">
        <v>1618</v>
      </c>
      <c r="B32" s="310">
        <v>2133.9</v>
      </c>
      <c r="C32" s="301">
        <v>14.198935508728027</v>
      </c>
      <c r="D32" s="302">
        <v>0.87195110321044922</v>
      </c>
      <c r="E32" s="301">
        <v>0.93131935596466064</v>
      </c>
      <c r="F32" s="315">
        <v>2019</v>
      </c>
      <c r="G32" s="315" t="s">
        <v>101</v>
      </c>
      <c r="H32" s="315">
        <v>1</v>
      </c>
      <c r="I32">
        <f t="shared" ref="I32:I41" si="2">C32/E32</f>
        <v>15.24604360232669</v>
      </c>
    </row>
    <row r="33" spans="1:24">
      <c r="A33" s="300" t="s">
        <v>1619</v>
      </c>
      <c r="B33" s="310">
        <v>3058.4</v>
      </c>
      <c r="C33" s="301">
        <v>13.804064750671387</v>
      </c>
      <c r="D33" s="302">
        <v>0.89993613958358765</v>
      </c>
      <c r="E33" s="301">
        <v>0.95144325494766235</v>
      </c>
      <c r="F33" s="315">
        <v>2019</v>
      </c>
      <c r="G33" s="315" t="s">
        <v>101</v>
      </c>
      <c r="H33" s="310">
        <v>2</v>
      </c>
      <c r="I33">
        <f t="shared" si="2"/>
        <v>14.508552852614137</v>
      </c>
    </row>
    <row r="34" spans="1:24">
      <c r="A34" s="342" t="s">
        <v>1620</v>
      </c>
      <c r="B34" s="343">
        <v>2737.5</v>
      </c>
      <c r="C34" s="344">
        <v>13.562370300292969</v>
      </c>
      <c r="D34" s="345">
        <v>0.68265169858932495</v>
      </c>
      <c r="E34" s="344">
        <v>0.74654889106750488</v>
      </c>
      <c r="F34" s="346">
        <v>2019</v>
      </c>
      <c r="G34" s="346" t="s">
        <v>101</v>
      </c>
      <c r="H34" s="343" t="s">
        <v>1689</v>
      </c>
      <c r="I34" s="347">
        <f t="shared" si="2"/>
        <v>18.166754331253337</v>
      </c>
      <c r="J34" s="346" t="s">
        <v>101</v>
      </c>
      <c r="K34" s="343">
        <v>3</v>
      </c>
      <c r="L34" s="76" t="s">
        <v>1705</v>
      </c>
      <c r="M34" s="76"/>
      <c r="N34" s="76"/>
    </row>
    <row r="35" spans="1:24">
      <c r="A35" s="300" t="s">
        <v>1621</v>
      </c>
      <c r="B35" s="310">
        <v>3252.9</v>
      </c>
      <c r="C35" s="301">
        <v>3.2243328094482422</v>
      </c>
      <c r="D35" s="302">
        <v>0.62110698223114014</v>
      </c>
      <c r="E35" s="301">
        <v>0.25377848744392395</v>
      </c>
      <c r="F35" s="315"/>
      <c r="G35" s="315" t="s">
        <v>1690</v>
      </c>
      <c r="H35" s="310"/>
      <c r="I35">
        <f t="shared" si="2"/>
        <v>12.705303912573383</v>
      </c>
      <c r="L35" s="76" t="s">
        <v>1703</v>
      </c>
      <c r="M35" s="76" t="s">
        <v>1704</v>
      </c>
      <c r="N35" s="76"/>
    </row>
    <row r="36" spans="1:24">
      <c r="A36" s="300" t="s">
        <v>1622</v>
      </c>
      <c r="B36" s="310">
        <v>2701.6</v>
      </c>
      <c r="C36" s="301">
        <v>13.616997718811035</v>
      </c>
      <c r="D36" s="302">
        <v>0.97969776391983032</v>
      </c>
      <c r="E36" s="301">
        <v>0.95399433374404907</v>
      </c>
      <c r="F36" s="315">
        <v>2019</v>
      </c>
      <c r="G36" s="315" t="s">
        <v>101</v>
      </c>
      <c r="H36" s="310">
        <v>4</v>
      </c>
      <c r="I36">
        <f t="shared" si="2"/>
        <v>14.273667292519153</v>
      </c>
      <c r="K36" t="s">
        <v>210</v>
      </c>
      <c r="L36" s="348">
        <f>((E34-E47)/AVERAGE(E34,E47))*100</f>
        <v>-0.32677826569027485</v>
      </c>
      <c r="M36" s="348">
        <f>((C34-C47)/AVERAGE(C34,C47))*100</f>
        <v>-4.5801472515583842E-2</v>
      </c>
    </row>
    <row r="37" spans="1:24">
      <c r="A37" s="300" t="s">
        <v>1623</v>
      </c>
      <c r="B37" s="310">
        <v>2312.6999999999998</v>
      </c>
      <c r="C37" s="301">
        <v>12.455282211303711</v>
      </c>
      <c r="D37" s="302">
        <v>0.89233845472335815</v>
      </c>
      <c r="E37" s="301">
        <v>0.84419530630111694</v>
      </c>
      <c r="F37" s="315">
        <v>2019</v>
      </c>
      <c r="G37" s="315" t="s">
        <v>101</v>
      </c>
      <c r="H37" s="310">
        <v>5</v>
      </c>
      <c r="I37">
        <f t="shared" si="2"/>
        <v>14.754029213781275</v>
      </c>
    </row>
    <row r="38" spans="1:24">
      <c r="A38" s="300" t="s">
        <v>1624</v>
      </c>
      <c r="B38" s="310">
        <v>2334.6999999999998</v>
      </c>
      <c r="C38" s="301">
        <v>12.500893592834473</v>
      </c>
      <c r="D38" s="302">
        <v>0.81097108125686646</v>
      </c>
      <c r="E38" s="301">
        <v>0.75590145587921143</v>
      </c>
      <c r="F38" s="315">
        <v>2019</v>
      </c>
      <c r="G38" s="315" t="s">
        <v>101</v>
      </c>
      <c r="H38" s="310">
        <v>6</v>
      </c>
      <c r="I38">
        <f t="shared" si="2"/>
        <v>16.537729218016008</v>
      </c>
    </row>
    <row r="39" spans="1:24">
      <c r="A39" s="300" t="s">
        <v>1625</v>
      </c>
      <c r="B39" s="310">
        <v>3011</v>
      </c>
      <c r="C39" s="301">
        <v>13.338446617126465</v>
      </c>
      <c r="D39" s="302">
        <v>0.95076966285705566</v>
      </c>
      <c r="E39" s="301">
        <v>0.89161521196365356</v>
      </c>
      <c r="F39" s="315">
        <v>2019</v>
      </c>
      <c r="G39" s="315" t="s">
        <v>101</v>
      </c>
      <c r="H39" s="310">
        <v>7</v>
      </c>
      <c r="I39">
        <f t="shared" si="2"/>
        <v>14.959868829234603</v>
      </c>
    </row>
    <row r="40" spans="1:24">
      <c r="A40" s="300" t="s">
        <v>1626</v>
      </c>
      <c r="B40" s="310">
        <v>2127.9</v>
      </c>
      <c r="C40" s="301">
        <v>14.830756187438965</v>
      </c>
      <c r="D40" s="302">
        <v>0.91067034006118774</v>
      </c>
      <c r="E40" s="301">
        <v>1.1395817995071411</v>
      </c>
      <c r="F40" s="315">
        <v>2019</v>
      </c>
      <c r="G40" s="315" t="s">
        <v>101</v>
      </c>
      <c r="H40" s="310">
        <v>8</v>
      </c>
      <c r="I40">
        <f t="shared" si="2"/>
        <v>13.014209417747049</v>
      </c>
    </row>
    <row r="41" spans="1:24">
      <c r="A41" s="300" t="s">
        <v>1627</v>
      </c>
      <c r="B41" s="310">
        <v>2999.9</v>
      </c>
      <c r="C41" s="301">
        <v>14.477551460266113</v>
      </c>
      <c r="D41" s="302">
        <v>1.1051152944564819</v>
      </c>
      <c r="E41" s="301">
        <v>1.3147323131561279</v>
      </c>
      <c r="F41" s="315">
        <v>2019</v>
      </c>
      <c r="G41" s="315" t="s">
        <v>101</v>
      </c>
      <c r="H41" s="310">
        <v>9</v>
      </c>
      <c r="I41">
        <f t="shared" si="2"/>
        <v>11.011786441539195</v>
      </c>
    </row>
    <row r="42" spans="1:24">
      <c r="A42" s="312" t="s">
        <v>1628</v>
      </c>
      <c r="B42" s="312"/>
      <c r="C42" s="313"/>
      <c r="D42" s="314"/>
      <c r="E42" s="313"/>
      <c r="F42" s="303"/>
    </row>
    <row r="43" spans="1:24" ht="15" thickBot="1">
      <c r="A43" s="300" t="s">
        <v>1629</v>
      </c>
      <c r="B43" s="311">
        <v>2377.9</v>
      </c>
      <c r="C43" s="301">
        <v>17.096782684326172</v>
      </c>
      <c r="D43" s="302">
        <v>1.54903244972229</v>
      </c>
      <c r="E43" s="301">
        <v>1.8598906993865967</v>
      </c>
      <c r="F43" s="316">
        <v>2019</v>
      </c>
      <c r="G43" s="316" t="s">
        <v>101</v>
      </c>
      <c r="H43" s="311">
        <v>10</v>
      </c>
      <c r="I43">
        <f t="shared" ref="I43:I54" si="3">C43/E43</f>
        <v>9.192358825152894</v>
      </c>
    </row>
    <row r="44" spans="1:24" ht="15" thickTop="1">
      <c r="A44" s="300" t="s">
        <v>1630</v>
      </c>
      <c r="B44" s="219">
        <v>2056.6</v>
      </c>
      <c r="C44" s="301">
        <v>15.583263397216797</v>
      </c>
      <c r="D44" s="302">
        <v>1.1371685266494751</v>
      </c>
      <c r="E44" s="301">
        <v>1.3919014930725098</v>
      </c>
      <c r="F44" s="207">
        <v>2019</v>
      </c>
      <c r="G44" s="207" t="s">
        <v>101</v>
      </c>
      <c r="H44" s="219">
        <v>11</v>
      </c>
      <c r="I44">
        <f t="shared" si="3"/>
        <v>11.195665407914754</v>
      </c>
    </row>
    <row r="45" spans="1:24" ht="15.5">
      <c r="A45" s="300" t="s">
        <v>1631</v>
      </c>
      <c r="B45" s="310">
        <v>2435.4</v>
      </c>
      <c r="C45" s="301">
        <v>13.833269119262695</v>
      </c>
      <c r="D45" s="302">
        <v>0.76363539695739746</v>
      </c>
      <c r="E45" s="301">
        <v>0.89746320247650146</v>
      </c>
      <c r="F45" s="315">
        <v>2019</v>
      </c>
      <c r="G45" s="315" t="s">
        <v>101</v>
      </c>
      <c r="H45" s="310">
        <v>12</v>
      </c>
      <c r="I45">
        <f t="shared" si="3"/>
        <v>15.413745188761537</v>
      </c>
      <c r="R45" s="227" t="s">
        <v>1706</v>
      </c>
      <c r="T45" s="227" t="s">
        <v>1707</v>
      </c>
      <c r="V45" s="52" t="s">
        <v>1706</v>
      </c>
      <c r="W45" s="52"/>
    </row>
    <row r="46" spans="1:24">
      <c r="A46" s="300" t="s">
        <v>1632</v>
      </c>
      <c r="B46" s="310">
        <v>2683</v>
      </c>
      <c r="C46" s="301">
        <v>13.888647079467773</v>
      </c>
      <c r="D46" s="302">
        <v>0.71111595630645752</v>
      </c>
      <c r="E46" s="301">
        <v>0.77622455358505249</v>
      </c>
      <c r="F46" s="315">
        <v>2019</v>
      </c>
      <c r="G46" s="315" t="s">
        <v>101</v>
      </c>
      <c r="H46" s="310">
        <v>13</v>
      </c>
      <c r="I46">
        <f t="shared" si="3"/>
        <v>17.892563453863954</v>
      </c>
      <c r="R46" s="76" t="s">
        <v>1573</v>
      </c>
      <c r="S46" s="76" t="s">
        <v>1356</v>
      </c>
      <c r="U46" s="76" t="s">
        <v>1356</v>
      </c>
      <c r="V46" s="1" t="s">
        <v>1703</v>
      </c>
      <c r="W46" s="1" t="s">
        <v>1704</v>
      </c>
    </row>
    <row r="47" spans="1:24">
      <c r="A47" s="342" t="s">
        <v>1633</v>
      </c>
      <c r="B47" s="343">
        <v>3298.7</v>
      </c>
      <c r="C47" s="344">
        <v>13.568583488464355</v>
      </c>
      <c r="D47" s="345">
        <v>0.76113277673721313</v>
      </c>
      <c r="E47" s="344">
        <v>0.7489924430847168</v>
      </c>
      <c r="F47" s="346">
        <v>2019</v>
      </c>
      <c r="G47" s="346" t="s">
        <v>101</v>
      </c>
      <c r="H47" s="343" t="s">
        <v>1691</v>
      </c>
      <c r="I47" s="347">
        <f t="shared" si="3"/>
        <v>18.115781559266875</v>
      </c>
      <c r="R47" s="375" t="s">
        <v>1703</v>
      </c>
      <c r="T47" s="375" t="s">
        <v>1704</v>
      </c>
      <c r="V47" s="76" t="s">
        <v>1708</v>
      </c>
      <c r="W47" s="76"/>
    </row>
    <row r="48" spans="1:24" ht="15.5">
      <c r="A48" s="349" t="s">
        <v>1634</v>
      </c>
      <c r="B48" s="350">
        <v>2264.9</v>
      </c>
      <c r="C48" s="351">
        <v>15.28265380859375</v>
      </c>
      <c r="D48" s="352">
        <v>0.96784394979476929</v>
      </c>
      <c r="E48" s="351">
        <v>1.1368647813796997</v>
      </c>
      <c r="F48" s="353">
        <v>2019</v>
      </c>
      <c r="G48" s="353" t="s">
        <v>101</v>
      </c>
      <c r="H48" s="350" t="s">
        <v>1686</v>
      </c>
      <c r="I48" s="233">
        <f t="shared" si="3"/>
        <v>13.442806971332786</v>
      </c>
      <c r="J48" s="353" t="s">
        <v>101</v>
      </c>
      <c r="K48" s="350">
        <v>14</v>
      </c>
      <c r="L48" s="76" t="s">
        <v>1705</v>
      </c>
      <c r="M48" s="76"/>
      <c r="N48" s="76"/>
      <c r="R48" s="105">
        <f>AVERAGE(E23,E35,E76:E77)</f>
        <v>0.25810842961072922</v>
      </c>
      <c r="S48" s="279">
        <f>_xlfn.STDEV.P(E23,E35,E76:E77)</f>
        <v>4.5087216536238792E-3</v>
      </c>
      <c r="T48" s="105">
        <f>AVERAGE(C23,C35,C76:C77)</f>
        <v>3.20162034034729</v>
      </c>
      <c r="U48" s="279">
        <f>_xlfn.STDEV.P(C23,C35,C76:C77)</f>
        <v>1.7505853491059105E-2</v>
      </c>
      <c r="V48" s="376">
        <f>((E23-$R$48)/$R$48)*100</f>
        <v>0.31004776269489409</v>
      </c>
      <c r="W48" s="376">
        <f>((C23-$T$48)/$T$48)*100</f>
        <v>-0.7368767290096212</v>
      </c>
      <c r="X48" t="s">
        <v>1688</v>
      </c>
    </row>
    <row r="49" spans="1:24" ht="15.5">
      <c r="A49" s="349" t="s">
        <v>1635</v>
      </c>
      <c r="B49" s="350">
        <v>2522.3000000000002</v>
      </c>
      <c r="C49" s="351">
        <v>15.295933723449707</v>
      </c>
      <c r="D49" s="352">
        <v>1.0027627944946289</v>
      </c>
      <c r="E49" s="351">
        <v>1.150365948677063</v>
      </c>
      <c r="F49" s="353">
        <v>2019</v>
      </c>
      <c r="G49" s="353" t="s">
        <v>101</v>
      </c>
      <c r="H49" s="350" t="s">
        <v>1687</v>
      </c>
      <c r="I49" s="233">
        <f t="shared" si="3"/>
        <v>13.29658074549255</v>
      </c>
      <c r="L49" s="76" t="s">
        <v>1703</v>
      </c>
      <c r="M49" s="76" t="s">
        <v>1704</v>
      </c>
      <c r="N49" s="76"/>
      <c r="V49" s="376">
        <f>((E35-$R$48)/$R$48)*100</f>
        <v>-1.6775671268604229</v>
      </c>
      <c r="W49" s="376">
        <f>((C35-$T$48)/$T$48)*100</f>
        <v>0.70940544744566603</v>
      </c>
      <c r="X49" t="s">
        <v>1690</v>
      </c>
    </row>
    <row r="50" spans="1:24" ht="15.5">
      <c r="A50" s="300" t="s">
        <v>1636</v>
      </c>
      <c r="B50" s="310">
        <v>675.1</v>
      </c>
      <c r="C50" s="301">
        <v>71.177381896972605</v>
      </c>
      <c r="D50" s="302">
        <v>6.7231306076049799</v>
      </c>
      <c r="E50" s="301">
        <v>10.377264976501465</v>
      </c>
      <c r="F50" s="315"/>
      <c r="G50" s="321" t="s">
        <v>1692</v>
      </c>
      <c r="H50" s="310"/>
      <c r="I50">
        <f t="shared" si="3"/>
        <v>6.8589731550797275</v>
      </c>
      <c r="K50" t="s">
        <v>210</v>
      </c>
      <c r="L50" s="354">
        <f>((E48-E49)/AVERAGE(E48,E49))*100</f>
        <v>-1.1805688966961563</v>
      </c>
      <c r="M50" s="354">
        <f>((C48-C49)/AVERAGE(C48,C49))*100</f>
        <v>-8.6857608069966882E-2</v>
      </c>
      <c r="V50" s="376">
        <f>((E76-R48)/R48)*100</f>
        <v>2.7282984968244559</v>
      </c>
      <c r="W50" s="376">
        <f>((C76-T48)/T48)*100</f>
        <v>0.28691813699583329</v>
      </c>
      <c r="X50" t="s">
        <v>1696</v>
      </c>
    </row>
    <row r="51" spans="1:24" ht="15.5">
      <c r="A51" s="300" t="s">
        <v>1637</v>
      </c>
      <c r="B51" s="310">
        <v>2890.5</v>
      </c>
      <c r="C51" s="301">
        <v>12.960940361022949</v>
      </c>
      <c r="D51" s="302">
        <v>0.6789812445640564</v>
      </c>
      <c r="E51" s="301">
        <v>0.69302099943161011</v>
      </c>
      <c r="F51" s="315">
        <v>2019</v>
      </c>
      <c r="G51" s="315" t="s">
        <v>101</v>
      </c>
      <c r="H51" s="310">
        <v>15</v>
      </c>
      <c r="I51">
        <f t="shared" si="3"/>
        <v>18.702088928983432</v>
      </c>
      <c r="V51" s="376">
        <f>((E77-R48)/R48)*100</f>
        <v>-1.3607791326589271</v>
      </c>
      <c r="W51" s="376">
        <f>((C77-T48)/T48)*100</f>
        <v>-0.25944685543187807</v>
      </c>
      <c r="X51" t="s">
        <v>1697</v>
      </c>
    </row>
    <row r="52" spans="1:24" ht="15.5">
      <c r="A52" s="300" t="s">
        <v>1638</v>
      </c>
      <c r="B52" s="310">
        <v>2505.1</v>
      </c>
      <c r="C52" s="301">
        <v>12.993682861328125</v>
      </c>
      <c r="D52" s="302">
        <v>0.64872556924819946</v>
      </c>
      <c r="E52" s="301">
        <v>0.71438348293304443</v>
      </c>
      <c r="F52" s="315">
        <v>2019</v>
      </c>
      <c r="G52" s="315" t="s">
        <v>101</v>
      </c>
      <c r="H52" s="310">
        <v>16</v>
      </c>
      <c r="I52">
        <f t="shared" si="3"/>
        <v>18.188666412022794</v>
      </c>
      <c r="V52" s="227" t="s">
        <v>1709</v>
      </c>
      <c r="W52" s="52"/>
    </row>
    <row r="53" spans="1:24" ht="15.5">
      <c r="A53" s="300" t="s">
        <v>1639</v>
      </c>
      <c r="B53" s="310">
        <v>2169.6999999999998</v>
      </c>
      <c r="C53" s="301">
        <v>12.892779350280762</v>
      </c>
      <c r="D53" s="302">
        <v>0.63192653656005859</v>
      </c>
      <c r="E53" s="301">
        <v>0.64206689596176147</v>
      </c>
      <c r="F53" s="315">
        <v>2019</v>
      </c>
      <c r="G53" s="315" t="s">
        <v>101</v>
      </c>
      <c r="H53" s="310">
        <v>17</v>
      </c>
      <c r="I53">
        <f t="shared" si="3"/>
        <v>20.080118491342677</v>
      </c>
      <c r="R53" s="227" t="s">
        <v>1709</v>
      </c>
      <c r="T53" s="227" t="s">
        <v>1707</v>
      </c>
      <c r="V53" s="1" t="s">
        <v>1703</v>
      </c>
      <c r="W53" s="1" t="s">
        <v>1704</v>
      </c>
    </row>
    <row r="54" spans="1:24">
      <c r="A54" s="300" t="s">
        <v>1640</v>
      </c>
      <c r="B54" s="310">
        <v>2218.6999999999998</v>
      </c>
      <c r="C54" s="301">
        <v>12.664422035217285</v>
      </c>
      <c r="D54" s="302">
        <v>0.5409083366394043</v>
      </c>
      <c r="E54" s="301">
        <v>0.59928643703460693</v>
      </c>
      <c r="F54" s="315">
        <v>2019</v>
      </c>
      <c r="G54" s="315" t="s">
        <v>101</v>
      </c>
      <c r="H54" s="310">
        <v>18</v>
      </c>
      <c r="I54">
        <f t="shared" si="3"/>
        <v>21.132502343759789</v>
      </c>
      <c r="R54" s="76" t="s">
        <v>1573</v>
      </c>
      <c r="S54" s="76" t="s">
        <v>1356</v>
      </c>
      <c r="T54" s="76"/>
      <c r="U54" s="76" t="s">
        <v>1356</v>
      </c>
      <c r="V54" s="76" t="s">
        <v>1708</v>
      </c>
    </row>
    <row r="55" spans="1:24" ht="15.5">
      <c r="A55" s="312" t="s">
        <v>1641</v>
      </c>
      <c r="B55" s="312"/>
      <c r="C55" s="313"/>
      <c r="D55" s="314"/>
      <c r="E55" s="313"/>
      <c r="F55" s="303"/>
      <c r="R55" s="375" t="s">
        <v>1703</v>
      </c>
      <c r="T55" s="375" t="s">
        <v>1704</v>
      </c>
      <c r="V55" s="376">
        <f>((E50-R56)/R56)*100</f>
        <v>0.60895440184247751</v>
      </c>
      <c r="W55" s="376">
        <f>((C50-T56)/T56)*100</f>
        <v>6.4189186725146841E-2</v>
      </c>
      <c r="X55" s="377" t="s">
        <v>1692</v>
      </c>
    </row>
    <row r="56" spans="1:24" ht="16" thickBot="1">
      <c r="A56" s="300" t="s">
        <v>1642</v>
      </c>
      <c r="B56" s="311">
        <v>2319.1</v>
      </c>
      <c r="C56" s="301">
        <v>12.992489814758301</v>
      </c>
      <c r="D56" s="302">
        <v>0.46491441130638123</v>
      </c>
      <c r="E56" s="301">
        <v>0.49330392479896545</v>
      </c>
      <c r="F56" s="316">
        <v>2019</v>
      </c>
      <c r="G56" s="316" t="s">
        <v>101</v>
      </c>
      <c r="H56" s="311">
        <v>19</v>
      </c>
      <c r="I56">
        <f t="shared" ref="I56:I67" si="4">C56/E56</f>
        <v>26.337698042952098</v>
      </c>
      <c r="R56" s="105">
        <f>AVERAGE(E50,E69,E87:E88)</f>
        <v>10.314454650878892</v>
      </c>
      <c r="S56" s="279">
        <f>_xlfn.STDEV.P(E50,E69,E87:E88)</f>
        <v>3.6788600041099032E-2</v>
      </c>
      <c r="T56" s="105">
        <f>AVERAGE(C50,C69,C87:C88)</f>
        <v>71.131723022460903</v>
      </c>
      <c r="U56" s="279">
        <f>_xlfn.STDEV.P(C50,C69,C87:C88)</f>
        <v>5.1724583546273684E-2</v>
      </c>
      <c r="V56" s="376">
        <f>((E69-R56)/R56)*100</f>
        <v>-0.27281243005410827</v>
      </c>
      <c r="W56" s="376">
        <f>((C69-T56)/T56)*100</f>
        <v>7.3121572298854604E-2</v>
      </c>
      <c r="X56" s="377" t="s">
        <v>1694</v>
      </c>
    </row>
    <row r="57" spans="1:24" ht="16" thickTop="1">
      <c r="A57" s="300" t="s">
        <v>1643</v>
      </c>
      <c r="B57" s="219">
        <v>2638.5</v>
      </c>
      <c r="C57" s="301">
        <v>13.173738479614258</v>
      </c>
      <c r="D57" s="302">
        <v>0.58282721042633057</v>
      </c>
      <c r="E57" s="301">
        <v>0.68599343299865723</v>
      </c>
      <c r="F57" s="207">
        <v>2019</v>
      </c>
      <c r="G57" s="207" t="s">
        <v>101</v>
      </c>
      <c r="H57" s="219">
        <v>20</v>
      </c>
      <c r="I57">
        <f t="shared" si="4"/>
        <v>19.203884244238886</v>
      </c>
      <c r="V57" s="378">
        <f>((E87-R56)/R56)*100</f>
        <v>-0.22768271165446818</v>
      </c>
      <c r="W57" s="378">
        <f>((C87-T56)/T56)*100</f>
        <v>-3.5064547211449637E-2</v>
      </c>
      <c r="X57" s="377" t="s">
        <v>1700</v>
      </c>
    </row>
    <row r="58" spans="1:24" ht="15.5">
      <c r="A58" s="300" t="s">
        <v>1644</v>
      </c>
      <c r="B58" s="310">
        <v>3104.3</v>
      </c>
      <c r="C58" s="301">
        <v>13.033105850219727</v>
      </c>
      <c r="D58" s="302">
        <v>0.56946021318435669</v>
      </c>
      <c r="E58" s="301">
        <v>0.64265018701553345</v>
      </c>
      <c r="F58" s="315">
        <v>2019</v>
      </c>
      <c r="G58" s="315" t="s">
        <v>101</v>
      </c>
      <c r="H58" s="310">
        <v>21</v>
      </c>
      <c r="I58">
        <f t="shared" si="4"/>
        <v>20.280249058582633</v>
      </c>
      <c r="V58" s="376">
        <f>((E88-R56)/R56)*100</f>
        <v>-0.10845926013391828</v>
      </c>
      <c r="W58" s="376">
        <f>((C88-T56)/T56)*100</f>
        <v>-0.10224621181261175</v>
      </c>
      <c r="X58" s="377" t="s">
        <v>1701</v>
      </c>
    </row>
    <row r="59" spans="1:24">
      <c r="A59" s="300" t="s">
        <v>1645</v>
      </c>
      <c r="B59" s="310">
        <v>2714.9</v>
      </c>
      <c r="C59" s="301">
        <v>13.055289268493652</v>
      </c>
      <c r="D59" s="302">
        <v>0.62377876043319702</v>
      </c>
      <c r="E59" s="301">
        <v>0.60141974687576294</v>
      </c>
      <c r="F59" s="315">
        <v>2019</v>
      </c>
      <c r="G59" s="315" t="s">
        <v>102</v>
      </c>
      <c r="H59" s="315">
        <v>1</v>
      </c>
      <c r="I59">
        <f t="shared" si="4"/>
        <v>21.707450306234328</v>
      </c>
    </row>
    <row r="60" spans="1:24">
      <c r="A60" s="300" t="s">
        <v>1646</v>
      </c>
      <c r="B60" s="310">
        <v>2397.3000000000002</v>
      </c>
      <c r="C60" s="301">
        <v>12.797491073608398</v>
      </c>
      <c r="D60" s="302">
        <v>0.59031808376312256</v>
      </c>
      <c r="E60" s="301">
        <v>0.58137589693069458</v>
      </c>
      <c r="F60" s="315">
        <v>2019</v>
      </c>
      <c r="G60" s="315" t="s">
        <v>102</v>
      </c>
      <c r="H60" s="310">
        <v>2</v>
      </c>
      <c r="I60">
        <f t="shared" si="4"/>
        <v>22.012421122325922</v>
      </c>
    </row>
    <row r="61" spans="1:24">
      <c r="A61" s="300" t="s">
        <v>1647</v>
      </c>
      <c r="B61" s="310">
        <v>2838.2</v>
      </c>
      <c r="C61" s="301">
        <v>12.487421035766602</v>
      </c>
      <c r="D61" s="302">
        <v>0.4736359715461731</v>
      </c>
      <c r="E61" s="301">
        <v>0.46230989694595337</v>
      </c>
      <c r="F61" s="315">
        <v>2019</v>
      </c>
      <c r="G61" s="315" t="s">
        <v>102</v>
      </c>
      <c r="H61" s="310">
        <v>3</v>
      </c>
      <c r="I61">
        <f t="shared" si="4"/>
        <v>27.010931667825513</v>
      </c>
    </row>
    <row r="62" spans="1:24">
      <c r="A62" s="300" t="s">
        <v>1648</v>
      </c>
      <c r="B62" s="310">
        <v>2619.5</v>
      </c>
      <c r="C62" s="301">
        <v>13.564257621765137</v>
      </c>
      <c r="D62" s="302">
        <v>0.64775747060775757</v>
      </c>
      <c r="E62" s="301">
        <v>0.70981037616729736</v>
      </c>
      <c r="F62" s="315">
        <v>2019</v>
      </c>
      <c r="G62" s="315" t="s">
        <v>102</v>
      </c>
      <c r="H62" s="310">
        <v>4</v>
      </c>
      <c r="I62">
        <f t="shared" si="4"/>
        <v>19.109691936326577</v>
      </c>
    </row>
    <row r="63" spans="1:24">
      <c r="A63" s="300" t="s">
        <v>1649</v>
      </c>
      <c r="B63" s="310">
        <v>3169.4</v>
      </c>
      <c r="C63" s="301">
        <v>11.722740173339844</v>
      </c>
      <c r="D63" s="302">
        <v>0.68234008550643921</v>
      </c>
      <c r="E63" s="301">
        <v>0.57995182275772095</v>
      </c>
      <c r="F63" s="315">
        <v>2019</v>
      </c>
      <c r="G63" s="315" t="s">
        <v>102</v>
      </c>
      <c r="H63" s="310">
        <v>5</v>
      </c>
      <c r="I63">
        <f t="shared" si="4"/>
        <v>20.213299990328856</v>
      </c>
    </row>
    <row r="64" spans="1:24">
      <c r="A64" s="355" t="s">
        <v>1650</v>
      </c>
      <c r="B64" s="356">
        <v>2723.3</v>
      </c>
      <c r="C64" s="357">
        <v>11.60958194732666</v>
      </c>
      <c r="D64" s="358">
        <v>0.63582789897918701</v>
      </c>
      <c r="E64" s="357">
        <v>0.55225098133087158</v>
      </c>
      <c r="F64" s="359">
        <v>2019</v>
      </c>
      <c r="G64" s="359" t="s">
        <v>102</v>
      </c>
      <c r="H64" s="356" t="s">
        <v>1693</v>
      </c>
      <c r="I64" s="360">
        <f t="shared" si="4"/>
        <v>21.022293014941663</v>
      </c>
      <c r="J64" s="359" t="s">
        <v>102</v>
      </c>
      <c r="K64" s="356">
        <v>6</v>
      </c>
      <c r="L64" s="76" t="s">
        <v>1705</v>
      </c>
      <c r="M64" s="76"/>
      <c r="N64" s="76"/>
    </row>
    <row r="65" spans="1:14">
      <c r="A65" s="300" t="s">
        <v>1651</v>
      </c>
      <c r="B65" s="310">
        <v>2807.2</v>
      </c>
      <c r="C65" s="301">
        <v>12.970779418945313</v>
      </c>
      <c r="D65" s="302">
        <v>0.8531450629234314</v>
      </c>
      <c r="E65" s="301">
        <v>0.8281787633895874</v>
      </c>
      <c r="F65" s="315">
        <v>2019</v>
      </c>
      <c r="G65" s="315" t="s">
        <v>102</v>
      </c>
      <c r="H65" s="310">
        <v>7</v>
      </c>
      <c r="I65">
        <f t="shared" si="4"/>
        <v>15.661811184167817</v>
      </c>
      <c r="L65" s="76" t="s">
        <v>1703</v>
      </c>
      <c r="M65" s="76" t="s">
        <v>1704</v>
      </c>
      <c r="N65" s="76"/>
    </row>
    <row r="66" spans="1:14">
      <c r="A66" s="300" t="s">
        <v>1652</v>
      </c>
      <c r="B66" s="310">
        <v>3212.3</v>
      </c>
      <c r="C66" s="301">
        <v>14.143871307373047</v>
      </c>
      <c r="D66" s="302">
        <v>1.0094902515411377</v>
      </c>
      <c r="E66" s="301">
        <v>1.0158618688583374</v>
      </c>
      <c r="F66" s="315">
        <v>2019</v>
      </c>
      <c r="G66" s="315" t="s">
        <v>102</v>
      </c>
      <c r="H66" s="310">
        <v>8</v>
      </c>
      <c r="I66">
        <f t="shared" si="4"/>
        <v>13.92302609336882</v>
      </c>
      <c r="K66" t="s">
        <v>210</v>
      </c>
      <c r="L66" s="361">
        <f>((E64-E74)/AVERAGE(E64,E74))*100</f>
        <v>0.66476511011918304</v>
      </c>
      <c r="M66" s="361">
        <f>((C64-C74)/AVERAGE(C64,C74))*100</f>
        <v>-0.25805511599497472</v>
      </c>
    </row>
    <row r="67" spans="1:14">
      <c r="A67" s="300" t="s">
        <v>1653</v>
      </c>
      <c r="B67" s="310">
        <v>2755.5</v>
      </c>
      <c r="C67" s="301">
        <v>13.044124603271484</v>
      </c>
      <c r="D67" s="302">
        <v>0.80579203367233276</v>
      </c>
      <c r="E67" s="301">
        <v>0.76806157827377319</v>
      </c>
      <c r="F67" s="315">
        <v>2019</v>
      </c>
      <c r="G67" s="315" t="s">
        <v>102</v>
      </c>
      <c r="H67" s="310">
        <v>9</v>
      </c>
      <c r="I67">
        <f t="shared" si="4"/>
        <v>16.983175532082072</v>
      </c>
    </row>
    <row r="68" spans="1:14">
      <c r="A68" s="312" t="s">
        <v>1654</v>
      </c>
      <c r="B68" s="312"/>
      <c r="C68" s="313"/>
      <c r="D68" s="314"/>
      <c r="E68" s="313"/>
      <c r="F68" s="303"/>
    </row>
    <row r="69" spans="1:14" ht="15" thickBot="1">
      <c r="A69" s="300" t="s">
        <v>1655</v>
      </c>
      <c r="B69" s="311">
        <v>570.6</v>
      </c>
      <c r="C69" s="301">
        <v>71.183735656738193</v>
      </c>
      <c r="D69" s="302">
        <v>6.6008702278137203</v>
      </c>
      <c r="E69" s="301">
        <v>10.286315536499</v>
      </c>
      <c r="F69" s="316"/>
      <c r="G69" s="322" t="s">
        <v>1694</v>
      </c>
      <c r="H69" s="311"/>
      <c r="I69">
        <f t="shared" ref="I69:I80" si="5">C69/E69</f>
        <v>6.9202364446391407</v>
      </c>
    </row>
    <row r="70" spans="1:14" ht="15" thickTop="1">
      <c r="A70" s="300" t="s">
        <v>1656</v>
      </c>
      <c r="B70" s="219">
        <v>2644</v>
      </c>
      <c r="C70" s="301">
        <v>12.409296989440918</v>
      </c>
      <c r="D70" s="302">
        <v>0.54695183038711548</v>
      </c>
      <c r="E70" s="301">
        <v>0.56358444690704346</v>
      </c>
      <c r="F70" s="207">
        <v>2019</v>
      </c>
      <c r="G70" s="207" t="s">
        <v>102</v>
      </c>
      <c r="H70" s="219">
        <v>10</v>
      </c>
      <c r="I70">
        <f t="shared" si="5"/>
        <v>22.018522792002603</v>
      </c>
    </row>
    <row r="71" spans="1:14">
      <c r="A71" s="300" t="s">
        <v>1657</v>
      </c>
      <c r="B71" s="310">
        <v>2683</v>
      </c>
      <c r="C71" s="301">
        <v>12.423382759094238</v>
      </c>
      <c r="D71" s="302">
        <v>0.56550925970077515</v>
      </c>
      <c r="E71" s="301">
        <v>0.6108284592628479</v>
      </c>
      <c r="F71" s="315">
        <v>2019</v>
      </c>
      <c r="G71" s="315" t="s">
        <v>102</v>
      </c>
      <c r="H71" s="310">
        <v>11</v>
      </c>
      <c r="I71">
        <f t="shared" si="5"/>
        <v>20.338578811614088</v>
      </c>
    </row>
    <row r="72" spans="1:14">
      <c r="A72" s="300" t="s">
        <v>1658</v>
      </c>
      <c r="B72" s="310">
        <v>3146.7</v>
      </c>
      <c r="C72" s="301">
        <v>12.684090614318848</v>
      </c>
      <c r="D72" s="302">
        <v>0.58013284206390381</v>
      </c>
      <c r="E72" s="301">
        <v>0.51281875371932983</v>
      </c>
      <c r="F72" s="315">
        <v>2019</v>
      </c>
      <c r="G72" s="315" t="s">
        <v>102</v>
      </c>
      <c r="H72" s="310">
        <v>12</v>
      </c>
      <c r="I72">
        <f t="shared" si="5"/>
        <v>24.734061541869742</v>
      </c>
    </row>
    <row r="73" spans="1:14">
      <c r="A73" s="300" t="s">
        <v>1659</v>
      </c>
      <c r="B73" s="219">
        <v>2791</v>
      </c>
      <c r="C73" s="301">
        <v>12.727865219116211</v>
      </c>
      <c r="D73" s="302">
        <v>0.51121759414672852</v>
      </c>
      <c r="E73" s="301">
        <v>0.46044337749481201</v>
      </c>
      <c r="F73" s="207">
        <v>2019</v>
      </c>
      <c r="G73" s="207" t="s">
        <v>102</v>
      </c>
      <c r="H73" s="219">
        <v>13</v>
      </c>
      <c r="I73">
        <f t="shared" si="5"/>
        <v>27.642628477721175</v>
      </c>
    </row>
    <row r="74" spans="1:14">
      <c r="A74" s="355" t="s">
        <v>1660</v>
      </c>
      <c r="B74" s="356">
        <v>3193.4</v>
      </c>
      <c r="C74" s="357">
        <v>11.639579772949219</v>
      </c>
      <c r="D74" s="358">
        <v>0.65955907106399536</v>
      </c>
      <c r="E74" s="357">
        <v>0.5485919713973999</v>
      </c>
      <c r="F74" s="359">
        <v>2019</v>
      </c>
      <c r="G74" s="359" t="s">
        <v>102</v>
      </c>
      <c r="H74" s="356" t="s">
        <v>1695</v>
      </c>
      <c r="I74" s="360">
        <f t="shared" si="5"/>
        <v>21.217189422769568</v>
      </c>
    </row>
    <row r="75" spans="1:14">
      <c r="A75" s="300" t="s">
        <v>1661</v>
      </c>
      <c r="B75" s="310">
        <v>2321.5</v>
      </c>
      <c r="C75" s="301">
        <v>12.496432304382324</v>
      </c>
      <c r="D75" s="302">
        <v>0.52426040172576904</v>
      </c>
      <c r="E75" s="301">
        <v>0.4789680540561676</v>
      </c>
      <c r="F75" s="315">
        <v>2019</v>
      </c>
      <c r="G75" s="315" t="s">
        <v>102</v>
      </c>
      <c r="H75" s="310">
        <v>14</v>
      </c>
      <c r="I75">
        <f t="shared" si="5"/>
        <v>26.09032522848986</v>
      </c>
    </row>
    <row r="76" spans="1:14">
      <c r="A76" s="300" t="s">
        <v>1662</v>
      </c>
      <c r="B76" s="310">
        <v>4006.2</v>
      </c>
      <c r="C76" s="301">
        <v>3.2108063697814941</v>
      </c>
      <c r="D76" s="302">
        <v>0.68171608448028564</v>
      </c>
      <c r="E76" s="301">
        <v>0.26515039801597595</v>
      </c>
      <c r="F76" s="315"/>
      <c r="G76" s="315" t="s">
        <v>1696</v>
      </c>
      <c r="H76" s="310"/>
      <c r="I76">
        <f t="shared" si="5"/>
        <v>12.109377899512092</v>
      </c>
    </row>
    <row r="77" spans="1:14">
      <c r="A77" s="300" t="s">
        <v>1663</v>
      </c>
      <c r="B77" s="310">
        <v>3199.1</v>
      </c>
      <c r="C77" s="301">
        <v>3.1933138370513916</v>
      </c>
      <c r="D77" s="302">
        <v>0.66842341423034668</v>
      </c>
      <c r="E77" s="301">
        <v>0.25459614396095276</v>
      </c>
      <c r="F77" s="315"/>
      <c r="G77" s="315" t="s">
        <v>1697</v>
      </c>
      <c r="H77" s="310"/>
      <c r="I77">
        <f t="shared" si="5"/>
        <v>12.542663794394105</v>
      </c>
    </row>
    <row r="78" spans="1:14">
      <c r="A78" s="300" t="s">
        <v>1664</v>
      </c>
      <c r="B78" s="310">
        <v>2661</v>
      </c>
      <c r="C78" s="301">
        <v>11.975069046020508</v>
      </c>
      <c r="D78" s="302">
        <v>0.44354945421218872</v>
      </c>
      <c r="E78" s="301">
        <v>0.40796807408332825</v>
      </c>
      <c r="F78" s="315">
        <v>2019</v>
      </c>
      <c r="G78" s="315" t="s">
        <v>102</v>
      </c>
      <c r="H78" s="310">
        <v>15</v>
      </c>
      <c r="I78">
        <f t="shared" si="5"/>
        <v>29.352956289355568</v>
      </c>
    </row>
    <row r="79" spans="1:14">
      <c r="A79" s="362" t="s">
        <v>1665</v>
      </c>
      <c r="B79" s="363">
        <v>2479.6</v>
      </c>
      <c r="C79" s="364">
        <v>10.919998168945313</v>
      </c>
      <c r="D79" s="365">
        <v>0.65682584047317505</v>
      </c>
      <c r="E79" s="364">
        <v>0.49224677681922913</v>
      </c>
      <c r="F79" s="366">
        <v>2019</v>
      </c>
      <c r="G79" s="366" t="s">
        <v>102</v>
      </c>
      <c r="H79" s="363" t="s">
        <v>1698</v>
      </c>
      <c r="I79" s="367">
        <f t="shared" si="5"/>
        <v>22.183991207636758</v>
      </c>
      <c r="J79" s="366" t="s">
        <v>102</v>
      </c>
      <c r="K79" s="363">
        <v>16</v>
      </c>
      <c r="L79" s="76" t="s">
        <v>1705</v>
      </c>
      <c r="M79" s="76"/>
      <c r="N79" s="76"/>
    </row>
    <row r="80" spans="1:14">
      <c r="A80" s="362" t="s">
        <v>1666</v>
      </c>
      <c r="B80" s="363">
        <v>2891.1</v>
      </c>
      <c r="C80" s="364">
        <v>10.936482429504395</v>
      </c>
      <c r="D80" s="365">
        <v>0.69794237613677979</v>
      </c>
      <c r="E80" s="364">
        <v>0.50236707925796509</v>
      </c>
      <c r="F80" s="366">
        <v>2019</v>
      </c>
      <c r="G80" s="366" t="s">
        <v>102</v>
      </c>
      <c r="H80" s="363" t="s">
        <v>1699</v>
      </c>
      <c r="I80" s="367">
        <f t="shared" si="5"/>
        <v>21.769902688803619</v>
      </c>
      <c r="L80" s="76" t="s">
        <v>1703</v>
      </c>
      <c r="M80" s="76" t="s">
        <v>1704</v>
      </c>
      <c r="N80" s="76"/>
    </row>
    <row r="81" spans="1:32">
      <c r="A81" s="312" t="s">
        <v>1667</v>
      </c>
      <c r="B81" s="312"/>
      <c r="C81" s="313"/>
      <c r="D81" s="314"/>
      <c r="E81" s="313"/>
      <c r="F81" s="303"/>
      <c r="K81" t="s">
        <v>210</v>
      </c>
      <c r="L81" s="368">
        <f>((E79-E80)/AVERAGE(E79,E80))*100</f>
        <v>-2.0350214059254976</v>
      </c>
      <c r="M81" s="368">
        <f>((C79-C80)/AVERAGE(C79,C80))*100</f>
        <v>-0.15084094152149335</v>
      </c>
      <c r="U81" s="76" t="s">
        <v>1953</v>
      </c>
    </row>
    <row r="82" spans="1:32" ht="15" thickBot="1">
      <c r="A82" s="300" t="s">
        <v>1668</v>
      </c>
      <c r="B82" s="311">
        <v>3343.1</v>
      </c>
      <c r="C82" s="301">
        <v>12.625073432922363</v>
      </c>
      <c r="D82" s="302">
        <v>0.93483561277389526</v>
      </c>
      <c r="E82" s="301">
        <v>0.73102074861526489</v>
      </c>
      <c r="F82" s="316">
        <v>2019</v>
      </c>
      <c r="G82" s="316" t="s">
        <v>102</v>
      </c>
      <c r="H82" s="311">
        <v>17</v>
      </c>
      <c r="I82">
        <f t="shared" ref="I82:I88" si="6">C82/E82</f>
        <v>17.270472085556246</v>
      </c>
    </row>
    <row r="83" spans="1:32" ht="15" thickTop="1">
      <c r="A83" s="300" t="s">
        <v>1669</v>
      </c>
      <c r="B83" s="219">
        <v>2639.3</v>
      </c>
      <c r="C83" s="301">
        <v>12.991854667663574</v>
      </c>
      <c r="D83" s="302">
        <v>0.86977273225784302</v>
      </c>
      <c r="E83" s="301">
        <v>0.78967905044555664</v>
      </c>
      <c r="F83" s="207">
        <v>2019</v>
      </c>
      <c r="G83" s="207" t="s">
        <v>102</v>
      </c>
      <c r="H83" s="219">
        <v>18</v>
      </c>
      <c r="I83">
        <f t="shared" si="6"/>
        <v>16.45206955956758</v>
      </c>
      <c r="Z83" s="304" t="s">
        <v>1679</v>
      </c>
      <c r="AA83" s="304" t="s">
        <v>1679</v>
      </c>
      <c r="AB83" s="304" t="s">
        <v>1427</v>
      </c>
      <c r="AC83" s="305"/>
      <c r="AD83" s="76" t="s">
        <v>1705</v>
      </c>
      <c r="AE83" s="76"/>
      <c r="AF83" s="76"/>
    </row>
    <row r="84" spans="1:32">
      <c r="A84" s="300" t="s">
        <v>1670</v>
      </c>
      <c r="B84" s="310">
        <v>2697.2</v>
      </c>
      <c r="C84" s="301">
        <v>13.750542640686035</v>
      </c>
      <c r="D84" s="302">
        <v>0.91507226228713989</v>
      </c>
      <c r="E84" s="301">
        <v>0.86416906118392944</v>
      </c>
      <c r="F84" s="315">
        <v>2019</v>
      </c>
      <c r="G84" s="315" t="s">
        <v>102</v>
      </c>
      <c r="H84" s="310">
        <v>19</v>
      </c>
      <c r="I84">
        <f t="shared" si="6"/>
        <v>15.911866390874383</v>
      </c>
      <c r="U84" s="530" t="s">
        <v>20</v>
      </c>
      <c r="V84" s="297" t="s">
        <v>1683</v>
      </c>
      <c r="W84" s="531" t="s">
        <v>156</v>
      </c>
      <c r="X84" s="532" t="s">
        <v>157</v>
      </c>
      <c r="Y84" s="531" t="s">
        <v>158</v>
      </c>
      <c r="Z84" s="219" t="s">
        <v>1680</v>
      </c>
      <c r="AA84" s="219" t="s">
        <v>30</v>
      </c>
      <c r="AB84" s="219" t="s">
        <v>175</v>
      </c>
      <c r="AC84" s="307" t="s">
        <v>1702</v>
      </c>
      <c r="AD84" s="76" t="s">
        <v>1703</v>
      </c>
      <c r="AE84" s="76" t="s">
        <v>1704</v>
      </c>
      <c r="AF84" s="76"/>
    </row>
    <row r="85" spans="1:32">
      <c r="A85" s="300" t="s">
        <v>1671</v>
      </c>
      <c r="B85" s="310">
        <v>2845</v>
      </c>
      <c r="C85" s="301">
        <v>14.902951240539551</v>
      </c>
      <c r="D85" s="302">
        <v>1.0873950719833374</v>
      </c>
      <c r="E85" s="301">
        <v>1.0282250642776489</v>
      </c>
      <c r="F85" s="315">
        <v>2019</v>
      </c>
      <c r="G85" s="315" t="s">
        <v>102</v>
      </c>
      <c r="H85" s="310">
        <v>20</v>
      </c>
      <c r="I85">
        <f t="shared" si="6"/>
        <v>14.493861079927289</v>
      </c>
      <c r="U85" s="539" t="s">
        <v>1955</v>
      </c>
      <c r="V85" s="540">
        <f>B103</f>
        <v>2979.9</v>
      </c>
      <c r="W85" s="540">
        <f t="shared" ref="W85:AC85" si="7">C103</f>
        <v>19.560874938964844</v>
      </c>
      <c r="X85" s="540">
        <f t="shared" si="7"/>
        <v>1.9438798427581787</v>
      </c>
      <c r="Y85" s="540">
        <f t="shared" si="7"/>
        <v>2.8811964988708496</v>
      </c>
      <c r="Z85" s="540">
        <f t="shared" si="7"/>
        <v>2019</v>
      </c>
      <c r="AA85" s="540" t="str">
        <f t="shared" si="7"/>
        <v>47_1000</v>
      </c>
      <c r="AB85" s="540">
        <f t="shared" si="7"/>
        <v>8</v>
      </c>
      <c r="AC85" s="540">
        <f t="shared" si="7"/>
        <v>6.789149905822395</v>
      </c>
      <c r="AD85" s="542">
        <f>((Y85-Y86)/AVERAGE(Y85,Y86))*100</f>
        <v>0.84593158280998082</v>
      </c>
      <c r="AE85" s="542">
        <f>((W85-W86)/AVERAGE(W85,W86))*100</f>
        <v>0.29821499701716647</v>
      </c>
    </row>
    <row r="86" spans="1:32">
      <c r="A86" s="300" t="s">
        <v>1672</v>
      </c>
      <c r="B86" s="219">
        <v>2710.5</v>
      </c>
      <c r="C86" s="301">
        <v>16.612541198730469</v>
      </c>
      <c r="D86" s="302">
        <v>1.3354026079177856</v>
      </c>
      <c r="E86" s="301">
        <v>1.3026413917541504</v>
      </c>
      <c r="F86" s="207">
        <v>2019</v>
      </c>
      <c r="G86" s="207" t="s">
        <v>102</v>
      </c>
      <c r="H86" s="219">
        <v>21</v>
      </c>
      <c r="I86">
        <f t="shared" si="6"/>
        <v>12.752965861433168</v>
      </c>
      <c r="U86" s="76" t="s">
        <v>1954</v>
      </c>
      <c r="V86">
        <f>B12</f>
        <v>2591.1999999999998</v>
      </c>
      <c r="W86">
        <f t="shared" ref="W86:AC86" si="8">C12</f>
        <v>19.502628326416016</v>
      </c>
      <c r="X86">
        <f t="shared" si="8"/>
        <v>2.0063951015472412</v>
      </c>
      <c r="Y86">
        <f t="shared" si="8"/>
        <v>2.8569262027740479</v>
      </c>
      <c r="Z86">
        <f t="shared" si="8"/>
        <v>2019</v>
      </c>
      <c r="AA86" t="str">
        <f t="shared" si="8"/>
        <v>47_1000</v>
      </c>
      <c r="AB86">
        <f t="shared" si="8"/>
        <v>8</v>
      </c>
      <c r="AC86">
        <f t="shared" si="8"/>
        <v>6.826437556377603</v>
      </c>
    </row>
    <row r="87" spans="1:32">
      <c r="A87" s="300" t="s">
        <v>1673</v>
      </c>
      <c r="B87" s="310">
        <v>550.4</v>
      </c>
      <c r="C87" s="301">
        <v>71.106781005859375</v>
      </c>
      <c r="D87" s="302">
        <v>6.6232048988342198</v>
      </c>
      <c r="E87" s="301">
        <v>10.2909704208374</v>
      </c>
      <c r="F87" s="315"/>
      <c r="G87" s="321" t="s">
        <v>1700</v>
      </c>
      <c r="H87" s="310"/>
      <c r="I87">
        <f t="shared" si="6"/>
        <v>6.9096283535982845</v>
      </c>
      <c r="U87" s="539" t="s">
        <v>1955</v>
      </c>
      <c r="V87" s="541">
        <f>B104</f>
        <v>2267.9</v>
      </c>
      <c r="W87" s="541">
        <f t="shared" ref="W87:AC87" si="9">C104</f>
        <v>26.077967071533202</v>
      </c>
      <c r="X87" s="541">
        <f t="shared" si="9"/>
        <v>3.0794901847839355</v>
      </c>
      <c r="Y87" s="541">
        <f t="shared" si="9"/>
        <v>1.5659939050674438</v>
      </c>
      <c r="Z87" s="541">
        <f t="shared" si="9"/>
        <v>2019</v>
      </c>
      <c r="AA87" s="541" t="str">
        <f t="shared" si="9"/>
        <v>47_1000</v>
      </c>
      <c r="AB87" s="541" t="str">
        <f t="shared" si="9"/>
        <v>16_a</v>
      </c>
      <c r="AC87" s="541">
        <f t="shared" si="9"/>
        <v>16.652661921062894</v>
      </c>
      <c r="AD87" s="542">
        <f>((Y87-Y88)/AVERAGE(Y87,Y88))*100</f>
        <v>0.75523282868842501</v>
      </c>
      <c r="AE87" s="542">
        <f>((W87-W88)/AVERAGE(W87,W88))*100</f>
        <v>0.60390403475342125</v>
      </c>
    </row>
    <row r="88" spans="1:32">
      <c r="A88" s="300" t="s">
        <v>1674</v>
      </c>
      <c r="B88" s="310">
        <v>552.4</v>
      </c>
      <c r="C88" s="301">
        <v>71.058993530273398</v>
      </c>
      <c r="D88" s="302">
        <v>6.6057044029235801</v>
      </c>
      <c r="E88" s="301">
        <v>10.3032676696777</v>
      </c>
      <c r="F88" s="315"/>
      <c r="G88" s="323" t="s">
        <v>1701</v>
      </c>
      <c r="H88" s="304"/>
      <c r="I88">
        <f t="shared" si="6"/>
        <v>6.8967434224191342</v>
      </c>
      <c r="U88" s="539" t="s">
        <v>1955</v>
      </c>
      <c r="V88" s="541">
        <f>B105</f>
        <v>2761.8</v>
      </c>
      <c r="W88" s="541">
        <f t="shared" ref="W88" si="10">C105</f>
        <v>25.920955276489199</v>
      </c>
      <c r="X88" s="541">
        <f t="shared" ref="X88" si="11">D105</f>
        <v>3.0798702239990234</v>
      </c>
      <c r="Y88" s="541">
        <f t="shared" ref="Y88" si="12">E105</f>
        <v>1.5542114973068237</v>
      </c>
      <c r="Z88" s="541">
        <f t="shared" ref="Z88" si="13">F105</f>
        <v>2019</v>
      </c>
      <c r="AA88" s="541" t="str">
        <f t="shared" ref="AA88" si="14">G105</f>
        <v>47_1000</v>
      </c>
      <c r="AB88" s="541" t="str">
        <f t="shared" ref="AB88" si="15">H105</f>
        <v>16_b</v>
      </c>
      <c r="AC88" s="541">
        <f t="shared" ref="AC88" si="16">I105</f>
        <v>16.677881563355871</v>
      </c>
      <c r="AD88" s="542">
        <f>((Y88-Y89)/AVERAGE(Y88,Y89))*100</f>
        <v>0.14848788937149476</v>
      </c>
      <c r="AE88" s="542">
        <f>((W88-W89)/AVERAGE(W88,W89))*100</f>
        <v>-0.18377590505164185</v>
      </c>
    </row>
    <row r="89" spans="1:32">
      <c r="U89" s="76" t="s">
        <v>1954</v>
      </c>
      <c r="V89">
        <f>B24</f>
        <v>2108.1</v>
      </c>
      <c r="W89">
        <f t="shared" ref="W89:AC89" si="17">C24</f>
        <v>25.968635559082031</v>
      </c>
      <c r="X89">
        <f t="shared" si="17"/>
        <v>3.1705729961395264</v>
      </c>
      <c r="Y89">
        <f t="shared" si="17"/>
        <v>1.5519053936004639</v>
      </c>
      <c r="Z89">
        <f t="shared" si="17"/>
        <v>2019</v>
      </c>
      <c r="AA89" t="str">
        <f t="shared" si="17"/>
        <v>47_1000</v>
      </c>
      <c r="AB89">
        <f t="shared" si="17"/>
        <v>16</v>
      </c>
      <c r="AC89">
        <f t="shared" si="17"/>
        <v>16.733388301998275</v>
      </c>
      <c r="AD89" s="543"/>
      <c r="AE89" s="543"/>
    </row>
    <row r="90" spans="1:32">
      <c r="A90" t="s">
        <v>1675</v>
      </c>
      <c r="U90" s="539" t="s">
        <v>1955</v>
      </c>
      <c r="V90" s="541">
        <f>B106</f>
        <v>3008.9</v>
      </c>
      <c r="W90" s="541">
        <f t="shared" ref="W90:AC90" si="18">C106</f>
        <v>13.065495491027832</v>
      </c>
      <c r="X90" s="541">
        <f t="shared" si="18"/>
        <v>0.59819751977920532</v>
      </c>
      <c r="Y90" s="541">
        <f t="shared" si="18"/>
        <v>0.57391709089279175</v>
      </c>
      <c r="Z90" s="541">
        <f t="shared" si="18"/>
        <v>2019</v>
      </c>
      <c r="AA90" s="541" t="str">
        <f t="shared" si="18"/>
        <v>47_1000</v>
      </c>
      <c r="AB90" s="541">
        <f t="shared" si="18"/>
        <v>13</v>
      </c>
      <c r="AC90" s="541">
        <f t="shared" si="18"/>
        <v>22.765475533587967</v>
      </c>
      <c r="AD90" s="542">
        <f>((Y90-Y91)/AVERAGE(Y90,Y91))*100</f>
        <v>3.6143454744078229</v>
      </c>
      <c r="AE90" s="542">
        <f>((W90-W91)/AVERAGE(W90,W91))*100</f>
        <v>0.21761346475001286</v>
      </c>
    </row>
    <row r="91" spans="1:32">
      <c r="A91" t="s">
        <v>1676</v>
      </c>
      <c r="U91" s="76" t="s">
        <v>1954</v>
      </c>
      <c r="V91">
        <f>B19</f>
        <v>2522.3000000000002</v>
      </c>
      <c r="W91">
        <f t="shared" ref="W91:AC91" si="19">C19</f>
        <v>13.037094116210938</v>
      </c>
      <c r="X91">
        <f t="shared" si="19"/>
        <v>0.62588435411453247</v>
      </c>
      <c r="Y91">
        <f t="shared" si="19"/>
        <v>0.55354195833206177</v>
      </c>
      <c r="Z91">
        <f t="shared" si="19"/>
        <v>2019</v>
      </c>
      <c r="AA91" t="str">
        <f t="shared" si="19"/>
        <v>47_1000</v>
      </c>
      <c r="AB91">
        <f t="shared" si="19"/>
        <v>13</v>
      </c>
      <c r="AC91">
        <f t="shared" si="19"/>
        <v>23.552133528403957</v>
      </c>
    </row>
    <row r="93" spans="1:32">
      <c r="A93" t="s">
        <v>1677</v>
      </c>
    </row>
    <row r="97" spans="1:9" ht="15.5">
      <c r="A97" s="227" t="s">
        <v>1952</v>
      </c>
    </row>
    <row r="98" spans="1:9">
      <c r="A98" s="76" t="s">
        <v>1951</v>
      </c>
    </row>
    <row r="100" spans="1:9">
      <c r="F100" s="304" t="s">
        <v>1679</v>
      </c>
      <c r="G100" s="304" t="s">
        <v>1679</v>
      </c>
      <c r="H100" s="304" t="s">
        <v>1427</v>
      </c>
      <c r="I100" s="305"/>
    </row>
    <row r="101" spans="1:9">
      <c r="A101" s="530" t="s">
        <v>20</v>
      </c>
      <c r="B101" s="297" t="s">
        <v>1683</v>
      </c>
      <c r="C101" s="531" t="s">
        <v>156</v>
      </c>
      <c r="D101" s="532" t="s">
        <v>157</v>
      </c>
      <c r="E101" s="531" t="s">
        <v>158</v>
      </c>
      <c r="F101" s="219" t="s">
        <v>1680</v>
      </c>
      <c r="G101" s="219" t="s">
        <v>30</v>
      </c>
      <c r="H101" s="219" t="s">
        <v>175</v>
      </c>
      <c r="I101" s="307" t="s">
        <v>1702</v>
      </c>
    </row>
    <row r="102" spans="1:9">
      <c r="A102" s="300" t="s">
        <v>1681</v>
      </c>
      <c r="C102" s="301"/>
      <c r="D102" s="302"/>
      <c r="E102" s="301"/>
      <c r="F102" s="321"/>
      <c r="G102" s="321"/>
      <c r="H102" s="321"/>
    </row>
    <row r="103" spans="1:9">
      <c r="A103" s="300" t="s">
        <v>1591</v>
      </c>
      <c r="B103" s="309">
        <v>2979.9</v>
      </c>
      <c r="C103" s="301">
        <v>19.560874938964844</v>
      </c>
      <c r="D103" s="302">
        <v>1.9438798427581787</v>
      </c>
      <c r="E103" s="301">
        <v>2.8811964988708496</v>
      </c>
      <c r="F103" s="315">
        <v>2019</v>
      </c>
      <c r="G103" s="315" t="s">
        <v>98</v>
      </c>
      <c r="H103" s="315">
        <v>8</v>
      </c>
      <c r="I103">
        <f t="shared" ref="I103:I110" si="20">C103/E103</f>
        <v>6.789149905822395</v>
      </c>
    </row>
    <row r="104" spans="1:9">
      <c r="A104" s="533" t="s">
        <v>1592</v>
      </c>
      <c r="B104" s="534">
        <v>2267.9</v>
      </c>
      <c r="C104" s="535">
        <v>26.077967071533202</v>
      </c>
      <c r="D104" s="536">
        <v>3.0794901847839355</v>
      </c>
      <c r="E104" s="535">
        <v>1.5659939050674438</v>
      </c>
      <c r="F104" s="537">
        <v>2019</v>
      </c>
      <c r="G104" s="537" t="s">
        <v>98</v>
      </c>
      <c r="H104" s="534" t="s">
        <v>1698</v>
      </c>
      <c r="I104" s="538">
        <f t="shared" si="20"/>
        <v>16.652661921062894</v>
      </c>
    </row>
    <row r="105" spans="1:9">
      <c r="A105" s="533" t="s">
        <v>1593</v>
      </c>
      <c r="B105" s="534">
        <v>2761.8</v>
      </c>
      <c r="C105" s="535">
        <v>25.920955276489199</v>
      </c>
      <c r="D105" s="536">
        <v>3.0798702239990234</v>
      </c>
      <c r="E105" s="535">
        <v>1.5542114973068237</v>
      </c>
      <c r="F105" s="537">
        <v>2019</v>
      </c>
      <c r="G105" s="537" t="s">
        <v>98</v>
      </c>
      <c r="H105" s="534" t="s">
        <v>1699</v>
      </c>
      <c r="I105" s="538">
        <f t="shared" si="20"/>
        <v>16.677881563355871</v>
      </c>
    </row>
    <row r="106" spans="1:9">
      <c r="A106" s="300" t="s">
        <v>1594</v>
      </c>
      <c r="B106" s="310">
        <v>3008.9</v>
      </c>
      <c r="C106" s="301">
        <v>13.065495491027832</v>
      </c>
      <c r="D106" s="302">
        <v>0.59819751977920532</v>
      </c>
      <c r="E106" s="301">
        <v>0.57391709089279175</v>
      </c>
      <c r="F106" s="315">
        <v>2019</v>
      </c>
      <c r="G106" s="315" t="s">
        <v>98</v>
      </c>
      <c r="H106" s="310">
        <v>13</v>
      </c>
      <c r="I106">
        <f t="shared" si="20"/>
        <v>22.765475533587967</v>
      </c>
    </row>
    <row r="107" spans="1:9">
      <c r="A107" s="300" t="s">
        <v>1595</v>
      </c>
      <c r="B107" s="310">
        <v>3737.6</v>
      </c>
      <c r="C107" s="301">
        <v>3.2224769592285156</v>
      </c>
      <c r="D107" s="302">
        <v>0.62690412998199463</v>
      </c>
      <c r="E107" s="301">
        <v>0.26912227272987366</v>
      </c>
      <c r="F107" s="315"/>
      <c r="G107" s="315" t="s">
        <v>1688</v>
      </c>
      <c r="H107" s="310"/>
      <c r="I107">
        <f t="shared" si="20"/>
        <v>11.97402551093575</v>
      </c>
    </row>
    <row r="108" spans="1:9">
      <c r="A108" s="300" t="s">
        <v>1596</v>
      </c>
      <c r="B108" s="310">
        <v>3687.7</v>
      </c>
      <c r="C108" s="301">
        <v>3.1806583595275799</v>
      </c>
      <c r="D108" s="302">
        <v>0.61557271003723102</v>
      </c>
      <c r="E108" s="301">
        <v>0.26744484901428223</v>
      </c>
      <c r="F108" s="315"/>
      <c r="G108" s="315" t="s">
        <v>1690</v>
      </c>
      <c r="H108" s="310"/>
      <c r="I108">
        <f t="shared" si="20"/>
        <v>11.892763578175046</v>
      </c>
    </row>
    <row r="109" spans="1:9">
      <c r="A109" s="300" t="s">
        <v>1597</v>
      </c>
      <c r="B109" s="310">
        <v>685.8</v>
      </c>
      <c r="C109" s="301">
        <v>71.152423095703099</v>
      </c>
      <c r="D109" s="302">
        <v>6.6753088951110797</v>
      </c>
      <c r="E109" s="301">
        <v>10.286360740661621</v>
      </c>
      <c r="F109" s="315"/>
      <c r="G109" s="321" t="s">
        <v>1692</v>
      </c>
      <c r="H109" s="310"/>
      <c r="I109">
        <f t="shared" si="20"/>
        <v>6.9171619477081023</v>
      </c>
    </row>
    <row r="110" spans="1:9">
      <c r="A110" s="300" t="s">
        <v>1598</v>
      </c>
      <c r="B110" s="310">
        <v>426</v>
      </c>
      <c r="C110" s="301">
        <v>71.005059814453105</v>
      </c>
      <c r="D110" s="302">
        <v>6.7350038528442298</v>
      </c>
      <c r="E110" s="301">
        <v>10.296211433410599</v>
      </c>
      <c r="F110" s="315"/>
      <c r="G110" s="321" t="s">
        <v>1694</v>
      </c>
      <c r="H110" s="310"/>
      <c r="I110">
        <f t="shared" si="20"/>
        <v>6.8962317133509776</v>
      </c>
    </row>
    <row r="112" spans="1:9">
      <c r="A112" t="s">
        <v>1675</v>
      </c>
    </row>
    <row r="113" spans="1:1">
      <c r="A113" t="s">
        <v>1676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cup photo labels</vt:lpstr>
      <vt:lpstr>notes</vt:lpstr>
      <vt:lpstr>prep brines</vt:lpstr>
      <vt:lpstr>Traps and Logs</vt:lpstr>
      <vt:lpstr>sample processing comments</vt:lpstr>
      <vt:lpstr>pH_Sal</vt:lpstr>
      <vt:lpstr>depths</vt:lpstr>
      <vt:lpstr>mass filt</vt:lpstr>
      <vt:lpstr>CHN raw data</vt:lpstr>
      <vt:lpstr>BSi raw data_and calculations</vt:lpstr>
      <vt:lpstr>PIC weights</vt:lpstr>
      <vt:lpstr>PIC data</vt:lpstr>
      <vt:lpstr>main</vt:lpstr>
      <vt:lpstr>report_47_flagged</vt:lpstr>
      <vt:lpstr>netcdf_format</vt:lpstr>
      <vt:lpstr>plots</vt:lpstr>
      <vt:lpstr>'cup photo labels'!Print_Area</vt:lpstr>
    </vt:vector>
  </TitlesOfParts>
  <Company>University of Tasmania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Cathryn Wynn-Edwards</dc:creator>
  <cp:lastModifiedBy>Cathryn Wynn-Edwards</cp:lastModifiedBy>
  <cp:lastPrinted>2020-09-14T04:57:25Z</cp:lastPrinted>
  <dcterms:created xsi:type="dcterms:W3CDTF">2018-04-15T23:35:50Z</dcterms:created>
  <dcterms:modified xsi:type="dcterms:W3CDTF">2021-06-02T03:39:34Z</dcterms:modified>
</cp:coreProperties>
</file>